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T:\5. TESI UTILITIES\Westario Power Inc\WPI 2018 CoS\Models\WPI Oct 20\"/>
    </mc:Choice>
  </mc:AlternateContent>
  <bookViews>
    <workbookView xWindow="0" yWindow="0" windowWidth="25200" windowHeight="1185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fileRecoveryPr autoRecover="0"/>
</workbook>
</file>

<file path=xl/calcChain.xml><?xml version="1.0" encoding="utf-8"?>
<calcChain xmlns="http://schemas.openxmlformats.org/spreadsheetml/2006/main">
  <c r="K58" i="45" l="1"/>
  <c r="K51" i="45"/>
  <c r="K44" i="45"/>
  <c r="K37" i="45"/>
  <c r="K30" i="45"/>
  <c r="K23" i="45"/>
  <c r="E127" i="46" l="1"/>
  <c r="F127" i="46"/>
  <c r="G127" i="46"/>
  <c r="H127" i="46"/>
  <c r="I127" i="46"/>
  <c r="J127" i="46"/>
  <c r="K127" i="46"/>
  <c r="L127" i="46"/>
  <c r="M127" i="46"/>
  <c r="G255" i="46"/>
  <c r="H255" i="46"/>
  <c r="I255" i="46"/>
  <c r="J255" i="46"/>
  <c r="K255" i="46"/>
  <c r="L255" i="46"/>
  <c r="M255" i="46"/>
  <c r="E384" i="46"/>
  <c r="F384" i="46"/>
  <c r="G384" i="46"/>
  <c r="H384" i="46"/>
  <c r="I384" i="46"/>
  <c r="J384" i="46"/>
  <c r="K384" i="46"/>
  <c r="L384" i="46"/>
  <c r="M384" i="46"/>
  <c r="E513" i="46"/>
  <c r="F513" i="46"/>
  <c r="G513" i="46"/>
  <c r="H513" i="46"/>
  <c r="I513" i="46"/>
  <c r="J513" i="46"/>
  <c r="K513" i="46"/>
  <c r="L513" i="46"/>
  <c r="M513" i="46"/>
  <c r="Y29" i="46"/>
  <c r="Z29" i="46"/>
  <c r="Y427" i="46" l="1"/>
  <c r="E230" i="46"/>
  <c r="Q47" i="79"/>
  <c r="R47" i="79"/>
  <c r="S47" i="79"/>
  <c r="T47" i="79"/>
  <c r="U47" i="79"/>
  <c r="V47" i="79"/>
  <c r="W47" i="79"/>
  <c r="X47" i="79"/>
  <c r="Q44" i="79"/>
  <c r="R44" i="79"/>
  <c r="S44" i="79"/>
  <c r="T44" i="79"/>
  <c r="U44" i="79"/>
  <c r="V44" i="79"/>
  <c r="W44" i="79"/>
  <c r="X44" i="79"/>
  <c r="Q41" i="79"/>
  <c r="R41" i="79"/>
  <c r="S41" i="79"/>
  <c r="T41" i="79"/>
  <c r="U41" i="79"/>
  <c r="V41" i="79"/>
  <c r="W41" i="79"/>
  <c r="X41" i="79"/>
  <c r="Q63" i="79"/>
  <c r="R63" i="79"/>
  <c r="S63" i="79"/>
  <c r="T63" i="79"/>
  <c r="U63" i="79"/>
  <c r="V63" i="79"/>
  <c r="W63" i="79"/>
  <c r="X63" i="79"/>
  <c r="Q60" i="79"/>
  <c r="R60" i="79"/>
  <c r="S60" i="79"/>
  <c r="T60" i="79"/>
  <c r="U60" i="79"/>
  <c r="V60" i="79"/>
  <c r="W60" i="79"/>
  <c r="X60" i="79"/>
  <c r="Q57" i="79"/>
  <c r="R57" i="79"/>
  <c r="S57" i="79"/>
  <c r="T57" i="79"/>
  <c r="U57" i="79"/>
  <c r="V57" i="79"/>
  <c r="W57" i="79"/>
  <c r="X57" i="79"/>
  <c r="Q54" i="79"/>
  <c r="R54" i="79"/>
  <c r="S54" i="79"/>
  <c r="T54" i="79"/>
  <c r="U54" i="79"/>
  <c r="V54" i="79"/>
  <c r="W54" i="79"/>
  <c r="X54" i="79"/>
  <c r="Q80" i="79"/>
  <c r="R80" i="79"/>
  <c r="S80" i="79"/>
  <c r="T80" i="79"/>
  <c r="U80" i="79"/>
  <c r="V80" i="79"/>
  <c r="W80" i="79"/>
  <c r="X80" i="79"/>
  <c r="P80" i="79"/>
  <c r="P63" i="79"/>
  <c r="P60" i="79"/>
  <c r="P57" i="79"/>
  <c r="P54" i="79"/>
  <c r="P47" i="79"/>
  <c r="P44" i="79"/>
  <c r="P41" i="79"/>
  <c r="Q38" i="79"/>
  <c r="R38" i="79"/>
  <c r="S38" i="79"/>
  <c r="T38" i="79"/>
  <c r="U38" i="79"/>
  <c r="V38" i="79"/>
  <c r="W38" i="79"/>
  <c r="X38" i="79"/>
  <c r="P38" i="79"/>
  <c r="F80" i="79"/>
  <c r="G80" i="79"/>
  <c r="H80" i="79"/>
  <c r="I80" i="79"/>
  <c r="J80" i="79"/>
  <c r="K80" i="79"/>
  <c r="L80" i="79"/>
  <c r="M80" i="79"/>
  <c r="E80" i="79"/>
  <c r="F63" i="79"/>
  <c r="G63" i="79"/>
  <c r="H63" i="79"/>
  <c r="I63" i="79"/>
  <c r="J63" i="79"/>
  <c r="K63" i="79"/>
  <c r="L63" i="79"/>
  <c r="M63" i="79"/>
  <c r="E63" i="79"/>
  <c r="F60" i="79"/>
  <c r="G60" i="79"/>
  <c r="H60" i="79"/>
  <c r="I60" i="79"/>
  <c r="J60" i="79"/>
  <c r="K60" i="79"/>
  <c r="L60" i="79"/>
  <c r="M60" i="79"/>
  <c r="E60" i="79"/>
  <c r="F57" i="79"/>
  <c r="G57" i="79"/>
  <c r="H57" i="79"/>
  <c r="I57" i="79"/>
  <c r="J57" i="79"/>
  <c r="K57" i="79"/>
  <c r="L57" i="79"/>
  <c r="M57" i="79"/>
  <c r="E57" i="79"/>
  <c r="K54" i="79"/>
  <c r="L54" i="79"/>
  <c r="M54" i="79"/>
  <c r="F54" i="79"/>
  <c r="G54" i="79"/>
  <c r="H54" i="79"/>
  <c r="I54" i="79"/>
  <c r="J54" i="79"/>
  <c r="E54" i="79"/>
  <c r="F47" i="79"/>
  <c r="G47" i="79"/>
  <c r="H47" i="79"/>
  <c r="I47" i="79"/>
  <c r="J47" i="79"/>
  <c r="K47" i="79"/>
  <c r="L47" i="79"/>
  <c r="M47" i="79"/>
  <c r="E47" i="79"/>
  <c r="F44" i="79"/>
  <c r="G44" i="79"/>
  <c r="H44" i="79"/>
  <c r="I44" i="79"/>
  <c r="J44" i="79"/>
  <c r="K44" i="79"/>
  <c r="L44" i="79"/>
  <c r="M44" i="79"/>
  <c r="E44" i="79"/>
  <c r="F41" i="79"/>
  <c r="G41" i="79"/>
  <c r="H41" i="79"/>
  <c r="I41" i="79"/>
  <c r="J41" i="79"/>
  <c r="K41" i="79"/>
  <c r="L41" i="79"/>
  <c r="M41" i="79"/>
  <c r="E41" i="79"/>
  <c r="F38" i="79"/>
  <c r="G38" i="79"/>
  <c r="H38" i="79"/>
  <c r="I38" i="79"/>
  <c r="J38" i="79"/>
  <c r="K38" i="79"/>
  <c r="L38" i="79"/>
  <c r="M38" i="79"/>
  <c r="E38" i="79"/>
  <c r="F230" i="46" l="1"/>
  <c r="F255" i="46" s="1"/>
  <c r="E255" i="46"/>
  <c r="G22" i="45"/>
  <c r="D22" i="45" l="1"/>
  <c r="O927" i="79" l="1"/>
  <c r="E44" i="44"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47" i="44"/>
  <c r="F48" i="44"/>
  <c r="F46" i="44"/>
  <c r="J53" i="44"/>
  <c r="J48" i="44"/>
  <c r="J46" i="44"/>
  <c r="D48" i="44"/>
  <c r="D47" i="44"/>
  <c r="D46" i="44"/>
  <c r="I53" i="44"/>
  <c r="I47" i="44"/>
  <c r="I48" i="44"/>
  <c r="I46" i="44"/>
  <c r="G53" i="44"/>
  <c r="G47" i="44"/>
  <c r="G48" i="44"/>
  <c r="G46" i="44"/>
  <c r="E53" i="44"/>
  <c r="E47" i="44"/>
  <c r="E48" i="44"/>
  <c r="E46" i="44"/>
  <c r="H53" i="44"/>
  <c r="H48" i="44"/>
  <c r="H47" i="44"/>
  <c r="H46" i="44"/>
  <c r="D53" i="44"/>
  <c r="AD212" i="79"/>
  <c r="AD208" i="79"/>
  <c r="AD211" i="79"/>
  <c r="AD210" i="79"/>
  <c r="AD209" i="79"/>
  <c r="G50" i="44"/>
  <c r="G49" i="44"/>
  <c r="G52" i="44"/>
  <c r="G51" i="44"/>
  <c r="H51" i="44"/>
  <c r="H50" i="44"/>
  <c r="H52" i="44"/>
  <c r="H49" i="44"/>
  <c r="E52" i="44"/>
  <c r="E49" i="44"/>
  <c r="E51" i="44"/>
  <c r="E50" i="44"/>
  <c r="F49" i="44"/>
  <c r="F52" i="44"/>
  <c r="F51" i="44"/>
  <c r="F50" i="44"/>
  <c r="J49" i="44"/>
  <c r="J52" i="44"/>
  <c r="J50" i="44"/>
  <c r="J51" i="44"/>
  <c r="J47" i="44"/>
  <c r="D52" i="44"/>
  <c r="D51" i="44"/>
  <c r="D49" i="44"/>
  <c r="D50" i="44"/>
  <c r="I52" i="44"/>
  <c r="I51"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8" i="46"/>
  <c r="AD142" i="46"/>
  <c r="AD137" i="46"/>
  <c r="AD141" i="46"/>
  <c r="AD139" i="46"/>
  <c r="AD127" i="46"/>
  <c r="AD135" i="46"/>
  <c r="AD140" i="46"/>
  <c r="AD136"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44" i="45" l="1"/>
  <c r="J37" i="45"/>
  <c r="J58" i="45"/>
  <c r="J51" i="45"/>
  <c r="J30" i="45"/>
  <c r="J23" i="45"/>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<sst xmlns="http://schemas.openxmlformats.org/spreadsheetml/2006/main" count="2933" uniqueCount="702">
  <si>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</si>
  <si>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</si>
  <si>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</si>
  <si>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</si>
  <si>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</si>
  <si>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</si>
  <si>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</si>
  <si>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</si>
  <si>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</si>
  <si>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</si>
  <si>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</si>
  <si>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</si>
  <si>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</si>
  <si>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</si>
  <si>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</si>
  <si>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</si>
  <si>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</si>
  <si>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</si>
  <si>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</si>
  <si>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</si>
  <si>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</si>
  <si>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</si>
  <si>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</si>
  <si>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</si>
  <si>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</si>
  <si>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</si>
  <si>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</si>
  <si>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</si>
  <si>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</si>
  <si>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</si>
  <si>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</si>
  <si>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</si>
  <si>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</si>
  <si>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</si>
  <si>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</si>
  <si>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</si>
  <si>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</si>
  <si>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</si>
  <si>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</si>
  <si>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</si>
  <si>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</si>
  <si>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</si>
  <si>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</si>
  <si>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</si>
  <si>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</si>
  <si>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</si>
  <si>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</si>
  <si>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</si>
  <si>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</si>
  <si>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</si>
  <si>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</si>
  <si>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</si>
  <si>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</si>
  <si>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</si>
  <si>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</si>
  <si>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</si>
  <si>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</si>
  <si>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</si>
  <si>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</si>
  <si>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</si>
  <si>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</si>
  <si>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</si>
  <si>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</si>
  <si>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</si>
  <si>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</si>
  <si>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</si>
  <si>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</si>
  <si>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</si>
  <si>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</si>
  <si>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</si>
  <si>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</si>
  <si>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</si>
  <si>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</si>
  <si>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</si>
  <si>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</si>
  <si>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</si>
  <si>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</si>
  <si>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</si>
  <si>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</si>
  <si>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</si>
  <si>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</si>
  <si>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</si>
  <si>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</si>
  <si>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</si>
  <si>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</si>
  <si>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</si>
  <si>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</si>
  <si>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</si>
  <si>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</si>
  <si>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</si>
  <si>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</si>
  <si>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</si>
  <si>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</si>
  <si>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</si>
  <si>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</si>
  <si>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</si>
  <si>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</si>
  <si>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</si>
  <si>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</si>
  <si>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</si>
  <si>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</si>
  <si>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</si>
  <si>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</si>
  <si>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</si>
  <si>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</si>
  <si>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</si>
  <si>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</si>
  <si>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</si>
  <si>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</si>
  <si>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</si>
  <si>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</si>
  <si>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</si>
  <si>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</si>
  <si>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</si>
  <si>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</si>
  <si>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</si>
  <si>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</si>
  <si>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</si>
  <si>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</si>
  <si>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</si>
  <si>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</si>
  <si>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</si>
  <si>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</si>
  <si>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</si>
  <si>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</si>
  <si>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</si>
  <si>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</si>
  <si>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</si>
  <si>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</si>
  <si>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</si>
  <si>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</si>
  <si>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</si>
  <si>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</si>
  <si>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</si>
  <si>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</si>
  <si>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</si>
  <si>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</si>
  <si>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</si>
  <si>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</si>
  <si>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</si>
  <si>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</si>
  <si>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</si>
  <si>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</si>
  <si>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</si>
  <si>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</si>
  <si>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</si>
  <si>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</si>
  <si>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</si>
  <si>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</si>
  <si>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</si>
  <si>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</si>
  <si>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</si>
  <si>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</si>
  <si>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</si>
  <si>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</si>
  <si>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</si>
  <si>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</si>
  <si>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</si>
  <si>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</si>
  <si>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</si>
  <si>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</si>
  <si>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</si>
  <si>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</si>
  <si>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</si>
  <si>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</si>
  <si>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</si>
  <si>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</si>
  <si>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</si>
  <si>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</si>
  <si>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</si>
  <si>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</si>
  <si>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</si>
  <si>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</si>
  <si>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</si>
  <si>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</si>
  <si>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</si>
  <si>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</si>
  <si>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</si>
  <si>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</si>
  <si>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</si>
  <si>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</si>
  <si>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</si>
  <si>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</si>
  <si>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</si>
  <si>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</si>
  <si>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</si>
  <si>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</si>
  <si>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</si>
  <si>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</si>
  <si>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</si>
  <si>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</si>
  <si>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</si>
  <si>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</si>
  <si>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</si>
  <si>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</si>
  <si>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</si>
  <si>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</si>
  <si>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</si>
  <si>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</si>
  <si>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</si>
  <si>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</si>
  <si>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</si>
  <si>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</si>
  <si>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</si>
  <si>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</si>
  <si>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</si>
  <si>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</si>
  <si>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</si>
  <si>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</si>
  <si>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</si>
  <si>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</si>
  <si>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</si>
  <si>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</si>
  <si>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</si>
  <si>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</si>
  <si>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</si>
  <si>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</si>
  <si>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</si>
  <si>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</si>
  <si>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</si>
  <si>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</si>
  <si>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</si>
  <si>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</si>
  <si>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</si>
  <si>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</si>
  <si>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</si>
  <si>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</si>
  <si>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</si>
  <si>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</si>
  <si>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</si>
  <si>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</si>
  <si>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</si>
  <si>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</si>
  <si>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</si>
  <si>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</si>
  <si>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</si>
  <si>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</si>
  <si>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</si>
  <si>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</si>
  <si>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</si>
  <si>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</si>
  <si>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</si>
  <si>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</si>
  <si>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</si>
  <si>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</si>
  <si>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</si>
  <si>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</si>
  <si>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</si>
  <si>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</si>
  <si>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</si>
  <si>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</si>
  <si>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</si>
  <si>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</si>
  <si>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</si>
  <si>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</si>
  <si>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</si>
  <si>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</si>
  <si>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</si>
  <si>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</si>
  <si>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</si>
  <si>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</si>
  <si>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</si>
  <si>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</si>
  <si>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</si>
  <si>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</si>
  <si>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</si>
  <si>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</si>
  <si>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</si>
  <si>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</si>
  <si>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</si>
  <si>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</si>
  <si>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</si>
  <si>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</si>
  <si>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</si>
  <si>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</si>
  <si>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</si>
  <si>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</si>
  <si>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</si>
  <si>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</si>
  <si>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</si>
  <si>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</si>
  <si>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</si>
  <si>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</si>
  <si>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</si>
  <si>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</si>
  <si>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</si>
  <si>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</si>
  <si>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</si>
  <si>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</si>
  <si>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</si>
  <si>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</si>
  <si>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</si>
  <si>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</si>
  <si>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</si>
  <si>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</si>
  <si>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</si>
  <si>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</si>
  <si>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</si>
  <si>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</si>
  <si>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</si>
  <si>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</si>
  <si>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</si>
  <si>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</si>
  <si>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</si>
  <si>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</si>
  <si>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</si>
  <si>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</si>
  <si>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</si>
  <si>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</si>
  <si>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</si>
  <si>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</si>
  <si>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</si>
  <si>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</si>
  <si>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</si>
  <si>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</si>
  <si>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</si>
  <si>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</si>
  <si>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</si>
  <si>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</si>
  <si>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</si>
  <si>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</si>
  <si>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</si>
  <si>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</si>
  <si>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</si>
  <si>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</si>
  <si>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</si>
  <si>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</si>
  <si>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</si>
  <si>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</si>
  <si>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</si>
  <si>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</si>
  <si>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</si>
  <si>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</si>
  <si>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</si>
  <si>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</si>
  <si>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</si>
  <si>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</si>
  <si>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</si>
  <si>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</si>
  <si>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</si>
  <si>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</si>
  <si>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</si>
  <si>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</si>
  <si>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</si>
  <si>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</si>
  <si>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</si>
  <si>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</si>
  <si>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</si>
  <si>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</si>
  <si>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</si>
  <si>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</si>
  <si>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</si>
  <si>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</si>
  <si>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</si>
  <si>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</si>
  <si>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</si>
  <si>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</si>
  <si>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</si>
  <si>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</si>
  <si>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</si>
  <si>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</si>
  <si>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</si>
  <si>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</si>
  <si>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</si>
  <si>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</si>
  <si>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</si>
  <si>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</si>
  <si>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</si>
  <si>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</si>
  <si>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</si>
  <si>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</si>
  <si>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</si>
  <si>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</si>
  <si>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</si>
  <si>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</si>
  <si>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</si>
  <si>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</si>
  <si>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</si>
  <si>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</si>
  <si>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</si>
  <si>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</si>
  <si>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</si>
  <si>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</si>
  <si>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</si>
  <si>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</si>
  <si>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</si>
  <si>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</si>
  <si>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</si>
  <si>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</si>
  <si>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</si>
  <si>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</si>
  <si>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</si>
  <si>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</si>
  <si>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</si>
  <si>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</si>
  <si>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</si>
  <si>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</si>
  <si>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</si>
  <si>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</si>
  <si>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</si>
  <si>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</si>
  <si>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</si>
  <si>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</si>
  <si>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</si>
  <si>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</si>
  <si>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</si>
  <si>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</si>
  <si>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</si>
  <si>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</si>
  <si>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</si>
  <si>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</si>
  <si>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</si>
  <si>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</si>
  <si>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</si>
  <si>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</si>
  <si>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</si>
  <si>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</si>
  <si>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</si>
  <si>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</si>
  <si>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</si>
  <si>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</si>
  <si>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</si>
  <si>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</si>
  <si>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</si>
  <si>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</si>
  <si>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</si>
  <si>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</si>
  <si>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</si>
  <si>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</si>
  <si>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</si>
  <si>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</si>
  <si>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</si>
  <si>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</si>
  <si>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</si>
  <si>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</si>
  <si>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</si>
  <si>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</si>
  <si>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</si>
  <si>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</si>
  <si>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</si>
  <si>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</si>
  <si>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</si>
  <si>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</si>
  <si>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</si>
  <si>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</si>
  <si>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</si>
  <si>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</si>
  <si>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</si>
  <si>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</si>
  <si>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</si>
  <si>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</si>
  <si>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</si>
  <si>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</si>
  <si>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</si>
  <si>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</si>
  <si>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</si>
  <si>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</si>
  <si>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</si>
  <si>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</si>
  <si>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</si>
  <si>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</si>
  <si>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</si>
  <si>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</si>
  <si>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</si>
  <si>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</si>
  <si>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</si>
  <si>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</si>
  <si>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</si>
  <si>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</si>
  <si>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</si>
  <si>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</si>
  <si>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</si>
  <si>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</si>
  <si>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</si>
  <si>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</si>
  <si>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</si>
  <si>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</si>
  <si>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</si>
  <si>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</si>
  <si>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</si>
  <si>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</si>
  <si>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</si>
  <si>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</si>
  <si>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</si>
  <si>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</si>
  <si>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</si>
  <si>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</si>
  <si>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</si>
  <si>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</si>
  <si>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</si>
  <si>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</si>
  <si>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</si>
  <si>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</si>
  <si>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</si>
  <si>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</si>
  <si>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</si>
  <si>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</si>
  <si>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</si>
  <si>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</si>
  <si>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</si>
  <si>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</si>
  <si>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</si>
  <si>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</si>
  <si>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</si>
  <si>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</si>
  <si>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</si>
  <si>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</si>
  <si>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</si>
  <si>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</si>
  <si>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</si>
  <si>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</si>
  <si>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</si>
  <si>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</si>
  <si>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</si>
  <si>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</si>
  <si>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</si>
  <si>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</si>
  <si>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</si>
  <si>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</si>
  <si>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</si>
  <si>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</si>
  <si>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</si>
  <si>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</si>
  <si>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</si>
  <si>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</si>
  <si>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</si>
  <si>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</si>
  <si>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</si>
  <si>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</si>
  <si>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</si>
  <si>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</si>
  <si>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</si>
  <si>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</si>
  <si>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</si>
  <si>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</si>
  <si>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</si>
  <si>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</si>
  <si>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</si>
  <si>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</si>
  <si>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</si>
  <si>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</si>
  <si>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</si>
  <si>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</si>
  <si>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</si>
  <si>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</si>
  <si>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</si>
  <si>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</si>
  <si>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</si>
  <si>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</si>
  <si>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</si>
  <si>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</si>
  <si>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</si>
  <si>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</si>
  <si>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</si>
  <si>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</si>
  <si>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</si>
  <si>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</si>
  <si>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</si>
  <si>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</si>
  <si>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</si>
  <si>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</si>
  <si>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</si>
  <si>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</si>
  <si>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</si>
  <si>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</si>
  <si>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</si>
  <si>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</si>
  <si>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</si>
  <si>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</si>
  <si>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</si>
  <si>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</si>
  <si>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</si>
  <si>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</si>
  <si>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</si>
  <si>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EB-2015-XXXX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</si>
  <si>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</si>
  <si>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</si>
  <si>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</si>
  <si>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</si>
  <si>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</si>
  <si>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</si>
  <si>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</si>
  <si>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</si>
  <si>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</si>
  <si>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</si>
  <si>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</si>
  <si>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</si>
  <si>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</si>
  <si>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</si>
  <si>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</si>
  <si>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</si>
  <si>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</si>
  <si>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</si>
  <si>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</si>
  <si>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</si>
  <si>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</si>
  <si>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</si>
  <si>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</si>
  <si>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</si>
  <si>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</si>
  <si>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</si>
  <si>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</si>
  <si>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</si>
  <si>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</si>
  <si>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</si>
  <si>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</si>
  <si>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</si>
  <si>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</si>
  <si>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</si>
  <si>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</si>
  <si>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</si>
  <si>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</si>
  <si>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</si>
  <si>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</si>
  <si>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</si>
  <si>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</si>
  <si>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</si>
  <si>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</si>
  <si>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</si>
  <si>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</si>
  <si>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</si>
  <si>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</si>
  <si>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</si>
  <si>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</si>
  <si>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</si>
  <si>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</si>
  <si>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</si>
  <si>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</si>
  <si>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</si>
  <si>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</si>
  <si>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</si>
  <si>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</si>
  <si>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</si>
  <si>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</si>
  <si>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</si>
  <si>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</si>
  <si>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</si>
  <si>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</si>
  <si>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</si>
  <si>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</si>
  <si>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</si>
  <si>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</si>
  <si>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</si>
  <si>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</si>
  <si>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</si>
  <si>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</si>
  <si>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</si>
  <si>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</si>
  <si>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</si>
  <si>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</si>
  <si>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</si>
  <si>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</si>
  <si>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</si>
  <si>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</si>
  <si>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</si>
  <si>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</si>
  <si>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</si>
  <si>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</si>
  <si>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</si>
  <si>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</si>
  <si>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</si>
  <si>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</si>
  <si>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</si>
  <si>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</si>
  <si>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</si>
  <si>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</si>
  <si>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</si>
  <si>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</si>
  <si>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</si>
  <si>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</si>
  <si>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</si>
  <si>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</si>
  <si>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</si>
  <si>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</si>
  <si>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</si>
  <si>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</si>
  <si>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</si>
  <si>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</si>
  <si>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</si>
  <si>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</si>
  <si>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</si>
  <si>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</si>
  <si>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</si>
  <si>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</si>
  <si>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</si>
  <si>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</si>
  <si>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</si>
  <si>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</si>
  <si>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GS&gt;50-4999 kW</t>
  </si>
  <si>
    <t>USL</t>
  </si>
  <si>
    <t>2013 Settlement Agreement, p. 20</t>
  </si>
  <si>
    <t xml:space="preserve">Persistence </t>
  </si>
  <si>
    <t>Section 3.3 of Settlement. Disposed of in last CoS</t>
  </si>
  <si>
    <t>EB-2013-0180</t>
  </si>
  <si>
    <t>EB-2014-0123</t>
  </si>
  <si>
    <t>EB-2017-0084</t>
  </si>
  <si>
    <t>2018 COS/IRM Application</t>
  </si>
  <si>
    <t>EB-2012-0184</t>
  </si>
  <si>
    <t>2014-2015</t>
  </si>
  <si>
    <t>Note: As calculated in Appendix 2-I of the application</t>
  </si>
  <si>
    <t xml:space="preserve"> </t>
  </si>
  <si>
    <t>EB-2016-0113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</si>
</sst>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9" tint="0.39997558519241921"/>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7" fillId="28" borderId="35" xfId="0" applyNumberFormat="1" applyFont="1" applyFill="1" applyBorder="1" applyAlignment="1">
      <alignment vertical="top"/>
    </xf>
    <xf numFmtId="2" fontId="91" fillId="97" borderId="110" xfId="0"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0" fontId="0" fillId="2" borderId="110" xfId="0" applyFill="1" applyBorder="1" applyAlignment="1">
      <alignment horizontal="center" vertical="center"/>
    </xf>
    <xf numFmtId="0" fontId="0" fillId="28" borderId="110" xfId="0" applyFill="1" applyBorder="1" applyAlignment="1">
      <alignment horizontal="left" vertical="center"/>
    </xf>
    <xf numFmtId="0" fontId="0" fillId="90" borderId="110" xfId="0"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91" fillId="97" borderId="110"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652991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2625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613186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4" t="s">
        <v>175</v>
      </c>
      <c r="C3" s="754"/>
    </row>
    <row r="4" spans="1:3" ht="11.25" customHeight="1"/>
    <row r="5" spans="1:3" s="30" customFormat="1" ht="25.5" customHeight="1">
      <c r="B5" s="62" t="s">
        <v>422</v>
      </c>
      <c r="C5" s="62" t="s">
        <v>174</v>
      </c>
    </row>
    <row r="6" spans="1:3" s="178" customFormat="1" ht="48" customHeight="1">
      <c r="A6" s="243"/>
      <c r="B6" s="620" t="s">
        <v>171</v>
      </c>
      <c r="C6" s="673" t="s">
        <v>610</v>
      </c>
    </row>
    <row r="7" spans="1:3" s="178" customFormat="1" ht="21" customHeight="1">
      <c r="A7" s="243"/>
      <c r="B7" s="614" t="s">
        <v>554</v>
      </c>
      <c r="C7" s="674" t="s">
        <v>623</v>
      </c>
    </row>
    <row r="8" spans="1:3" s="178" customFormat="1" ht="32.25" customHeight="1">
      <c r="B8" s="614" t="s">
        <v>369</v>
      </c>
      <c r="C8" s="675" t="s">
        <v>611</v>
      </c>
    </row>
    <row r="9" spans="1:3" s="178" customFormat="1" ht="27.75" customHeight="1">
      <c r="B9" s="614" t="s">
        <v>170</v>
      </c>
      <c r="C9" s="675" t="s">
        <v>612</v>
      </c>
    </row>
    <row r="10" spans="1:3" s="178" customFormat="1" ht="33" customHeight="1">
      <c r="B10" s="614" t="s">
        <v>608</v>
      </c>
      <c r="C10" s="674" t="s">
        <v>616</v>
      </c>
    </row>
    <row r="11" spans="1:3" s="178" customFormat="1" ht="26.25" customHeight="1">
      <c r="B11" s="629" t="s">
        <v>370</v>
      </c>
      <c r="C11" s="677" t="s">
        <v>613</v>
      </c>
    </row>
    <row r="12" spans="1:3" s="178" customFormat="1" ht="39.75" customHeight="1">
      <c r="B12" s="614" t="s">
        <v>371</v>
      </c>
      <c r="C12" s="675" t="s">
        <v>614</v>
      </c>
    </row>
    <row r="13" spans="1:3" s="178" customFormat="1" ht="18" customHeight="1">
      <c r="B13" s="614" t="s">
        <v>372</v>
      </c>
      <c r="C13" s="675" t="s">
        <v>615</v>
      </c>
    </row>
    <row r="14" spans="1:3" s="178" customFormat="1" ht="13.5" customHeight="1">
      <c r="B14" s="614"/>
      <c r="C14" s="676"/>
    </row>
    <row r="15" spans="1:3" s="178" customFormat="1" ht="18" customHeight="1">
      <c r="B15" s="614" t="s">
        <v>687</v>
      </c>
      <c r="C15" s="674" t="s">
        <v>685</v>
      </c>
    </row>
    <row r="16" spans="1:3" s="178" customFormat="1" ht="8.25" customHeight="1">
      <c r="B16" s="614"/>
      <c r="C16" s="676"/>
    </row>
    <row r="17" spans="2:3" s="178" customFormat="1" ht="33" customHeight="1">
      <c r="B17" s="678" t="s">
        <v>609</v>
      </c>
      <c r="C17" s="679" t="s">
        <v>686</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392" zoomScale="70" zoomScaleNormal="70" zoomScaleSheetLayoutView="80" zoomScalePageLayoutView="85" workbookViewId="0">
      <selection activeCell="Z102" sqref="Z102:AA102"/>
    </sheetView>
  </sheetViews>
  <sheetFormatPr defaultColWidth="9.140625" defaultRowHeight="14.25" outlineLevelRow="1" outlineLevelCol="1"/>
  <cols>
    <col min="1" max="1" width="4.7109375" style="511" customWidth="1"/>
    <col min="2" max="2" width="43.7109375" style="256" customWidth="1"/>
    <col min="3" max="3" width="14" style="256" customWidth="1"/>
    <col min="4" max="4" width="18.140625" style="255" customWidth="1"/>
    <col min="5" max="7" width="13.42578125" style="255" hidden="1" customWidth="1" outlineLevel="1"/>
    <col min="8" max="8" width="13" style="255" hidden="1" customWidth="1" outlineLevel="1"/>
    <col min="9" max="9" width="13.42578125" style="255" hidden="1" customWidth="1" outlineLevel="1"/>
    <col min="10" max="10" width="13" style="255" hidden="1" customWidth="1" outlineLevel="1"/>
    <col min="11" max="11" width="13.42578125" style="255" hidden="1" customWidth="1" outlineLevel="1"/>
    <col min="12" max="12" width="13" style="255" hidden="1" customWidth="1" outlineLevel="1"/>
    <col min="13" max="13" width="12.5703125" style="255" hidden="1" customWidth="1" outlineLevel="1"/>
    <col min="14" max="14" width="12.42578125" style="255" hidden="1" customWidth="1" outlineLevel="1"/>
    <col min="15" max="15" width="17.5703125" style="255" customWidth="1" collapsed="1"/>
    <col min="16" max="24" width="9.42578125" style="255" hidden="1" customWidth="1" outlineLevel="1"/>
    <col min="25" max="25" width="14.85546875" style="257" bestFit="1" customWidth="1" collapsed="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19"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9"/>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1" t="s">
        <v>553</v>
      </c>
      <c r="D5" s="802"/>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9" t="s">
        <v>507</v>
      </c>
      <c r="C7" s="818" t="s">
        <v>646</v>
      </c>
      <c r="D7" s="818"/>
      <c r="E7" s="818"/>
      <c r="F7" s="818"/>
      <c r="G7" s="818"/>
      <c r="H7" s="818"/>
      <c r="I7" s="818"/>
      <c r="J7" s="818"/>
      <c r="K7" s="818"/>
      <c r="L7" s="818"/>
      <c r="M7" s="818"/>
      <c r="N7" s="818"/>
      <c r="O7" s="818"/>
      <c r="P7" s="818"/>
      <c r="Q7" s="818"/>
      <c r="R7" s="818"/>
      <c r="S7" s="818"/>
      <c r="T7" s="818"/>
      <c r="U7" s="818"/>
      <c r="V7" s="818"/>
      <c r="W7" s="818"/>
      <c r="X7" s="818"/>
      <c r="Y7" s="608"/>
      <c r="Z7" s="608"/>
      <c r="AA7" s="608"/>
      <c r="AB7" s="608"/>
      <c r="AC7" s="608"/>
      <c r="AD7" s="608"/>
      <c r="AE7" s="272"/>
      <c r="AF7" s="272"/>
      <c r="AG7" s="272"/>
      <c r="AH7" s="272"/>
      <c r="AI7" s="272"/>
      <c r="AJ7" s="272"/>
      <c r="AK7" s="272"/>
      <c r="AL7" s="272"/>
    </row>
    <row r="8" spans="1:39" s="273" customFormat="1" ht="58.5" customHeight="1">
      <c r="A8" s="511"/>
      <c r="B8" s="819"/>
      <c r="C8" s="818" t="s">
        <v>580</v>
      </c>
      <c r="D8" s="818"/>
      <c r="E8" s="818"/>
      <c r="F8" s="818"/>
      <c r="G8" s="818"/>
      <c r="H8" s="818"/>
      <c r="I8" s="818"/>
      <c r="J8" s="818"/>
      <c r="K8" s="818"/>
      <c r="L8" s="818"/>
      <c r="M8" s="818"/>
      <c r="N8" s="818"/>
      <c r="O8" s="818"/>
      <c r="P8" s="818"/>
      <c r="Q8" s="818"/>
      <c r="R8" s="818"/>
      <c r="S8" s="818"/>
      <c r="T8" s="818"/>
      <c r="U8" s="818"/>
      <c r="V8" s="818"/>
      <c r="W8" s="818"/>
      <c r="X8" s="818"/>
      <c r="Y8" s="608"/>
      <c r="Z8" s="608"/>
      <c r="AA8" s="608"/>
      <c r="AB8" s="608"/>
      <c r="AC8" s="608"/>
      <c r="AD8" s="608"/>
      <c r="AE8" s="274"/>
      <c r="AF8" s="257"/>
      <c r="AG8" s="257"/>
      <c r="AH8" s="257"/>
      <c r="AI8" s="257"/>
      <c r="AJ8" s="257"/>
      <c r="AK8" s="257"/>
      <c r="AL8" s="257"/>
      <c r="AM8" s="258"/>
    </row>
    <row r="9" spans="1:39" s="273" customFormat="1" ht="57.75" customHeight="1">
      <c r="A9" s="511"/>
      <c r="B9" s="275"/>
      <c r="C9" s="818" t="s">
        <v>579</v>
      </c>
      <c r="D9" s="818"/>
      <c r="E9" s="818"/>
      <c r="F9" s="818"/>
      <c r="G9" s="818"/>
      <c r="H9" s="818"/>
      <c r="I9" s="818"/>
      <c r="J9" s="818"/>
      <c r="K9" s="818"/>
      <c r="L9" s="818"/>
      <c r="M9" s="818"/>
      <c r="N9" s="818"/>
      <c r="O9" s="818"/>
      <c r="P9" s="818"/>
      <c r="Q9" s="818"/>
      <c r="R9" s="818"/>
      <c r="S9" s="818"/>
      <c r="T9" s="818"/>
      <c r="U9" s="818"/>
      <c r="V9" s="818"/>
      <c r="W9" s="818"/>
      <c r="X9" s="818"/>
      <c r="Y9" s="608"/>
      <c r="Z9" s="608"/>
      <c r="AA9" s="608"/>
      <c r="AB9" s="608"/>
      <c r="AC9" s="608"/>
      <c r="AD9" s="608"/>
      <c r="AE9" s="274"/>
      <c r="AF9" s="257"/>
      <c r="AG9" s="257"/>
      <c r="AH9" s="257"/>
      <c r="AI9" s="257"/>
      <c r="AJ9" s="257"/>
      <c r="AK9" s="257"/>
      <c r="AL9" s="257"/>
      <c r="AM9" s="258"/>
    </row>
    <row r="10" spans="1:39" ht="41.25" customHeight="1">
      <c r="B10" s="277"/>
      <c r="C10" s="818" t="s">
        <v>649</v>
      </c>
      <c r="D10" s="818"/>
      <c r="E10" s="818"/>
      <c r="F10" s="818"/>
      <c r="G10" s="818"/>
      <c r="H10" s="818"/>
      <c r="I10" s="818"/>
      <c r="J10" s="818"/>
      <c r="K10" s="818"/>
      <c r="L10" s="818"/>
      <c r="M10" s="818"/>
      <c r="N10" s="818"/>
      <c r="O10" s="818"/>
      <c r="P10" s="818"/>
      <c r="Q10" s="818"/>
      <c r="R10" s="818"/>
      <c r="S10" s="818"/>
      <c r="T10" s="818"/>
      <c r="U10" s="818"/>
      <c r="V10" s="818"/>
      <c r="W10" s="818"/>
      <c r="X10" s="818"/>
      <c r="Y10" s="608"/>
      <c r="Z10" s="608"/>
      <c r="AA10" s="608"/>
      <c r="AB10" s="608"/>
      <c r="AC10" s="608"/>
      <c r="AD10" s="608"/>
      <c r="AE10" s="274"/>
      <c r="AF10" s="278"/>
      <c r="AG10" s="278"/>
      <c r="AH10" s="278"/>
      <c r="AI10" s="278"/>
      <c r="AJ10" s="278"/>
      <c r="AK10" s="278"/>
      <c r="AL10" s="278"/>
    </row>
    <row r="11" spans="1:39" ht="53.25" customHeight="1">
      <c r="C11" s="818" t="s">
        <v>632</v>
      </c>
      <c r="D11" s="818"/>
      <c r="E11" s="818"/>
      <c r="F11" s="818"/>
      <c r="G11" s="818"/>
      <c r="H11" s="818"/>
      <c r="I11" s="818"/>
      <c r="J11" s="818"/>
      <c r="K11" s="818"/>
      <c r="L11" s="818"/>
      <c r="M11" s="818"/>
      <c r="N11" s="818"/>
      <c r="O11" s="818"/>
      <c r="P11" s="818"/>
      <c r="Q11" s="818"/>
      <c r="R11" s="818"/>
      <c r="S11" s="818"/>
      <c r="T11" s="818"/>
      <c r="U11" s="818"/>
      <c r="V11" s="818"/>
      <c r="W11" s="818"/>
      <c r="X11" s="818"/>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9" t="s">
        <v>529</v>
      </c>
      <c r="C13" s="593" t="s">
        <v>524</v>
      </c>
      <c r="D13" s="543"/>
      <c r="E13" s="820" t="s">
        <v>691</v>
      </c>
      <c r="F13" s="820"/>
      <c r="G13" s="820"/>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19"/>
      <c r="C14" s="593" t="s">
        <v>525</v>
      </c>
      <c r="D14" s="543"/>
      <c r="E14" s="749">
        <v>1</v>
      </c>
      <c r="F14" s="749">
        <v>0.99813200498132004</v>
      </c>
      <c r="G14" s="749">
        <v>0.94510293200249529</v>
      </c>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526</v>
      </c>
      <c r="D15" s="543"/>
      <c r="E15" s="749"/>
      <c r="F15" s="749">
        <v>0.97695852534562211</v>
      </c>
      <c r="G15" s="749">
        <v>0.85242587601078168</v>
      </c>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527</v>
      </c>
      <c r="D16" s="543"/>
      <c r="E16" s="749"/>
      <c r="F16" s="749"/>
      <c r="G16" s="749">
        <v>0.99851485148514851</v>
      </c>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9" t="s">
        <v>212</v>
      </c>
      <c r="C19" s="811" t="s">
        <v>33</v>
      </c>
      <c r="D19" s="286" t="s">
        <v>424</v>
      </c>
      <c r="E19" s="813" t="s">
        <v>210</v>
      </c>
      <c r="F19" s="814"/>
      <c r="G19" s="814"/>
      <c r="H19" s="814"/>
      <c r="I19" s="814"/>
      <c r="J19" s="814"/>
      <c r="K19" s="814"/>
      <c r="L19" s="814"/>
      <c r="M19" s="815"/>
      <c r="N19" s="816" t="s">
        <v>214</v>
      </c>
      <c r="O19" s="286" t="s">
        <v>425</v>
      </c>
      <c r="P19" s="813" t="s">
        <v>213</v>
      </c>
      <c r="Q19" s="814"/>
      <c r="R19" s="814"/>
      <c r="S19" s="814"/>
      <c r="T19" s="814"/>
      <c r="U19" s="814"/>
      <c r="V19" s="814"/>
      <c r="W19" s="814"/>
      <c r="X19" s="815"/>
      <c r="Y19" s="806" t="s">
        <v>244</v>
      </c>
      <c r="Z19" s="807"/>
      <c r="AA19" s="807"/>
      <c r="AB19" s="807"/>
      <c r="AC19" s="807"/>
      <c r="AD19" s="807"/>
      <c r="AE19" s="807"/>
      <c r="AF19" s="807"/>
      <c r="AG19" s="807"/>
      <c r="AH19" s="807"/>
      <c r="AI19" s="807"/>
      <c r="AJ19" s="807"/>
      <c r="AK19" s="807"/>
      <c r="AL19" s="807"/>
      <c r="AM19" s="808"/>
    </row>
    <row r="20" spans="1:39" s="285" customFormat="1" ht="59.25" customHeight="1">
      <c r="A20" s="511"/>
      <c r="B20" s="810"/>
      <c r="C20" s="812"/>
      <c r="D20" s="287">
        <v>2011</v>
      </c>
      <c r="E20" s="287">
        <v>2012</v>
      </c>
      <c r="F20" s="287">
        <v>2013</v>
      </c>
      <c r="G20" s="287">
        <v>2014</v>
      </c>
      <c r="H20" s="287">
        <v>2015</v>
      </c>
      <c r="I20" s="287">
        <v>2016</v>
      </c>
      <c r="J20" s="287">
        <v>2017</v>
      </c>
      <c r="K20" s="287">
        <v>2018</v>
      </c>
      <c r="L20" s="287">
        <v>2019</v>
      </c>
      <c r="M20" s="287">
        <v>2020</v>
      </c>
      <c r="N20" s="817"/>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GS&gt;50-4999 kW</v>
      </c>
      <c r="AB20" s="288" t="str">
        <f>'1.  LRAMVA Summary'!G50</f>
        <v>USL</v>
      </c>
      <c r="AC20" s="288" t="str">
        <f>'1.  LRAMVA Summary'!H50</f>
        <v>Sentinel Lighting</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kWh</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123291.91127885281</v>
      </c>
      <c r="E22" s="297">
        <v>123291.91127885281</v>
      </c>
      <c r="F22" s="297">
        <v>123291.91127885281</v>
      </c>
      <c r="G22" s="297">
        <v>122685.54219708472</v>
      </c>
      <c r="H22" s="297">
        <v>90419.626389137338</v>
      </c>
      <c r="I22" s="297">
        <v>0</v>
      </c>
      <c r="J22" s="297">
        <v>0</v>
      </c>
      <c r="K22" s="297">
        <v>0</v>
      </c>
      <c r="L22" s="297">
        <v>0</v>
      </c>
      <c r="M22" s="297">
        <v>0</v>
      </c>
      <c r="N22" s="293"/>
      <c r="O22" s="297">
        <v>17.732586903948185</v>
      </c>
      <c r="P22" s="297">
        <v>17.732586903948185</v>
      </c>
      <c r="Q22" s="297">
        <v>17.732586903948185</v>
      </c>
      <c r="R22" s="297">
        <v>17.05451468200603</v>
      </c>
      <c r="S22" s="297">
        <v>11.888347462863651</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4670.9204906472778</v>
      </c>
      <c r="E25" s="297">
        <v>4670.9204906472778</v>
      </c>
      <c r="F25" s="297">
        <v>4670.9204906472778</v>
      </c>
      <c r="G25" s="297">
        <v>2426.9552556643221</v>
      </c>
      <c r="H25" s="297">
        <v>0</v>
      </c>
      <c r="I25" s="297">
        <v>0</v>
      </c>
      <c r="J25" s="297">
        <v>0</v>
      </c>
      <c r="K25" s="297">
        <v>0</v>
      </c>
      <c r="L25" s="297">
        <v>0</v>
      </c>
      <c r="M25" s="297">
        <v>0</v>
      </c>
      <c r="N25" s="293"/>
      <c r="O25" s="297">
        <v>3.870430864494161</v>
      </c>
      <c r="P25" s="297">
        <v>3.870430864494161</v>
      </c>
      <c r="Q25" s="297">
        <v>3.870430864494161</v>
      </c>
      <c r="R25" s="297">
        <v>1.3611167543334919</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118837.11619023261</v>
      </c>
      <c r="E28" s="297">
        <v>118837.11619023261</v>
      </c>
      <c r="F28" s="297">
        <v>118837.11619023261</v>
      </c>
      <c r="G28" s="297">
        <v>118837.11619023261</v>
      </c>
      <c r="H28" s="297">
        <v>118837.11619023261</v>
      </c>
      <c r="I28" s="297">
        <v>118837.11619023261</v>
      </c>
      <c r="J28" s="297">
        <v>118837.11619023261</v>
      </c>
      <c r="K28" s="297">
        <v>118837.11619023261</v>
      </c>
      <c r="L28" s="297">
        <v>118837.11619023261</v>
      </c>
      <c r="M28" s="297">
        <v>118837.11619023261</v>
      </c>
      <c r="N28" s="293"/>
      <c r="O28" s="297">
        <v>59.434033292861734</v>
      </c>
      <c r="P28" s="297">
        <v>59.434033292861734</v>
      </c>
      <c r="Q28" s="297">
        <v>59.434033292861734</v>
      </c>
      <c r="R28" s="297">
        <v>59.434033292861734</v>
      </c>
      <c r="S28" s="297">
        <v>59.434033292861734</v>
      </c>
      <c r="T28" s="297">
        <v>59.434033292861734</v>
      </c>
      <c r="U28" s="297">
        <v>59.434033292861734</v>
      </c>
      <c r="V28" s="297">
        <v>59.434033292861734</v>
      </c>
      <c r="W28" s="297">
        <v>59.434033292861734</v>
      </c>
      <c r="X28" s="297">
        <v>59.434033292861734</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-13454.212762465859</v>
      </c>
      <c r="E29" s="297">
        <v>-13454.212762465859</v>
      </c>
      <c r="F29" s="297">
        <v>-13454.212762465859</v>
      </c>
      <c r="G29" s="297">
        <v>-13454.212762465859</v>
      </c>
      <c r="H29" s="297">
        <v>-13454.212762465859</v>
      </c>
      <c r="I29" s="297">
        <v>-13454.212762465859</v>
      </c>
      <c r="J29" s="297">
        <v>-13454.212762465859</v>
      </c>
      <c r="K29" s="297">
        <v>-13454.212762465859</v>
      </c>
      <c r="L29" s="297">
        <v>-13454.212762465859</v>
      </c>
      <c r="M29" s="297">
        <v>-13454.212762465859</v>
      </c>
      <c r="N29" s="470"/>
      <c r="O29" s="297">
        <v>-6.821500819060061</v>
      </c>
      <c r="P29" s="297">
        <v>-6.821500819060061</v>
      </c>
      <c r="Q29" s="297">
        <v>-6.821500819060061</v>
      </c>
      <c r="R29" s="297">
        <v>-6.821500819060061</v>
      </c>
      <c r="S29" s="297">
        <v>-6.821500819060061</v>
      </c>
      <c r="T29" s="297">
        <v>-6.821500819060061</v>
      </c>
      <c r="U29" s="297">
        <v>-6.821500819060061</v>
      </c>
      <c r="V29" s="297">
        <v>-6.821500819060061</v>
      </c>
      <c r="W29" s="297">
        <v>-6.821500819060061</v>
      </c>
      <c r="X29" s="297">
        <v>-6.821500819060061</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104122.67761841176</v>
      </c>
      <c r="E31" s="297">
        <v>104122.67761841176</v>
      </c>
      <c r="F31" s="297">
        <v>104122.67761841176</v>
      </c>
      <c r="G31" s="297">
        <v>104122.67761841176</v>
      </c>
      <c r="H31" s="297">
        <v>95717.226295397282</v>
      </c>
      <c r="I31" s="297">
        <v>86534.624787382505</v>
      </c>
      <c r="J31" s="297">
        <v>67931.841039143314</v>
      </c>
      <c r="K31" s="297">
        <v>67507.204087578517</v>
      </c>
      <c r="L31" s="297">
        <v>85095.256918607731</v>
      </c>
      <c r="M31" s="297">
        <v>32306.369813849378</v>
      </c>
      <c r="N31" s="293"/>
      <c r="O31" s="297">
        <v>6.3757201072994754</v>
      </c>
      <c r="P31" s="297">
        <v>6.3757201072994754</v>
      </c>
      <c r="Q31" s="297">
        <v>6.3757201072994754</v>
      </c>
      <c r="R31" s="297">
        <v>6.3757201072994754</v>
      </c>
      <c r="S31" s="297">
        <v>5.9865229140968701</v>
      </c>
      <c r="T31" s="297">
        <v>5.5613413746556706</v>
      </c>
      <c r="U31" s="297">
        <v>4.6999776069843353</v>
      </c>
      <c r="V31" s="297">
        <v>4.6515030691344732</v>
      </c>
      <c r="W31" s="297">
        <v>5.465881801778278</v>
      </c>
      <c r="X31" s="297">
        <v>3.0216005961745589</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1491.6974580784581</v>
      </c>
      <c r="E32" s="297">
        <v>1491.6974580784581</v>
      </c>
      <c r="F32" s="297">
        <v>1491.6974580784581</v>
      </c>
      <c r="G32" s="297">
        <v>1491.6974580784581</v>
      </c>
      <c r="H32" s="297">
        <v>1491.6974580784581</v>
      </c>
      <c r="I32" s="297">
        <v>1362.9352954471171</v>
      </c>
      <c r="J32" s="297">
        <v>836.14902151165188</v>
      </c>
      <c r="K32" s="297">
        <v>835.01058464418588</v>
      </c>
      <c r="L32" s="297">
        <v>835.01058464418588</v>
      </c>
      <c r="M32" s="297">
        <v>295.77296689693662</v>
      </c>
      <c r="N32" s="470"/>
      <c r="O32" s="297">
        <v>8.6999999999999994E-2</v>
      </c>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159029.18637801186</v>
      </c>
      <c r="E34" s="297">
        <v>159029.18637801186</v>
      </c>
      <c r="F34" s="297">
        <v>159029.18637801186</v>
      </c>
      <c r="G34" s="297">
        <v>159029.18637801186</v>
      </c>
      <c r="H34" s="297">
        <v>145340.96467467977</v>
      </c>
      <c r="I34" s="297">
        <v>130387.15905202349</v>
      </c>
      <c r="J34" s="297">
        <v>98303.605951313133</v>
      </c>
      <c r="K34" s="297">
        <v>97944.99833806137</v>
      </c>
      <c r="L34" s="297">
        <v>126587.0256640498</v>
      </c>
      <c r="M34" s="297">
        <v>40620.673306070901</v>
      </c>
      <c r="N34" s="293"/>
      <c r="O34" s="297">
        <v>9.0992558215015826</v>
      </c>
      <c r="P34" s="297">
        <v>9.0992558215015826</v>
      </c>
      <c r="Q34" s="297">
        <v>9.0992558215015826</v>
      </c>
      <c r="R34" s="297">
        <v>9.0992558215015826</v>
      </c>
      <c r="S34" s="297">
        <v>8.4654507749736059</v>
      </c>
      <c r="T34" s="297">
        <v>7.7730454593780172</v>
      </c>
      <c r="U34" s="297">
        <v>6.2874823010293657</v>
      </c>
      <c r="V34" s="297">
        <v>6.2465453588773379</v>
      </c>
      <c r="W34" s="297">
        <v>7.5727557210009033</v>
      </c>
      <c r="X34" s="297">
        <v>3.5922599972338078</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11815.337498112014</v>
      </c>
      <c r="E35" s="297">
        <v>11815.337498112014</v>
      </c>
      <c r="F35" s="297">
        <v>11815.337498112014</v>
      </c>
      <c r="G35" s="297">
        <v>11815.337498112014</v>
      </c>
      <c r="H35" s="297">
        <v>11815.337498112014</v>
      </c>
      <c r="I35" s="297">
        <v>10736.755084636841</v>
      </c>
      <c r="J35" s="297">
        <v>5796.6576345312242</v>
      </c>
      <c r="K35" s="297">
        <v>5795.4767120494462</v>
      </c>
      <c r="L35" s="297">
        <v>5795.4767120494462</v>
      </c>
      <c r="M35" s="297">
        <v>1278.5270173503507</v>
      </c>
      <c r="N35" s="470"/>
      <c r="O35" s="297">
        <v>0.58370238719051315</v>
      </c>
      <c r="P35" s="297">
        <v>0.58370238719051315</v>
      </c>
      <c r="Q35" s="297">
        <v>0.58370238719051315</v>
      </c>
      <c r="R35" s="297">
        <v>0.58370238719051315</v>
      </c>
      <c r="S35" s="297">
        <v>0.58370238719051315</v>
      </c>
      <c r="T35" s="297">
        <v>0.53376083951741538</v>
      </c>
      <c r="U35" s="297">
        <v>0.30501975378129315</v>
      </c>
      <c r="V35" s="297">
        <v>0.30488494527880705</v>
      </c>
      <c r="W35" s="297">
        <v>0.30488494527880705</v>
      </c>
      <c r="X35" s="297">
        <v>9.5736848947462871E-2</v>
      </c>
      <c r="Y35" s="413">
        <v>3.9777474117098623E-2</v>
      </c>
      <c r="Z35" s="413">
        <v>3.9766826041656211E-2</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v>0</v>
      </c>
      <c r="E40" s="297"/>
      <c r="F40" s="297"/>
      <c r="G40" s="297"/>
      <c r="H40" s="297"/>
      <c r="I40" s="297"/>
      <c r="J40" s="297"/>
      <c r="K40" s="297"/>
      <c r="L40" s="297"/>
      <c r="M40" s="297"/>
      <c r="N40" s="293"/>
      <c r="O40" s="297">
        <v>0</v>
      </c>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487</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v>0</v>
      </c>
      <c r="E46" s="297"/>
      <c r="F46" s="297"/>
      <c r="G46" s="297"/>
      <c r="H46" s="297"/>
      <c r="I46" s="297"/>
      <c r="J46" s="297"/>
      <c r="K46" s="297"/>
      <c r="L46" s="297"/>
      <c r="M46" s="297"/>
      <c r="N46" s="293"/>
      <c r="O46" s="297">
        <v>0</v>
      </c>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337376.38769651263</v>
      </c>
      <c r="E50" s="297">
        <v>337376.38769651263</v>
      </c>
      <c r="F50" s="297">
        <v>337376.38769651263</v>
      </c>
      <c r="G50" s="297">
        <v>337376.38769651263</v>
      </c>
      <c r="H50" s="297">
        <v>337376.38769651263</v>
      </c>
      <c r="I50" s="297">
        <v>337376.38769651263</v>
      </c>
      <c r="J50" s="297">
        <v>337376.38769651263</v>
      </c>
      <c r="K50" s="297">
        <v>337376.38769651263</v>
      </c>
      <c r="L50" s="297">
        <v>337376.38769651263</v>
      </c>
      <c r="M50" s="297">
        <v>337376.38769651263</v>
      </c>
      <c r="N50" s="297">
        <v>12</v>
      </c>
      <c r="O50" s="297">
        <v>63.165597095192233</v>
      </c>
      <c r="P50" s="297">
        <v>63.165597095192233</v>
      </c>
      <c r="Q50" s="297">
        <v>63.165597095192233</v>
      </c>
      <c r="R50" s="297">
        <v>63.165597095192233</v>
      </c>
      <c r="S50" s="297">
        <v>63.165597095192233</v>
      </c>
      <c r="T50" s="297">
        <v>63.165597095192233</v>
      </c>
      <c r="U50" s="297">
        <v>63.165597095192233</v>
      </c>
      <c r="V50" s="297">
        <v>63.165597095192233</v>
      </c>
      <c r="W50" s="297">
        <v>63.165597095192233</v>
      </c>
      <c r="X50" s="297">
        <v>63.165597095192233</v>
      </c>
      <c r="Y50" s="417"/>
      <c r="Z50" s="417">
        <v>1</v>
      </c>
      <c r="AA50" s="417">
        <v>0</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v>637582.02223938971</v>
      </c>
      <c r="E51" s="297">
        <v>637582.02223938971</v>
      </c>
      <c r="F51" s="297">
        <v>637582.02223938971</v>
      </c>
      <c r="G51" s="297">
        <v>274292.60349004494</v>
      </c>
      <c r="H51" s="297">
        <v>274292.60349004494</v>
      </c>
      <c r="I51" s="297">
        <v>274292.60349004494</v>
      </c>
      <c r="J51" s="297">
        <v>197523.74693630062</v>
      </c>
      <c r="K51" s="297">
        <v>197523.74693630062</v>
      </c>
      <c r="L51" s="297">
        <v>185958.62417468202</v>
      </c>
      <c r="M51" s="297">
        <v>185958.62417468202</v>
      </c>
      <c r="N51" s="297">
        <f>N50</f>
        <v>12</v>
      </c>
      <c r="O51" s="297">
        <v>144.50806282547103</v>
      </c>
      <c r="P51" s="297">
        <v>144.50806282547103</v>
      </c>
      <c r="Q51" s="297">
        <v>144.50806282547103</v>
      </c>
      <c r="R51" s="297">
        <v>49.630943768231255</v>
      </c>
      <c r="S51" s="297">
        <v>49.630943768231255</v>
      </c>
      <c r="T51" s="297">
        <v>49.630943768231255</v>
      </c>
      <c r="U51" s="297">
        <v>29.58189315670446</v>
      </c>
      <c r="V51" s="297">
        <v>29.58189315670446</v>
      </c>
      <c r="W51" s="297">
        <v>26.561531228897383</v>
      </c>
      <c r="X51" s="297">
        <v>26.561531228897383</v>
      </c>
      <c r="Y51" s="413">
        <f>Y50</f>
        <v>0</v>
      </c>
      <c r="Z51" s="413">
        <f>Z50</f>
        <v>1</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500485.68640538334</v>
      </c>
      <c r="E53" s="297">
        <v>500485.68640538334</v>
      </c>
      <c r="F53" s="297">
        <v>497447.79363739822</v>
      </c>
      <c r="G53" s="297">
        <v>412557.08076904766</v>
      </c>
      <c r="H53" s="297">
        <v>412557.08076904766</v>
      </c>
      <c r="I53" s="297">
        <v>412557.08076904766</v>
      </c>
      <c r="J53" s="297">
        <v>114555.72938242956</v>
      </c>
      <c r="K53" s="297">
        <v>113772.17530781339</v>
      </c>
      <c r="L53" s="297">
        <v>113772.17530781339</v>
      </c>
      <c r="M53" s="297">
        <v>113772.17530781339</v>
      </c>
      <c r="N53" s="297">
        <v>12</v>
      </c>
      <c r="O53" s="297">
        <v>192.72344537983687</v>
      </c>
      <c r="P53" s="297">
        <v>192.72344537983687</v>
      </c>
      <c r="Q53" s="297">
        <v>191.63581007662677</v>
      </c>
      <c r="R53" s="297">
        <v>162.31574313161445</v>
      </c>
      <c r="S53" s="297">
        <v>162.31574313161445</v>
      </c>
      <c r="T53" s="297">
        <v>162.31574313161445</v>
      </c>
      <c r="U53" s="297">
        <v>43.515781532779279</v>
      </c>
      <c r="V53" s="297">
        <v>42.47192815914751</v>
      </c>
      <c r="W53" s="297">
        <v>42.47192815914751</v>
      </c>
      <c r="X53" s="297">
        <v>42.47192815914751</v>
      </c>
      <c r="Y53" s="417"/>
      <c r="Z53" s="417">
        <v>1</v>
      </c>
      <c r="AA53" s="417">
        <v>0</v>
      </c>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v>5238.994756478759</v>
      </c>
      <c r="E54" s="297">
        <v>5238.994756478759</v>
      </c>
      <c r="F54" s="297">
        <v>5238.994756478759</v>
      </c>
      <c r="G54" s="297">
        <v>4785.2417053284362</v>
      </c>
      <c r="H54" s="297">
        <v>4785.2417053284362</v>
      </c>
      <c r="I54" s="297">
        <v>4785.2417053284362</v>
      </c>
      <c r="J54" s="297">
        <v>788.27875001310724</v>
      </c>
      <c r="K54" s="297">
        <v>788.27875001310724</v>
      </c>
      <c r="L54" s="297">
        <v>788.27875001310724</v>
      </c>
      <c r="M54" s="297">
        <v>788.27875001310724</v>
      </c>
      <c r="N54" s="297">
        <f>N53</f>
        <v>12</v>
      </c>
      <c r="O54" s="297">
        <v>1.8100371412533134</v>
      </c>
      <c r="P54" s="297">
        <v>1.8100371412533134</v>
      </c>
      <c r="Q54" s="297">
        <v>1.8100371412533134</v>
      </c>
      <c r="R54" s="297">
        <v>1.6475831393967142</v>
      </c>
      <c r="S54" s="297">
        <v>1.6475831393967142</v>
      </c>
      <c r="T54" s="297">
        <v>1.6475831393967142</v>
      </c>
      <c r="U54" s="297">
        <v>0.26960451371946231</v>
      </c>
      <c r="V54" s="297">
        <v>0.26960451371946231</v>
      </c>
      <c r="W54" s="297">
        <v>0.26960451371946231</v>
      </c>
      <c r="X54" s="297">
        <v>0.26960451371946231</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v>0</v>
      </c>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v>0</v>
      </c>
      <c r="P62" s="297"/>
      <c r="Q62" s="297"/>
      <c r="R62" s="297"/>
      <c r="S62" s="297"/>
      <c r="T62" s="297"/>
      <c r="U62" s="297"/>
      <c r="V62" s="297"/>
      <c r="W62" s="297"/>
      <c r="X62" s="297"/>
      <c r="Y62" s="417"/>
      <c r="Z62" s="417">
        <v>0.5</v>
      </c>
      <c r="AA62" s="417">
        <v>0.5</v>
      </c>
      <c r="AB62" s="417"/>
      <c r="AC62" s="417"/>
      <c r="AD62" s="417"/>
      <c r="AE62" s="417"/>
      <c r="AF62" s="417"/>
      <c r="AG62" s="417"/>
      <c r="AH62" s="417"/>
      <c r="AI62" s="417"/>
      <c r="AJ62" s="417"/>
      <c r="AK62" s="417"/>
      <c r="AL62" s="417"/>
      <c r="AM62" s="298">
        <f>SUM(Y62:AL62)</f>
        <v>1</v>
      </c>
    </row>
    <row r="63" spans="1:42" s="285" customFormat="1" ht="15" outlineLevel="1">
      <c r="A63" s="511"/>
      <c r="B63" s="317" t="s">
        <v>215</v>
      </c>
      <c r="C63" s="293" t="s">
        <v>164</v>
      </c>
      <c r="D63" s="297">
        <v>25176.254462563076</v>
      </c>
      <c r="E63" s="297">
        <v>25176.254462563076</v>
      </c>
      <c r="F63" s="297">
        <v>25176.254462563076</v>
      </c>
      <c r="G63" s="297">
        <v>25176.254462563076</v>
      </c>
      <c r="H63" s="297">
        <v>25176.254462563076</v>
      </c>
      <c r="I63" s="297">
        <v>0</v>
      </c>
      <c r="J63" s="297">
        <v>0</v>
      </c>
      <c r="K63" s="297">
        <v>0</v>
      </c>
      <c r="L63" s="297">
        <v>0</v>
      </c>
      <c r="M63" s="297">
        <v>0</v>
      </c>
      <c r="N63" s="297">
        <f>N62</f>
        <v>12</v>
      </c>
      <c r="O63" s="297">
        <v>5.1771746295647825</v>
      </c>
      <c r="P63" s="297">
        <v>5.1771746295647825</v>
      </c>
      <c r="Q63" s="297">
        <v>5.1771746295647825</v>
      </c>
      <c r="R63" s="297">
        <v>5.1771746295647825</v>
      </c>
      <c r="S63" s="297">
        <v>5.1771746295647825</v>
      </c>
      <c r="T63" s="297">
        <v>0</v>
      </c>
      <c r="U63" s="297">
        <v>0</v>
      </c>
      <c r="V63" s="297">
        <v>0</v>
      </c>
      <c r="W63" s="297">
        <v>0</v>
      </c>
      <c r="X63" s="297">
        <v>0</v>
      </c>
      <c r="Y63" s="413">
        <f>Y62</f>
        <v>0</v>
      </c>
      <c r="Z63" s="413">
        <f>Z62</f>
        <v>0.5</v>
      </c>
      <c r="AA63" s="413">
        <f t="shared" ref="AA63:AL63" si="13">AA62</f>
        <v>0.5</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488</v>
      </c>
      <c r="C65" s="293" t="s">
        <v>25</v>
      </c>
      <c r="D65" s="297"/>
      <c r="E65" s="297"/>
      <c r="F65" s="297"/>
      <c r="G65" s="297"/>
      <c r="H65" s="297"/>
      <c r="I65" s="297"/>
      <c r="J65" s="297"/>
      <c r="K65" s="297"/>
      <c r="L65" s="297"/>
      <c r="M65" s="297"/>
      <c r="N65" s="293"/>
      <c r="O65" s="297">
        <v>0</v>
      </c>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489</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v>1</v>
      </c>
      <c r="AB75" s="417"/>
      <c r="AC75" s="417"/>
      <c r="AD75" s="417"/>
      <c r="AE75" s="417"/>
      <c r="AF75" s="417"/>
      <c r="AG75" s="417"/>
      <c r="AH75" s="417"/>
      <c r="AI75" s="417"/>
      <c r="AJ75" s="417"/>
      <c r="AK75" s="417"/>
      <c r="AL75" s="417"/>
      <c r="AM75" s="298">
        <f>SUM(Y75:AL75)</f>
        <v>1</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1</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v>1</v>
      </c>
      <c r="AB78" s="417"/>
      <c r="AC78" s="417"/>
      <c r="AD78" s="417"/>
      <c r="AE78" s="417"/>
      <c r="AF78" s="417"/>
      <c r="AG78" s="417"/>
      <c r="AH78" s="417"/>
      <c r="AI78" s="417"/>
      <c r="AJ78" s="417"/>
      <c r="AK78" s="417"/>
      <c r="AL78" s="417"/>
      <c r="AM78" s="298">
        <f>SUM(Y78:AL78)</f>
        <v>1</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1</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v>1</v>
      </c>
      <c r="AB81" s="417"/>
      <c r="AC81" s="417"/>
      <c r="AD81" s="417"/>
      <c r="AE81" s="417"/>
      <c r="AF81" s="417"/>
      <c r="AG81" s="417"/>
      <c r="AH81" s="417"/>
      <c r="AI81" s="417"/>
      <c r="AJ81" s="417"/>
      <c r="AK81" s="417"/>
      <c r="AL81" s="417"/>
      <c r="AM81" s="298">
        <f>SUM(Y81:AL81)</f>
        <v>1</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1</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v>1</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1</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v>0</v>
      </c>
      <c r="P87" s="297"/>
      <c r="Q87" s="297"/>
      <c r="R87" s="297"/>
      <c r="S87" s="297"/>
      <c r="T87" s="297"/>
      <c r="U87" s="297"/>
      <c r="V87" s="297"/>
      <c r="W87" s="297"/>
      <c r="X87" s="297"/>
      <c r="Y87" s="412"/>
      <c r="Z87" s="417"/>
      <c r="AA87" s="417">
        <v>1</v>
      </c>
      <c r="AB87" s="417"/>
      <c r="AC87" s="417"/>
      <c r="AD87" s="417"/>
      <c r="AE87" s="417"/>
      <c r="AF87" s="417"/>
      <c r="AG87" s="417"/>
      <c r="AH87" s="417"/>
      <c r="AI87" s="417"/>
      <c r="AJ87" s="417"/>
      <c r="AK87" s="417"/>
      <c r="AL87" s="417"/>
      <c r="AM87" s="298">
        <f>SUM(Y87:AL87)</f>
        <v>1</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1</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v>0</v>
      </c>
      <c r="P91" s="297"/>
      <c r="Q91" s="297"/>
      <c r="R91" s="297"/>
      <c r="S91" s="297"/>
      <c r="T91" s="297"/>
      <c r="U91" s="297"/>
      <c r="V91" s="297"/>
      <c r="W91" s="297"/>
      <c r="X91" s="297"/>
      <c r="Y91" s="412">
        <v>1</v>
      </c>
      <c r="Z91" s="412"/>
      <c r="AA91" s="412"/>
      <c r="AB91" s="412"/>
      <c r="AC91" s="412"/>
      <c r="AD91" s="412"/>
      <c r="AE91" s="412"/>
      <c r="AF91" s="412"/>
      <c r="AG91" s="412"/>
      <c r="AH91" s="412"/>
      <c r="AI91" s="412"/>
      <c r="AJ91" s="412"/>
      <c r="AK91" s="412"/>
      <c r="AL91" s="412"/>
      <c r="AM91" s="298">
        <f>SUM(Y91:AL91)</f>
        <v>1</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1</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v>257282.59527425791</v>
      </c>
      <c r="E102" s="297">
        <v>257282.59527425791</v>
      </c>
      <c r="F102" s="297">
        <v>257282.59527425791</v>
      </c>
      <c r="G102" s="297">
        <v>257282.59527425791</v>
      </c>
      <c r="H102" s="297">
        <v>257282.59527425791</v>
      </c>
      <c r="I102" s="297">
        <v>257282.59527425791</v>
      </c>
      <c r="J102" s="297">
        <v>257282.59527425791</v>
      </c>
      <c r="K102" s="297">
        <v>257282.59527425791</v>
      </c>
      <c r="L102" s="297">
        <v>257282.59527425791</v>
      </c>
      <c r="M102" s="297"/>
      <c r="N102" s="297">
        <v>12</v>
      </c>
      <c r="O102" s="297">
        <v>39.770095341741602</v>
      </c>
      <c r="P102" s="297">
        <v>39.770095341741602</v>
      </c>
      <c r="Q102" s="297">
        <v>39.770095341741602</v>
      </c>
      <c r="R102" s="297">
        <v>39.770095341741602</v>
      </c>
      <c r="S102" s="297">
        <v>39.770095341741602</v>
      </c>
      <c r="T102" s="297">
        <v>39.770095341741602</v>
      </c>
      <c r="U102" s="297">
        <v>39.770095341741602</v>
      </c>
      <c r="V102" s="297">
        <v>39.770095341741602</v>
      </c>
      <c r="W102" s="297">
        <v>39.770095341741602</v>
      </c>
      <c r="X102" s="297">
        <v>39.770095341741602</v>
      </c>
      <c r="Y102" s="412">
        <v>1</v>
      </c>
      <c r="Z102" s="412">
        <v>0</v>
      </c>
      <c r="AA102" s="412">
        <v>0</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1</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1083.3793277624814</v>
      </c>
      <c r="E105" s="297">
        <v>1083.3793277624814</v>
      </c>
      <c r="F105" s="297">
        <v>1083.3793277624814</v>
      </c>
      <c r="G105" s="297">
        <v>1083.3793277624814</v>
      </c>
      <c r="H105" s="297">
        <v>1083.3793277624814</v>
      </c>
      <c r="I105" s="297">
        <v>1083.3793277624814</v>
      </c>
      <c r="J105" s="297">
        <v>1083.3793277624814</v>
      </c>
      <c r="K105" s="297">
        <v>1083.3793277624814</v>
      </c>
      <c r="L105" s="297">
        <v>1083.3793277624814</v>
      </c>
      <c r="M105" s="297"/>
      <c r="N105" s="297">
        <v>12</v>
      </c>
      <c r="O105" s="297">
        <v>0.21099999999999999</v>
      </c>
      <c r="P105" s="297"/>
      <c r="Q105" s="297"/>
      <c r="R105" s="297"/>
      <c r="S105" s="297"/>
      <c r="T105" s="297"/>
      <c r="U105" s="297"/>
      <c r="V105" s="297"/>
      <c r="W105" s="297"/>
      <c r="X105" s="297"/>
      <c r="Y105" s="412">
        <v>1</v>
      </c>
      <c r="Z105" s="412">
        <v>0</v>
      </c>
      <c r="AA105" s="412">
        <v>0</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1</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494</v>
      </c>
      <c r="C121" s="293" t="s">
        <v>25</v>
      </c>
      <c r="D121" s="297"/>
      <c r="E121" s="297"/>
      <c r="F121" s="297"/>
      <c r="G121" s="297"/>
      <c r="H121" s="297"/>
      <c r="I121" s="297"/>
      <c r="J121" s="297"/>
      <c r="K121" s="297"/>
      <c r="L121" s="297"/>
      <c r="M121" s="297"/>
      <c r="N121" s="297">
        <v>0</v>
      </c>
      <c r="O121" s="297">
        <v>0</v>
      </c>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2274029.9543122286</v>
      </c>
      <c r="E127" s="330">
        <f t="shared" ref="E127:M127" si="33">SUM(E22:E125)</f>
        <v>2274029.9543122286</v>
      </c>
      <c r="F127" s="330">
        <f t="shared" si="33"/>
        <v>2270992.0615442437</v>
      </c>
      <c r="G127" s="330">
        <f t="shared" si="33"/>
        <v>1819507.8425586468</v>
      </c>
      <c r="H127" s="330">
        <f t="shared" si="33"/>
        <v>1762721.2984686885</v>
      </c>
      <c r="I127" s="330">
        <f t="shared" si="33"/>
        <v>1621781.6659102107</v>
      </c>
      <c r="J127" s="330">
        <f t="shared" si="33"/>
        <v>1186861.2744415423</v>
      </c>
      <c r="K127" s="330">
        <f t="shared" si="33"/>
        <v>1185292.1564427605</v>
      </c>
      <c r="L127" s="330">
        <f t="shared" si="33"/>
        <v>1219957.1138381592</v>
      </c>
      <c r="M127" s="330">
        <f t="shared" si="33"/>
        <v>817779.71246095537</v>
      </c>
      <c r="N127" s="330"/>
      <c r="O127" s="330">
        <f>SUM(O22:O125)</f>
        <v>537.72664097129552</v>
      </c>
      <c r="P127" s="330"/>
      <c r="Q127" s="330"/>
      <c r="R127" s="330"/>
      <c r="S127" s="330"/>
      <c r="T127" s="330"/>
      <c r="U127" s="330"/>
      <c r="V127" s="330"/>
      <c r="W127" s="330"/>
      <c r="X127" s="330"/>
      <c r="Y127" s="331">
        <f>IF(Y21="kWh",SUMPRODUCT(D22:D125,Y22:Y125))</f>
        <v>756825.25553530536</v>
      </c>
      <c r="Z127" s="331">
        <f>IF(Z21="kWh",SUMPRODUCT(D22:D125,Z22:Z125))</f>
        <v>1493741.0767999568</v>
      </c>
      <c r="AA127" s="331">
        <f>IF(AA21="kW",SUMPRODUCT(N22:N125,O22:O125,AA22:AA125),SUMPRODUCT(D22:D125,AA22:AA125))</f>
        <v>31.063047777388697</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4">Y127*Y130</f>
        <v>0</v>
      </c>
      <c r="Z131" s="348">
        <f t="shared" si="34"/>
        <v>0</v>
      </c>
      <c r="AA131" s="349">
        <f t="shared" si="34"/>
        <v>0</v>
      </c>
      <c r="AB131" s="349">
        <f t="shared" si="34"/>
        <v>0</v>
      </c>
      <c r="AC131" s="349">
        <f t="shared" si="34"/>
        <v>0</v>
      </c>
      <c r="AD131" s="349">
        <f t="shared" si="34"/>
        <v>0</v>
      </c>
      <c r="AE131" s="349">
        <f>AE127*AE130</f>
        <v>0</v>
      </c>
      <c r="AF131" s="349">
        <f t="shared" ref="AF131:AL131" si="35">AF127*AF130</f>
        <v>0</v>
      </c>
      <c r="AG131" s="349">
        <f t="shared" si="35"/>
        <v>0</v>
      </c>
      <c r="AH131" s="349">
        <f t="shared" si="35"/>
        <v>0</v>
      </c>
      <c r="AI131" s="349">
        <f t="shared" si="35"/>
        <v>0</v>
      </c>
      <c r="AJ131" s="349">
        <f t="shared" si="35"/>
        <v>0</v>
      </c>
      <c r="AK131" s="349">
        <f t="shared" si="35"/>
        <v>0</v>
      </c>
      <c r="AL131" s="349">
        <f t="shared" si="35"/>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6">Y128*Y130</f>
        <v>0</v>
      </c>
      <c r="Z132" s="349">
        <f t="shared" si="36"/>
        <v>0</v>
      </c>
      <c r="AA132" s="349">
        <f t="shared" si="36"/>
        <v>0</v>
      </c>
      <c r="AB132" s="349">
        <f t="shared" si="36"/>
        <v>0</v>
      </c>
      <c r="AC132" s="349">
        <f t="shared" si="36"/>
        <v>0</v>
      </c>
      <c r="AD132" s="349">
        <f t="shared" si="36"/>
        <v>0</v>
      </c>
      <c r="AE132" s="349">
        <f>AE128*AE130</f>
        <v>0</v>
      </c>
      <c r="AF132" s="349">
        <f t="shared" ref="AF132:AL132" si="37">AF128*AF130</f>
        <v>0</v>
      </c>
      <c r="AG132" s="349">
        <f t="shared" si="37"/>
        <v>0</v>
      </c>
      <c r="AH132" s="349">
        <f t="shared" si="37"/>
        <v>0</v>
      </c>
      <c r="AI132" s="349">
        <f t="shared" si="37"/>
        <v>0</v>
      </c>
      <c r="AJ132" s="349">
        <f t="shared" si="37"/>
        <v>0</v>
      </c>
      <c r="AK132" s="349">
        <f t="shared" si="37"/>
        <v>0</v>
      </c>
      <c r="AL132" s="349">
        <f t="shared" si="37"/>
        <v>0</v>
      </c>
      <c r="AM132" s="409">
        <f>SUM(Y132:AL132)</f>
        <v>0</v>
      </c>
    </row>
    <row r="133" spans="1:40" s="352" customFormat="1" ht="17.25" customHeight="1">
      <c r="A133" s="515"/>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756825.25553530536</v>
      </c>
      <c r="Z135" s="293">
        <f>SUMPRODUCT(E22:E125,Z22:Z125)</f>
        <v>1493741.0767999568</v>
      </c>
      <c r="AA135" s="293">
        <f>IF(AA21="kW",SUMPRODUCT(N22:N125,P22:P125,AA22:AA125),SUMPRODUCT(E22:E125,AA22:AA125))</f>
        <v>31.063047777388697</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756825.25553530536</v>
      </c>
      <c r="Z136" s="293">
        <f>SUMPRODUCT(F22:F125,Z22:Z125)</f>
        <v>1490703.1840319717</v>
      </c>
      <c r="AA136" s="293">
        <f>IF(AA21="kW",SUMPRODUCT(N22:N125,Q22:Q125,AA22:AA125),SUMPRODUCT(F22:F125,AA22:AA125))</f>
        <v>31.063047777388697</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753974.92121855426</v>
      </c>
      <c r="Z137" s="293">
        <f>SUMPRODUCT(G22:G125,Z22:Z125)</f>
        <v>1042069.299363126</v>
      </c>
      <c r="AA137" s="293">
        <f>IF(AA21="kW",SUMPRODUCT(N22:N125,R22:R125,AA22:AA125),SUMPRODUCT(G22:G125,AA22:AA125))</f>
        <v>31.063047777388697</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697188.37712859595</v>
      </c>
      <c r="Z138" s="293">
        <f>SUMPRODUCT(H22:H125,Z22:Z125)</f>
        <v>1042069.299363126</v>
      </c>
      <c r="AA138" s="293">
        <f>IF(AA21="kW",SUMPRODUCT(N22:N125,S22:S125,AA22:AA125),SUMPRODUCT(H22:H125,AA22:AA125))</f>
        <v>31.063047777388697</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582460.6781621211</v>
      </c>
      <c r="Z139" s="293">
        <f>SUMPRODUCT(I22:I125,Z22:Z125)</f>
        <v>1029438.2803326363</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531051.05044077849</v>
      </c>
      <c r="Z140" s="293">
        <f>SUMPRODUCT(J22:J125,Z22:Z125)</f>
        <v>650474.65744103142</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530266.62046498107</v>
      </c>
      <c r="Z141" s="293">
        <f>SUMPRODUCT(K22:K125,Z22:Z125)</f>
        <v>649691.05640487629</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576496.70062199875</v>
      </c>
      <c r="Z142" s="293">
        <f>SUMPRODUCT(L22:L125,Z22:Z125)</f>
        <v>638125.93364325771</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178656.57608992467</v>
      </c>
      <c r="Z143" s="328">
        <f>SUMPRODUCT(M22:M125,Z22:Z125)</f>
        <v>637946.30889050965</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598</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2" t="s">
        <v>528</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9" t="s">
        <v>212</v>
      </c>
      <c r="C147" s="811" t="s">
        <v>33</v>
      </c>
      <c r="D147" s="286" t="s">
        <v>424</v>
      </c>
      <c r="E147" s="813" t="s">
        <v>210</v>
      </c>
      <c r="F147" s="814"/>
      <c r="G147" s="814"/>
      <c r="H147" s="814"/>
      <c r="I147" s="814"/>
      <c r="J147" s="814"/>
      <c r="K147" s="814"/>
      <c r="L147" s="814"/>
      <c r="M147" s="815"/>
      <c r="N147" s="816" t="s">
        <v>214</v>
      </c>
      <c r="O147" s="286" t="s">
        <v>425</v>
      </c>
      <c r="P147" s="813" t="s">
        <v>213</v>
      </c>
      <c r="Q147" s="814"/>
      <c r="R147" s="814"/>
      <c r="S147" s="814"/>
      <c r="T147" s="814"/>
      <c r="U147" s="814"/>
      <c r="V147" s="814"/>
      <c r="W147" s="814"/>
      <c r="X147" s="815"/>
      <c r="Y147" s="806" t="s">
        <v>244</v>
      </c>
      <c r="Z147" s="807"/>
      <c r="AA147" s="807"/>
      <c r="AB147" s="807"/>
      <c r="AC147" s="807"/>
      <c r="AD147" s="807"/>
      <c r="AE147" s="807"/>
      <c r="AF147" s="807"/>
      <c r="AG147" s="807"/>
      <c r="AH147" s="807"/>
      <c r="AI147" s="807"/>
      <c r="AJ147" s="807"/>
      <c r="AK147" s="807"/>
      <c r="AL147" s="807"/>
      <c r="AM147" s="808"/>
    </row>
    <row r="148" spans="1:39" ht="60.75" customHeight="1">
      <c r="B148" s="810"/>
      <c r="C148" s="812"/>
      <c r="D148" s="287">
        <v>2012</v>
      </c>
      <c r="E148" s="287">
        <v>2013</v>
      </c>
      <c r="F148" s="287">
        <v>2014</v>
      </c>
      <c r="G148" s="287">
        <v>2015</v>
      </c>
      <c r="H148" s="287">
        <v>2016</v>
      </c>
      <c r="I148" s="287">
        <v>2017</v>
      </c>
      <c r="J148" s="287">
        <v>2018</v>
      </c>
      <c r="K148" s="287">
        <v>2019</v>
      </c>
      <c r="L148" s="287">
        <v>2020</v>
      </c>
      <c r="M148" s="287">
        <v>2021</v>
      </c>
      <c r="N148" s="817"/>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GS&gt;50-4999 kW</v>
      </c>
      <c r="AB148" s="287" t="str">
        <f>'1.  LRAMVA Summary'!G50</f>
        <v>USL</v>
      </c>
      <c r="AC148" s="287" t="str">
        <f>'1.  LRAMVA Summary'!H50</f>
        <v>Sentinel Lighting</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kWh</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135024.91101002067</v>
      </c>
      <c r="E150" s="297">
        <v>135024.91101002067</v>
      </c>
      <c r="F150" s="297">
        <v>135024.91101002067</v>
      </c>
      <c r="G150" s="297">
        <v>134512.48573502075</v>
      </c>
      <c r="H150" s="297">
        <v>84805.303757500238</v>
      </c>
      <c r="I150" s="297">
        <v>0</v>
      </c>
      <c r="J150" s="297">
        <v>0</v>
      </c>
      <c r="K150" s="297">
        <v>0</v>
      </c>
      <c r="L150" s="297">
        <v>0</v>
      </c>
      <c r="M150" s="297">
        <v>0</v>
      </c>
      <c r="N150" s="293"/>
      <c r="O150" s="297">
        <v>19.349328498784669</v>
      </c>
      <c r="P150" s="297">
        <v>19.349328498784669</v>
      </c>
      <c r="Q150" s="297">
        <v>19.349328498784669</v>
      </c>
      <c r="R150" s="297">
        <v>18.776308938180719</v>
      </c>
      <c r="S150" s="297">
        <v>11.150177876470218</v>
      </c>
      <c r="T150" s="297">
        <v>0</v>
      </c>
      <c r="U150" s="297">
        <v>0</v>
      </c>
      <c r="V150" s="297">
        <v>0</v>
      </c>
      <c r="W150" s="297">
        <v>0</v>
      </c>
      <c r="X150" s="297">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8">AA150</f>
        <v>0</v>
      </c>
      <c r="AB151" s="413">
        <f t="shared" si="38"/>
        <v>0</v>
      </c>
      <c r="AC151" s="413">
        <f t="shared" si="38"/>
        <v>0</v>
      </c>
      <c r="AD151" s="413">
        <f t="shared" si="38"/>
        <v>0</v>
      </c>
      <c r="AE151" s="413">
        <f t="shared" si="38"/>
        <v>0</v>
      </c>
      <c r="AF151" s="413">
        <f t="shared" si="38"/>
        <v>0</v>
      </c>
      <c r="AG151" s="413">
        <f t="shared" si="38"/>
        <v>0</v>
      </c>
      <c r="AH151" s="413">
        <f t="shared" si="38"/>
        <v>0</v>
      </c>
      <c r="AI151" s="413">
        <f t="shared" si="38"/>
        <v>0</v>
      </c>
      <c r="AJ151" s="413">
        <f t="shared" si="38"/>
        <v>0</v>
      </c>
      <c r="AK151" s="413">
        <f t="shared" si="38"/>
        <v>0</v>
      </c>
      <c r="AL151" s="413">
        <f t="shared" si="38"/>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9870.6566864985907</v>
      </c>
      <c r="E153" s="297">
        <v>9870.6566864985907</v>
      </c>
      <c r="F153" s="297">
        <v>9870.6566864985907</v>
      </c>
      <c r="G153" s="297">
        <v>9784.3252317016249</v>
      </c>
      <c r="H153" s="297">
        <v>0</v>
      </c>
      <c r="I153" s="297">
        <v>0</v>
      </c>
      <c r="J153" s="297">
        <v>0</v>
      </c>
      <c r="K153" s="297">
        <v>0</v>
      </c>
      <c r="L153" s="297">
        <v>0</v>
      </c>
      <c r="M153" s="297">
        <v>0</v>
      </c>
      <c r="N153" s="293"/>
      <c r="O153" s="297">
        <v>5.5839132561611757</v>
      </c>
      <c r="P153" s="297">
        <v>5.5839132561611757</v>
      </c>
      <c r="Q153" s="297">
        <v>5.5839132561611757</v>
      </c>
      <c r="R153" s="297">
        <v>5.4873731073676613</v>
      </c>
      <c r="S153" s="297">
        <v>0</v>
      </c>
      <c r="T153" s="297">
        <v>0</v>
      </c>
      <c r="U153" s="297">
        <v>0</v>
      </c>
      <c r="V153" s="297">
        <v>0</v>
      </c>
      <c r="W153" s="297">
        <v>0</v>
      </c>
      <c r="X153" s="297">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9">AA153</f>
        <v>0</v>
      </c>
      <c r="AB154" s="413">
        <f t="shared" si="39"/>
        <v>0</v>
      </c>
      <c r="AC154" s="413">
        <f t="shared" si="39"/>
        <v>0</v>
      </c>
      <c r="AD154" s="413">
        <f t="shared" si="39"/>
        <v>0</v>
      </c>
      <c r="AE154" s="413">
        <f t="shared" si="39"/>
        <v>0</v>
      </c>
      <c r="AF154" s="413">
        <f t="shared" si="39"/>
        <v>0</v>
      </c>
      <c r="AG154" s="413">
        <f t="shared" si="39"/>
        <v>0</v>
      </c>
      <c r="AH154" s="413">
        <f t="shared" si="39"/>
        <v>0</v>
      </c>
      <c r="AI154" s="413">
        <f t="shared" si="39"/>
        <v>0</v>
      </c>
      <c r="AJ154" s="413">
        <f t="shared" si="39"/>
        <v>0</v>
      </c>
      <c r="AK154" s="413">
        <f t="shared" si="39"/>
        <v>0</v>
      </c>
      <c r="AL154" s="413">
        <f t="shared" si="39"/>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106910.69434659612</v>
      </c>
      <c r="E156" s="297">
        <v>106910.69434659612</v>
      </c>
      <c r="F156" s="297">
        <v>106910.69434659612</v>
      </c>
      <c r="G156" s="297">
        <v>106910.69434659612</v>
      </c>
      <c r="H156" s="297">
        <v>106910.69434659612</v>
      </c>
      <c r="I156" s="297">
        <v>106910.69434659612</v>
      </c>
      <c r="J156" s="297">
        <v>106910.69434659612</v>
      </c>
      <c r="K156" s="297">
        <v>106910.69434659612</v>
      </c>
      <c r="L156" s="297">
        <v>106910.69434659612</v>
      </c>
      <c r="M156" s="297">
        <v>106910.69434659612</v>
      </c>
      <c r="N156" s="293"/>
      <c r="O156" s="297">
        <v>56.651821367556792</v>
      </c>
      <c r="P156" s="297">
        <v>56.651821367556792</v>
      </c>
      <c r="Q156" s="297">
        <v>56.651821367556792</v>
      </c>
      <c r="R156" s="297">
        <v>56.651821367556792</v>
      </c>
      <c r="S156" s="297">
        <v>56.651821367556792</v>
      </c>
      <c r="T156" s="297">
        <v>56.651821367556792</v>
      </c>
      <c r="U156" s="297">
        <v>56.651821367556792</v>
      </c>
      <c r="V156" s="297">
        <v>56.651821367556792</v>
      </c>
      <c r="W156" s="297">
        <v>56.651821367556792</v>
      </c>
      <c r="X156" s="297">
        <v>56.651821367556792</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245</v>
      </c>
      <c r="C157" s="293" t="s">
        <v>164</v>
      </c>
      <c r="D157" s="297">
        <v>1148.502</v>
      </c>
      <c r="E157" s="297"/>
      <c r="F157" s="297"/>
      <c r="G157" s="297"/>
      <c r="H157" s="297"/>
      <c r="I157" s="297"/>
      <c r="J157" s="297"/>
      <c r="K157" s="297"/>
      <c r="L157" s="297"/>
      <c r="M157" s="297"/>
      <c r="N157" s="470"/>
      <c r="O157" s="297">
        <v>0.52300000000000002</v>
      </c>
      <c r="P157" s="297"/>
      <c r="Q157" s="297"/>
      <c r="R157" s="297"/>
      <c r="S157" s="297"/>
      <c r="T157" s="297"/>
      <c r="U157" s="297"/>
      <c r="V157" s="297"/>
      <c r="W157" s="297"/>
      <c r="X157" s="297"/>
      <c r="Y157" s="413">
        <f>Y156</f>
        <v>1</v>
      </c>
      <c r="Z157" s="413">
        <f>Z156</f>
        <v>0</v>
      </c>
      <c r="AA157" s="413">
        <f t="shared" ref="AA157:AL157" si="40">AA156</f>
        <v>0</v>
      </c>
      <c r="AB157" s="413">
        <f t="shared" si="40"/>
        <v>0</v>
      </c>
      <c r="AC157" s="413">
        <f t="shared" si="40"/>
        <v>0</v>
      </c>
      <c r="AD157" s="413">
        <f t="shared" si="40"/>
        <v>0</v>
      </c>
      <c r="AE157" s="413">
        <f t="shared" si="40"/>
        <v>0</v>
      </c>
      <c r="AF157" s="413">
        <f t="shared" si="40"/>
        <v>0</v>
      </c>
      <c r="AG157" s="413">
        <f t="shared" si="40"/>
        <v>0</v>
      </c>
      <c r="AH157" s="413">
        <f t="shared" si="40"/>
        <v>0</v>
      </c>
      <c r="AI157" s="413">
        <f t="shared" si="40"/>
        <v>0</v>
      </c>
      <c r="AJ157" s="413">
        <f t="shared" si="40"/>
        <v>0</v>
      </c>
      <c r="AK157" s="413">
        <f t="shared" si="40"/>
        <v>0</v>
      </c>
      <c r="AL157" s="413">
        <f t="shared" si="40"/>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7566.3170332336022</v>
      </c>
      <c r="E159" s="297">
        <v>7566.3170332336022</v>
      </c>
      <c r="F159" s="297">
        <v>7566.3170332336022</v>
      </c>
      <c r="G159" s="297">
        <v>7566.3170332336022</v>
      </c>
      <c r="H159" s="297">
        <v>7452.6445492572184</v>
      </c>
      <c r="I159" s="297">
        <v>7452.6445492572184</v>
      </c>
      <c r="J159" s="297">
        <v>3509.4249835881851</v>
      </c>
      <c r="K159" s="297">
        <v>3490.0563607189456</v>
      </c>
      <c r="L159" s="297">
        <v>3490.0563607189456</v>
      </c>
      <c r="M159" s="297">
        <v>3490.0563607189456</v>
      </c>
      <c r="N159" s="293"/>
      <c r="O159" s="297">
        <v>1.2468852153840266</v>
      </c>
      <c r="P159" s="297">
        <v>1.2468852153840266</v>
      </c>
      <c r="Q159" s="297">
        <v>1.2468852153840266</v>
      </c>
      <c r="R159" s="297">
        <v>1.2468852153840266</v>
      </c>
      <c r="S159" s="297">
        <v>1.2416218440303857</v>
      </c>
      <c r="T159" s="297">
        <v>1.2416218440303857</v>
      </c>
      <c r="U159" s="297">
        <v>1.0590391452360997</v>
      </c>
      <c r="V159" s="297">
        <v>1.0568281152281955</v>
      </c>
      <c r="W159" s="297">
        <v>1.0568281152281955</v>
      </c>
      <c r="X159" s="297">
        <v>1.0568281152281955</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245</v>
      </c>
      <c r="C160" s="293" t="s">
        <v>164</v>
      </c>
      <c r="D160" s="297">
        <v>0</v>
      </c>
      <c r="E160" s="297"/>
      <c r="F160" s="297"/>
      <c r="G160" s="297"/>
      <c r="H160" s="297"/>
      <c r="I160" s="297"/>
      <c r="J160" s="297"/>
      <c r="K160" s="297"/>
      <c r="L160" s="297"/>
      <c r="M160" s="297"/>
      <c r="N160" s="470"/>
      <c r="O160" s="297">
        <v>0</v>
      </c>
      <c r="P160" s="297"/>
      <c r="Q160" s="297"/>
      <c r="R160" s="297"/>
      <c r="S160" s="297"/>
      <c r="T160" s="297"/>
      <c r="U160" s="297"/>
      <c r="V160" s="297"/>
      <c r="W160" s="297"/>
      <c r="X160" s="297"/>
      <c r="Y160" s="413">
        <f>Y159</f>
        <v>1</v>
      </c>
      <c r="Z160" s="413">
        <f>Z159</f>
        <v>0</v>
      </c>
      <c r="AA160" s="413">
        <f t="shared" ref="AA160:AL160" si="41">AA159</f>
        <v>0</v>
      </c>
      <c r="AB160" s="413">
        <f t="shared" si="41"/>
        <v>0</v>
      </c>
      <c r="AC160" s="413">
        <f t="shared" si="41"/>
        <v>0</v>
      </c>
      <c r="AD160" s="413">
        <f t="shared" si="41"/>
        <v>0</v>
      </c>
      <c r="AE160" s="413">
        <f t="shared" si="41"/>
        <v>0</v>
      </c>
      <c r="AF160" s="413">
        <f t="shared" si="41"/>
        <v>0</v>
      </c>
      <c r="AG160" s="413">
        <f t="shared" si="41"/>
        <v>0</v>
      </c>
      <c r="AH160" s="413">
        <f t="shared" si="41"/>
        <v>0</v>
      </c>
      <c r="AI160" s="413">
        <f t="shared" si="41"/>
        <v>0</v>
      </c>
      <c r="AJ160" s="413">
        <f t="shared" si="41"/>
        <v>0</v>
      </c>
      <c r="AK160" s="413">
        <f t="shared" si="41"/>
        <v>0</v>
      </c>
      <c r="AL160" s="413">
        <f t="shared" si="41"/>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144928.02857006362</v>
      </c>
      <c r="E162" s="297">
        <v>144928.02857006362</v>
      </c>
      <c r="F162" s="297">
        <v>144928.02857006362</v>
      </c>
      <c r="G162" s="297">
        <v>144928.02857006362</v>
      </c>
      <c r="H162" s="297">
        <v>130281.07800772895</v>
      </c>
      <c r="I162" s="297">
        <v>105937.12500862683</v>
      </c>
      <c r="J162" s="297">
        <v>72259.984537035518</v>
      </c>
      <c r="K162" s="297">
        <v>72109.778890294474</v>
      </c>
      <c r="L162" s="297">
        <v>72109.778890294474</v>
      </c>
      <c r="M162" s="297">
        <v>36626.280343621758</v>
      </c>
      <c r="N162" s="293"/>
      <c r="O162" s="297">
        <v>8.0088746741705812</v>
      </c>
      <c r="P162" s="297">
        <v>8.0088746741705812</v>
      </c>
      <c r="Q162" s="297">
        <v>8.0088746741705812</v>
      </c>
      <c r="R162" s="297">
        <v>8.0088746741705812</v>
      </c>
      <c r="S162" s="297">
        <v>7.3306776531219162</v>
      </c>
      <c r="T162" s="297">
        <v>6.2034808120950835</v>
      </c>
      <c r="U162" s="297">
        <v>4.6441298572277825</v>
      </c>
      <c r="V162" s="297">
        <v>4.6269830939011785</v>
      </c>
      <c r="W162" s="297">
        <v>4.6269830939011785</v>
      </c>
      <c r="X162" s="297">
        <v>2.9839924312152637</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245</v>
      </c>
      <c r="C163" s="293" t="s">
        <v>164</v>
      </c>
      <c r="D163" s="297"/>
      <c r="E163" s="297"/>
      <c r="F163" s="297"/>
      <c r="G163" s="297"/>
      <c r="H163" s="297"/>
      <c r="I163" s="297"/>
      <c r="J163" s="297"/>
      <c r="K163" s="297"/>
      <c r="L163" s="297"/>
      <c r="M163" s="297"/>
      <c r="N163" s="470"/>
      <c r="O163" s="297">
        <v>0</v>
      </c>
      <c r="P163" s="297"/>
      <c r="Q163" s="297"/>
      <c r="R163" s="297"/>
      <c r="S163" s="297"/>
      <c r="T163" s="297"/>
      <c r="U163" s="297"/>
      <c r="V163" s="297"/>
      <c r="W163" s="297"/>
      <c r="X163" s="297"/>
      <c r="Y163" s="413">
        <f>Y162</f>
        <v>1</v>
      </c>
      <c r="Z163" s="413">
        <f>Z162</f>
        <v>0</v>
      </c>
      <c r="AA163" s="413">
        <f t="shared" ref="AA163:AL163" si="42">AA162</f>
        <v>0</v>
      </c>
      <c r="AB163" s="413">
        <f t="shared" si="42"/>
        <v>0</v>
      </c>
      <c r="AC163" s="413">
        <f t="shared" si="42"/>
        <v>0</v>
      </c>
      <c r="AD163" s="413">
        <f t="shared" si="42"/>
        <v>0</v>
      </c>
      <c r="AE163" s="413">
        <f t="shared" si="42"/>
        <v>0</v>
      </c>
      <c r="AF163" s="413">
        <f t="shared" si="42"/>
        <v>0</v>
      </c>
      <c r="AG163" s="413">
        <f t="shared" si="42"/>
        <v>0</v>
      </c>
      <c r="AH163" s="413">
        <f t="shared" si="42"/>
        <v>0</v>
      </c>
      <c r="AI163" s="413">
        <f t="shared" si="42"/>
        <v>0</v>
      </c>
      <c r="AJ163" s="413">
        <f t="shared" si="42"/>
        <v>0</v>
      </c>
      <c r="AK163" s="413">
        <f t="shared" si="42"/>
        <v>0</v>
      </c>
      <c r="AL163" s="413">
        <f t="shared" si="42"/>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3">AA165</f>
        <v>0</v>
      </c>
      <c r="AB166" s="413">
        <f t="shared" si="43"/>
        <v>0</v>
      </c>
      <c r="AC166" s="413">
        <f t="shared" si="43"/>
        <v>0</v>
      </c>
      <c r="AD166" s="413">
        <f t="shared" si="43"/>
        <v>0</v>
      </c>
      <c r="AE166" s="413">
        <f t="shared" si="43"/>
        <v>0</v>
      </c>
      <c r="AF166" s="413">
        <f t="shared" si="43"/>
        <v>0</v>
      </c>
      <c r="AG166" s="413">
        <f t="shared" si="43"/>
        <v>0</v>
      </c>
      <c r="AH166" s="413">
        <f t="shared" si="43"/>
        <v>0</v>
      </c>
      <c r="AI166" s="413">
        <f t="shared" si="43"/>
        <v>0</v>
      </c>
      <c r="AJ166" s="413">
        <f t="shared" si="43"/>
        <v>0</v>
      </c>
      <c r="AK166" s="413">
        <f t="shared" si="43"/>
        <v>0</v>
      </c>
      <c r="AL166" s="413">
        <f t="shared" si="43"/>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0</v>
      </c>
      <c r="E168" s="297"/>
      <c r="F168" s="297"/>
      <c r="G168" s="297"/>
      <c r="H168" s="297"/>
      <c r="I168" s="297"/>
      <c r="J168" s="297"/>
      <c r="K168" s="297"/>
      <c r="L168" s="297"/>
      <c r="M168" s="297"/>
      <c r="N168" s="293"/>
      <c r="O168" s="297">
        <v>0</v>
      </c>
      <c r="P168" s="297"/>
      <c r="Q168" s="297"/>
      <c r="R168" s="297"/>
      <c r="S168" s="297"/>
      <c r="T168" s="297"/>
      <c r="U168" s="297"/>
      <c r="V168" s="297"/>
      <c r="W168" s="297"/>
      <c r="X168" s="297"/>
      <c r="Y168" s="412">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1</v>
      </c>
      <c r="Z169" s="413">
        <f>Z168</f>
        <v>0</v>
      </c>
      <c r="AA169" s="413">
        <f t="shared" ref="AA169:AL169" si="44">AA168</f>
        <v>0</v>
      </c>
      <c r="AB169" s="413">
        <f t="shared" si="44"/>
        <v>0</v>
      </c>
      <c r="AC169" s="413">
        <f t="shared" si="44"/>
        <v>0</v>
      </c>
      <c r="AD169" s="413">
        <f t="shared" si="44"/>
        <v>0</v>
      </c>
      <c r="AE169" s="413">
        <f t="shared" si="44"/>
        <v>0</v>
      </c>
      <c r="AF169" s="413">
        <f t="shared" si="44"/>
        <v>0</v>
      </c>
      <c r="AG169" s="413">
        <f t="shared" si="44"/>
        <v>0</v>
      </c>
      <c r="AH169" s="413">
        <f t="shared" si="44"/>
        <v>0</v>
      </c>
      <c r="AI169" s="413">
        <f t="shared" si="44"/>
        <v>0</v>
      </c>
      <c r="AJ169" s="413">
        <f t="shared" si="44"/>
        <v>0</v>
      </c>
      <c r="AK169" s="413">
        <f t="shared" si="44"/>
        <v>0</v>
      </c>
      <c r="AL169" s="413">
        <f t="shared" si="44"/>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5">AA171</f>
        <v>0</v>
      </c>
      <c r="AB172" s="413">
        <f t="shared" si="45"/>
        <v>0</v>
      </c>
      <c r="AC172" s="413">
        <f t="shared" si="45"/>
        <v>0</v>
      </c>
      <c r="AD172" s="413">
        <f t="shared" si="45"/>
        <v>0</v>
      </c>
      <c r="AE172" s="413">
        <f t="shared" si="45"/>
        <v>0</v>
      </c>
      <c r="AF172" s="413">
        <f t="shared" si="45"/>
        <v>0</v>
      </c>
      <c r="AG172" s="413">
        <f t="shared" si="45"/>
        <v>0</v>
      </c>
      <c r="AH172" s="413">
        <f t="shared" si="45"/>
        <v>0</v>
      </c>
      <c r="AI172" s="413">
        <f t="shared" si="45"/>
        <v>0</v>
      </c>
      <c r="AJ172" s="413">
        <f t="shared" si="45"/>
        <v>0</v>
      </c>
      <c r="AK172" s="413">
        <f t="shared" si="45"/>
        <v>0</v>
      </c>
      <c r="AL172" s="413">
        <f t="shared" si="45"/>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v>0</v>
      </c>
      <c r="E174" s="297"/>
      <c r="F174" s="297"/>
      <c r="G174" s="297"/>
      <c r="H174" s="297"/>
      <c r="I174" s="297"/>
      <c r="J174" s="297"/>
      <c r="K174" s="297"/>
      <c r="L174" s="297"/>
      <c r="M174" s="297"/>
      <c r="N174" s="293"/>
      <c r="O174" s="297">
        <v>0</v>
      </c>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6">AA174</f>
        <v>0</v>
      </c>
      <c r="AB175" s="413">
        <f t="shared" si="46"/>
        <v>0</v>
      </c>
      <c r="AC175" s="413">
        <f t="shared" si="46"/>
        <v>0</v>
      </c>
      <c r="AD175" s="413">
        <f t="shared" si="46"/>
        <v>0</v>
      </c>
      <c r="AE175" s="413">
        <f t="shared" si="46"/>
        <v>0</v>
      </c>
      <c r="AF175" s="413">
        <f t="shared" si="46"/>
        <v>0</v>
      </c>
      <c r="AG175" s="413">
        <f t="shared" si="46"/>
        <v>0</v>
      </c>
      <c r="AH175" s="413">
        <f t="shared" si="46"/>
        <v>0</v>
      </c>
      <c r="AI175" s="413">
        <f t="shared" si="46"/>
        <v>0</v>
      </c>
      <c r="AJ175" s="413">
        <f t="shared" si="46"/>
        <v>0</v>
      </c>
      <c r="AK175" s="413">
        <f t="shared" si="46"/>
        <v>0</v>
      </c>
      <c r="AL175" s="413">
        <f t="shared" si="46"/>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v>1335650.2918925581</v>
      </c>
      <c r="E178" s="297">
        <v>1265951.801265022</v>
      </c>
      <c r="F178" s="297">
        <v>1194362.6862687566</v>
      </c>
      <c r="G178" s="297">
        <v>1116886.3091943834</v>
      </c>
      <c r="H178" s="297">
        <v>1116886.3091943834</v>
      </c>
      <c r="I178" s="297">
        <v>1064233.5410076494</v>
      </c>
      <c r="J178" s="297">
        <v>1055555.8530027838</v>
      </c>
      <c r="K178" s="297">
        <v>1055555.8530027838</v>
      </c>
      <c r="L178" s="297">
        <v>1027015.1004167338</v>
      </c>
      <c r="M178" s="297">
        <v>909997.53859336383</v>
      </c>
      <c r="N178" s="297">
        <v>12</v>
      </c>
      <c r="O178" s="297">
        <v>292.19573937773743</v>
      </c>
      <c r="P178" s="297">
        <v>270.92029399762589</v>
      </c>
      <c r="Q178" s="297">
        <v>249.0663606354305</v>
      </c>
      <c r="R178" s="297">
        <v>225.50870923181452</v>
      </c>
      <c r="S178" s="297">
        <v>225.50870923181452</v>
      </c>
      <c r="T178" s="297">
        <v>209.5502701493451</v>
      </c>
      <c r="U178" s="297">
        <v>207.85674414935048</v>
      </c>
      <c r="V178" s="297">
        <v>207.85674414935048</v>
      </c>
      <c r="W178" s="297">
        <v>199.61924378035187</v>
      </c>
      <c r="X178" s="297">
        <v>176.78225271859213</v>
      </c>
      <c r="Y178" s="469">
        <v>0</v>
      </c>
      <c r="Z178" s="471">
        <v>1</v>
      </c>
      <c r="AA178" s="469"/>
      <c r="AB178" s="417"/>
      <c r="AC178" s="417"/>
      <c r="AD178" s="417"/>
      <c r="AE178" s="417"/>
      <c r="AF178" s="417"/>
      <c r="AG178" s="417"/>
      <c r="AH178" s="417"/>
      <c r="AI178" s="417"/>
      <c r="AJ178" s="417"/>
      <c r="AK178" s="417"/>
      <c r="AL178" s="417"/>
      <c r="AM178" s="298">
        <f>SUM(Y178:AL178)</f>
        <v>1</v>
      </c>
    </row>
    <row r="179" spans="1:39" ht="15" outlineLevel="1">
      <c r="B179" s="296" t="s">
        <v>245</v>
      </c>
      <c r="C179" s="293" t="s">
        <v>164</v>
      </c>
      <c r="D179" s="297">
        <v>146056.883</v>
      </c>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1</v>
      </c>
      <c r="AA179" s="413">
        <f t="shared" ref="AA179:AL179" si="47">AA178</f>
        <v>0</v>
      </c>
      <c r="AB179" s="413">
        <f t="shared" si="47"/>
        <v>0</v>
      </c>
      <c r="AC179" s="413">
        <f t="shared" si="47"/>
        <v>0</v>
      </c>
      <c r="AD179" s="413">
        <f t="shared" si="47"/>
        <v>0</v>
      </c>
      <c r="AE179" s="413">
        <f t="shared" si="47"/>
        <v>0</v>
      </c>
      <c r="AF179" s="413">
        <f t="shared" si="47"/>
        <v>0</v>
      </c>
      <c r="AG179" s="413">
        <f t="shared" si="47"/>
        <v>0</v>
      </c>
      <c r="AH179" s="413">
        <f t="shared" si="47"/>
        <v>0</v>
      </c>
      <c r="AI179" s="413">
        <f t="shared" si="47"/>
        <v>0</v>
      </c>
      <c r="AJ179" s="413">
        <f t="shared" si="47"/>
        <v>0</v>
      </c>
      <c r="AK179" s="413">
        <f t="shared" si="47"/>
        <v>0</v>
      </c>
      <c r="AL179" s="413">
        <f t="shared" si="47"/>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629586.53229099174</v>
      </c>
      <c r="E181" s="297">
        <v>629342.60810902168</v>
      </c>
      <c r="F181" s="297">
        <v>627037.46227572276</v>
      </c>
      <c r="G181" s="297">
        <v>535457.83635086648</v>
      </c>
      <c r="H181" s="297">
        <v>535457.83635086648</v>
      </c>
      <c r="I181" s="297">
        <v>172155.95711237413</v>
      </c>
      <c r="J181" s="297">
        <v>172155.95711237413</v>
      </c>
      <c r="K181" s="297">
        <v>172155.95711237413</v>
      </c>
      <c r="L181" s="297">
        <v>172155.95711237413</v>
      </c>
      <c r="M181" s="297">
        <v>172155.95711237413</v>
      </c>
      <c r="N181" s="297">
        <v>12</v>
      </c>
      <c r="O181" s="297">
        <v>166.38698323346767</v>
      </c>
      <c r="P181" s="297">
        <v>166.30318058974512</v>
      </c>
      <c r="Q181" s="297">
        <v>165.77578261858454</v>
      </c>
      <c r="R181" s="297">
        <v>144.60462762090873</v>
      </c>
      <c r="S181" s="297">
        <v>144.60462762090873</v>
      </c>
      <c r="T181" s="297">
        <v>45.629784910677841</v>
      </c>
      <c r="U181" s="297">
        <v>45.629784910677841</v>
      </c>
      <c r="V181" s="297">
        <v>45.629784910677841</v>
      </c>
      <c r="W181" s="297">
        <v>45.629784910677841</v>
      </c>
      <c r="X181" s="297">
        <v>45.629784910677841</v>
      </c>
      <c r="Y181" s="469">
        <v>0</v>
      </c>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8">AA181</f>
        <v>0</v>
      </c>
      <c r="AB182" s="413">
        <f t="shared" si="48"/>
        <v>0</v>
      </c>
      <c r="AC182" s="413">
        <f t="shared" si="48"/>
        <v>0</v>
      </c>
      <c r="AD182" s="413">
        <f t="shared" si="48"/>
        <v>0</v>
      </c>
      <c r="AE182" s="413">
        <f t="shared" si="48"/>
        <v>0</v>
      </c>
      <c r="AF182" s="413">
        <f t="shared" si="48"/>
        <v>0</v>
      </c>
      <c r="AG182" s="413">
        <f t="shared" si="48"/>
        <v>0</v>
      </c>
      <c r="AH182" s="413">
        <f t="shared" si="48"/>
        <v>0</v>
      </c>
      <c r="AI182" s="413">
        <f t="shared" si="48"/>
        <v>0</v>
      </c>
      <c r="AJ182" s="413">
        <f t="shared" si="48"/>
        <v>0</v>
      </c>
      <c r="AK182" s="413">
        <f t="shared" si="48"/>
        <v>0</v>
      </c>
      <c r="AL182" s="413">
        <f t="shared" si="48"/>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9">AA184</f>
        <v>0</v>
      </c>
      <c r="AB185" s="413">
        <f t="shared" si="49"/>
        <v>0</v>
      </c>
      <c r="AC185" s="413">
        <f t="shared" si="49"/>
        <v>0</v>
      </c>
      <c r="AD185" s="413">
        <f t="shared" si="49"/>
        <v>0</v>
      </c>
      <c r="AE185" s="413">
        <f t="shared" si="49"/>
        <v>0</v>
      </c>
      <c r="AF185" s="413">
        <f t="shared" si="49"/>
        <v>0</v>
      </c>
      <c r="AG185" s="413">
        <f t="shared" si="49"/>
        <v>0</v>
      </c>
      <c r="AH185" s="413">
        <f t="shared" si="49"/>
        <v>0</v>
      </c>
      <c r="AI185" s="413">
        <f t="shared" si="49"/>
        <v>0</v>
      </c>
      <c r="AJ185" s="413">
        <f t="shared" si="49"/>
        <v>0</v>
      </c>
      <c r="AK185" s="413">
        <f t="shared" si="49"/>
        <v>0</v>
      </c>
      <c r="AL185" s="413">
        <f t="shared" si="49"/>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v>0</v>
      </c>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50">AA187</f>
        <v>0</v>
      </c>
      <c r="AB188" s="413">
        <f t="shared" si="50"/>
        <v>0</v>
      </c>
      <c r="AC188" s="413">
        <f t="shared" si="50"/>
        <v>0</v>
      </c>
      <c r="AD188" s="413">
        <f t="shared" si="50"/>
        <v>0</v>
      </c>
      <c r="AE188" s="413">
        <f t="shared" si="50"/>
        <v>0</v>
      </c>
      <c r="AF188" s="413">
        <f t="shared" si="50"/>
        <v>0</v>
      </c>
      <c r="AG188" s="413">
        <f t="shared" si="50"/>
        <v>0</v>
      </c>
      <c r="AH188" s="413">
        <f t="shared" si="50"/>
        <v>0</v>
      </c>
      <c r="AI188" s="413">
        <f t="shared" si="50"/>
        <v>0</v>
      </c>
      <c r="AJ188" s="413">
        <f t="shared" si="50"/>
        <v>0</v>
      </c>
      <c r="AK188" s="413">
        <f t="shared" si="50"/>
        <v>0</v>
      </c>
      <c r="AL188" s="413">
        <f t="shared" si="50"/>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v>0</v>
      </c>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1">AA190</f>
        <v>0</v>
      </c>
      <c r="AB191" s="413">
        <f t="shared" si="51"/>
        <v>0</v>
      </c>
      <c r="AC191" s="413">
        <f t="shared" si="51"/>
        <v>0</v>
      </c>
      <c r="AD191" s="413">
        <f t="shared" si="51"/>
        <v>0</v>
      </c>
      <c r="AE191" s="413">
        <f t="shared" si="51"/>
        <v>0</v>
      </c>
      <c r="AF191" s="413">
        <f t="shared" si="51"/>
        <v>0</v>
      </c>
      <c r="AG191" s="413">
        <f t="shared" si="51"/>
        <v>0</v>
      </c>
      <c r="AH191" s="413">
        <f t="shared" si="51"/>
        <v>0</v>
      </c>
      <c r="AI191" s="413">
        <f t="shared" si="51"/>
        <v>0</v>
      </c>
      <c r="AJ191" s="413">
        <f t="shared" si="51"/>
        <v>0</v>
      </c>
      <c r="AK191" s="413">
        <f t="shared" si="51"/>
        <v>0</v>
      </c>
      <c r="AL191" s="413">
        <f t="shared" si="51"/>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488</v>
      </c>
      <c r="C193" s="293" t="s">
        <v>25</v>
      </c>
      <c r="D193" s="297"/>
      <c r="E193" s="297"/>
      <c r="F193" s="297"/>
      <c r="G193" s="297"/>
      <c r="H193" s="297"/>
      <c r="I193" s="297"/>
      <c r="J193" s="297"/>
      <c r="K193" s="297"/>
      <c r="L193" s="297"/>
      <c r="M193" s="297"/>
      <c r="N193" s="293"/>
      <c r="O193" s="297">
        <v>0</v>
      </c>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2">AA193</f>
        <v>0</v>
      </c>
      <c r="AB194" s="413">
        <f t="shared" si="52"/>
        <v>0</v>
      </c>
      <c r="AC194" s="413">
        <f t="shared" si="52"/>
        <v>0</v>
      </c>
      <c r="AD194" s="413">
        <f t="shared" si="52"/>
        <v>0</v>
      </c>
      <c r="AE194" s="413">
        <f t="shared" si="52"/>
        <v>0</v>
      </c>
      <c r="AF194" s="413">
        <f t="shared" si="52"/>
        <v>0</v>
      </c>
      <c r="AG194" s="413">
        <f t="shared" si="52"/>
        <v>0</v>
      </c>
      <c r="AH194" s="413">
        <f t="shared" si="52"/>
        <v>0</v>
      </c>
      <c r="AI194" s="413">
        <f t="shared" si="52"/>
        <v>0</v>
      </c>
      <c r="AJ194" s="413">
        <f t="shared" si="52"/>
        <v>0</v>
      </c>
      <c r="AK194" s="413">
        <f t="shared" si="52"/>
        <v>0</v>
      </c>
      <c r="AL194" s="413">
        <f t="shared" si="52"/>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489</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3">AA196</f>
        <v>0</v>
      </c>
      <c r="AB197" s="413">
        <f t="shared" si="53"/>
        <v>0</v>
      </c>
      <c r="AC197" s="413">
        <f t="shared" si="53"/>
        <v>0</v>
      </c>
      <c r="AD197" s="413">
        <f t="shared" si="53"/>
        <v>0</v>
      </c>
      <c r="AE197" s="413">
        <f t="shared" si="53"/>
        <v>0</v>
      </c>
      <c r="AF197" s="413">
        <f t="shared" si="53"/>
        <v>0</v>
      </c>
      <c r="AG197" s="413">
        <f t="shared" si="53"/>
        <v>0</v>
      </c>
      <c r="AH197" s="413">
        <f t="shared" si="53"/>
        <v>0</v>
      </c>
      <c r="AI197" s="413">
        <f t="shared" si="53"/>
        <v>0</v>
      </c>
      <c r="AJ197" s="413">
        <f t="shared" si="53"/>
        <v>0</v>
      </c>
      <c r="AK197" s="413">
        <f t="shared" si="53"/>
        <v>0</v>
      </c>
      <c r="AL197" s="413">
        <f t="shared" si="53"/>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4">AA199</f>
        <v>0</v>
      </c>
      <c r="AB200" s="413">
        <f t="shared" si="54"/>
        <v>0</v>
      </c>
      <c r="AC200" s="413">
        <f t="shared" si="54"/>
        <v>0</v>
      </c>
      <c r="AD200" s="413">
        <f t="shared" si="54"/>
        <v>0</v>
      </c>
      <c r="AE200" s="413">
        <f t="shared" si="54"/>
        <v>0</v>
      </c>
      <c r="AF200" s="413">
        <f t="shared" si="54"/>
        <v>0</v>
      </c>
      <c r="AG200" s="413">
        <f t="shared" si="54"/>
        <v>0</v>
      </c>
      <c r="AH200" s="413">
        <f t="shared" si="54"/>
        <v>0</v>
      </c>
      <c r="AI200" s="413">
        <f t="shared" si="54"/>
        <v>0</v>
      </c>
      <c r="AJ200" s="413">
        <f t="shared" si="54"/>
        <v>0</v>
      </c>
      <c r="AK200" s="413">
        <f t="shared" si="54"/>
        <v>0</v>
      </c>
      <c r="AL200" s="413">
        <f t="shared" si="54"/>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5">AA203</f>
        <v>0</v>
      </c>
      <c r="AB204" s="413">
        <f t="shared" si="55"/>
        <v>0</v>
      </c>
      <c r="AC204" s="413">
        <f t="shared" si="55"/>
        <v>0</v>
      </c>
      <c r="AD204" s="413">
        <f t="shared" si="55"/>
        <v>0</v>
      </c>
      <c r="AE204" s="413">
        <f t="shared" si="55"/>
        <v>0</v>
      </c>
      <c r="AF204" s="413">
        <f t="shared" si="55"/>
        <v>0</v>
      </c>
      <c r="AG204" s="413">
        <f t="shared" si="55"/>
        <v>0</v>
      </c>
      <c r="AH204" s="413">
        <f t="shared" si="55"/>
        <v>0</v>
      </c>
      <c r="AI204" s="413">
        <f t="shared" si="55"/>
        <v>0</v>
      </c>
      <c r="AJ204" s="413">
        <f t="shared" si="55"/>
        <v>0</v>
      </c>
      <c r="AK204" s="413">
        <f t="shared" si="55"/>
        <v>0</v>
      </c>
      <c r="AL204" s="413">
        <f t="shared" si="55"/>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6">AA206</f>
        <v>0</v>
      </c>
      <c r="AB207" s="413">
        <f t="shared" si="56"/>
        <v>0</v>
      </c>
      <c r="AC207" s="413">
        <f t="shared" si="56"/>
        <v>0</v>
      </c>
      <c r="AD207" s="413">
        <f t="shared" si="56"/>
        <v>0</v>
      </c>
      <c r="AE207" s="413">
        <f t="shared" si="56"/>
        <v>0</v>
      </c>
      <c r="AF207" s="413">
        <f t="shared" si="56"/>
        <v>0</v>
      </c>
      <c r="AG207" s="413">
        <f t="shared" si="56"/>
        <v>0</v>
      </c>
      <c r="AH207" s="413">
        <f t="shared" si="56"/>
        <v>0</v>
      </c>
      <c r="AI207" s="413">
        <f t="shared" si="56"/>
        <v>0</v>
      </c>
      <c r="AJ207" s="413">
        <f t="shared" si="56"/>
        <v>0</v>
      </c>
      <c r="AK207" s="413">
        <f t="shared" si="56"/>
        <v>0</v>
      </c>
      <c r="AL207" s="413">
        <f t="shared" si="56"/>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7">AA209</f>
        <v>0</v>
      </c>
      <c r="AB210" s="413">
        <f t="shared" si="57"/>
        <v>0</v>
      </c>
      <c r="AC210" s="413">
        <f t="shared" si="57"/>
        <v>0</v>
      </c>
      <c r="AD210" s="413">
        <f t="shared" si="57"/>
        <v>0</v>
      </c>
      <c r="AE210" s="413">
        <f t="shared" si="57"/>
        <v>0</v>
      </c>
      <c r="AF210" s="413">
        <f t="shared" si="57"/>
        <v>0</v>
      </c>
      <c r="AG210" s="413">
        <f t="shared" si="57"/>
        <v>0</v>
      </c>
      <c r="AH210" s="413">
        <f t="shared" si="57"/>
        <v>0</v>
      </c>
      <c r="AI210" s="413">
        <f t="shared" si="57"/>
        <v>0</v>
      </c>
      <c r="AJ210" s="413">
        <f t="shared" si="57"/>
        <v>0</v>
      </c>
      <c r="AK210" s="413">
        <f t="shared" si="57"/>
        <v>0</v>
      </c>
      <c r="AL210" s="413">
        <f t="shared" si="57"/>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8">AA212</f>
        <v>0</v>
      </c>
      <c r="AB213" s="413">
        <f t="shared" si="58"/>
        <v>0</v>
      </c>
      <c r="AC213" s="413">
        <f t="shared" si="58"/>
        <v>0</v>
      </c>
      <c r="AD213" s="413">
        <f t="shared" si="58"/>
        <v>0</v>
      </c>
      <c r="AE213" s="413">
        <f t="shared" si="58"/>
        <v>0</v>
      </c>
      <c r="AF213" s="413">
        <f t="shared" si="58"/>
        <v>0</v>
      </c>
      <c r="AG213" s="413">
        <f t="shared" si="58"/>
        <v>0</v>
      </c>
      <c r="AH213" s="413">
        <f t="shared" si="58"/>
        <v>0</v>
      </c>
      <c r="AI213" s="413">
        <f t="shared" si="58"/>
        <v>0</v>
      </c>
      <c r="AJ213" s="413">
        <f t="shared" si="58"/>
        <v>0</v>
      </c>
      <c r="AK213" s="413">
        <f t="shared" si="58"/>
        <v>0</v>
      </c>
      <c r="AL213" s="413">
        <f t="shared" si="58"/>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v>0</v>
      </c>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9">AA215</f>
        <v>0</v>
      </c>
      <c r="AB216" s="413">
        <f t="shared" si="59"/>
        <v>0</v>
      </c>
      <c r="AC216" s="413">
        <f t="shared" si="59"/>
        <v>0</v>
      </c>
      <c r="AD216" s="413">
        <f t="shared" si="59"/>
        <v>0</v>
      </c>
      <c r="AE216" s="413">
        <f t="shared" si="59"/>
        <v>0</v>
      </c>
      <c r="AF216" s="413">
        <f t="shared" si="59"/>
        <v>0</v>
      </c>
      <c r="AG216" s="413">
        <f t="shared" si="59"/>
        <v>0</v>
      </c>
      <c r="AH216" s="413">
        <f t="shared" si="59"/>
        <v>0</v>
      </c>
      <c r="AI216" s="413">
        <f t="shared" si="59"/>
        <v>0</v>
      </c>
      <c r="AJ216" s="413">
        <f t="shared" si="59"/>
        <v>0</v>
      </c>
      <c r="AK216" s="413">
        <f t="shared" si="59"/>
        <v>0</v>
      </c>
      <c r="AL216" s="413">
        <f t="shared" si="59"/>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v>0</v>
      </c>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60">AA219</f>
        <v>0</v>
      </c>
      <c r="AB220" s="413">
        <f t="shared" si="60"/>
        <v>0</v>
      </c>
      <c r="AC220" s="413">
        <f t="shared" si="60"/>
        <v>0</v>
      </c>
      <c r="AD220" s="413">
        <f t="shared" si="60"/>
        <v>0</v>
      </c>
      <c r="AE220" s="413">
        <f t="shared" si="60"/>
        <v>0</v>
      </c>
      <c r="AF220" s="413">
        <f t="shared" si="60"/>
        <v>0</v>
      </c>
      <c r="AG220" s="413">
        <f t="shared" si="60"/>
        <v>0</v>
      </c>
      <c r="AH220" s="413">
        <f t="shared" si="60"/>
        <v>0</v>
      </c>
      <c r="AI220" s="413">
        <f t="shared" si="60"/>
        <v>0</v>
      </c>
      <c r="AJ220" s="413">
        <f t="shared" si="60"/>
        <v>0</v>
      </c>
      <c r="AK220" s="413">
        <f t="shared" si="60"/>
        <v>0</v>
      </c>
      <c r="AL220" s="413">
        <f t="shared" si="60"/>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1">AA223</f>
        <v>0</v>
      </c>
      <c r="AB224" s="413">
        <f t="shared" si="61"/>
        <v>0</v>
      </c>
      <c r="AC224" s="413">
        <f t="shared" si="61"/>
        <v>0</v>
      </c>
      <c r="AD224" s="413">
        <f t="shared" si="61"/>
        <v>0</v>
      </c>
      <c r="AE224" s="413">
        <f t="shared" si="61"/>
        <v>0</v>
      </c>
      <c r="AF224" s="413">
        <f t="shared" si="61"/>
        <v>0</v>
      </c>
      <c r="AG224" s="413">
        <f t="shared" si="61"/>
        <v>0</v>
      </c>
      <c r="AH224" s="413">
        <f t="shared" si="61"/>
        <v>0</v>
      </c>
      <c r="AI224" s="413">
        <f t="shared" si="61"/>
        <v>0</v>
      </c>
      <c r="AJ224" s="413">
        <f t="shared" si="61"/>
        <v>0</v>
      </c>
      <c r="AK224" s="413">
        <f t="shared" si="61"/>
        <v>0</v>
      </c>
      <c r="AL224" s="413">
        <f t="shared" si="61"/>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2">AA226</f>
        <v>0</v>
      </c>
      <c r="AB227" s="413">
        <f t="shared" si="62"/>
        <v>0</v>
      </c>
      <c r="AC227" s="413">
        <f t="shared" si="62"/>
        <v>0</v>
      </c>
      <c r="AD227" s="413">
        <f t="shared" si="62"/>
        <v>0</v>
      </c>
      <c r="AE227" s="413">
        <f t="shared" si="62"/>
        <v>0</v>
      </c>
      <c r="AF227" s="413">
        <f t="shared" si="62"/>
        <v>0</v>
      </c>
      <c r="AG227" s="413">
        <f t="shared" si="62"/>
        <v>0</v>
      </c>
      <c r="AH227" s="413">
        <f t="shared" si="62"/>
        <v>0</v>
      </c>
      <c r="AI227" s="413">
        <f t="shared" si="62"/>
        <v>0</v>
      </c>
      <c r="AJ227" s="413">
        <f t="shared" si="62"/>
        <v>0</v>
      </c>
      <c r="AK227" s="413">
        <f t="shared" si="62"/>
        <v>0</v>
      </c>
      <c r="AL227" s="413">
        <f t="shared" si="62"/>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v>0</v>
      </c>
      <c r="E230" s="297">
        <f>D230*$F$15</f>
        <v>0</v>
      </c>
      <c r="F230" s="297">
        <f>E230*$G$15</f>
        <v>0</v>
      </c>
      <c r="G230" s="297"/>
      <c r="H230" s="297"/>
      <c r="I230" s="297"/>
      <c r="J230" s="297"/>
      <c r="K230" s="297"/>
      <c r="L230" s="297"/>
      <c r="M230" s="297"/>
      <c r="N230" s="297">
        <v>12</v>
      </c>
      <c r="O230" s="297">
        <v>0</v>
      </c>
      <c r="P230" s="297"/>
      <c r="Q230" s="297"/>
      <c r="R230" s="297"/>
      <c r="S230" s="297"/>
      <c r="T230" s="297"/>
      <c r="U230" s="297"/>
      <c r="V230" s="297"/>
      <c r="W230" s="297"/>
      <c r="X230" s="297"/>
      <c r="Y230" s="428">
        <v>1</v>
      </c>
      <c r="Z230" s="417"/>
      <c r="AA230" s="471"/>
      <c r="AB230" s="417"/>
      <c r="AC230" s="417"/>
      <c r="AD230" s="417"/>
      <c r="AE230" s="417"/>
      <c r="AF230" s="417"/>
      <c r="AG230" s="417"/>
      <c r="AH230" s="417"/>
      <c r="AI230" s="417"/>
      <c r="AJ230" s="417"/>
      <c r="AK230" s="417"/>
      <c r="AL230" s="417"/>
      <c r="AM230" s="298">
        <f>SUM(Y230:AL230)</f>
        <v>1</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1</v>
      </c>
      <c r="Z231" s="413">
        <f>Z230</f>
        <v>0</v>
      </c>
      <c r="AA231" s="413">
        <f t="shared" ref="AA231:AL231" si="63">AA230</f>
        <v>0</v>
      </c>
      <c r="AB231" s="413">
        <f t="shared" si="63"/>
        <v>0</v>
      </c>
      <c r="AC231" s="413">
        <f t="shared" si="63"/>
        <v>0</v>
      </c>
      <c r="AD231" s="413">
        <f t="shared" si="63"/>
        <v>0</v>
      </c>
      <c r="AE231" s="413">
        <f t="shared" si="63"/>
        <v>0</v>
      </c>
      <c r="AF231" s="413">
        <f t="shared" si="63"/>
        <v>0</v>
      </c>
      <c r="AG231" s="413">
        <f t="shared" si="63"/>
        <v>0</v>
      </c>
      <c r="AH231" s="413">
        <f t="shared" si="63"/>
        <v>0</v>
      </c>
      <c r="AI231" s="413">
        <f t="shared" si="63"/>
        <v>0</v>
      </c>
      <c r="AJ231" s="413">
        <f t="shared" si="63"/>
        <v>0</v>
      </c>
      <c r="AK231" s="413">
        <f t="shared" si="63"/>
        <v>0</v>
      </c>
      <c r="AL231" s="413">
        <f t="shared" si="63"/>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v>592.43880735719165</v>
      </c>
      <c r="E233" s="297">
        <v>592.43880735719165</v>
      </c>
      <c r="F233" s="297">
        <v>592.43880735719165</v>
      </c>
      <c r="G233" s="297">
        <v>592.43880735719165</v>
      </c>
      <c r="H233" s="297">
        <v>592.43880735719165</v>
      </c>
      <c r="I233" s="297">
        <v>592.43880735719165</v>
      </c>
      <c r="J233" s="297">
        <v>592.43880735719165</v>
      </c>
      <c r="K233" s="297">
        <v>592.43880735719165</v>
      </c>
      <c r="L233" s="297">
        <v>592.43880735719165</v>
      </c>
      <c r="M233" s="297">
        <v>592.43880735719165</v>
      </c>
      <c r="N233" s="297">
        <v>12</v>
      </c>
      <c r="O233" s="297">
        <v>0.61149527287424166</v>
      </c>
      <c r="P233" s="297">
        <v>0.61149527287424166</v>
      </c>
      <c r="Q233" s="297">
        <v>0.61149527287424166</v>
      </c>
      <c r="R233" s="297">
        <v>0.61149527287424166</v>
      </c>
      <c r="S233" s="297">
        <v>0.61149527287424166</v>
      </c>
      <c r="T233" s="297">
        <v>0.61149527287424166</v>
      </c>
      <c r="U233" s="297">
        <v>0.61149527287424166</v>
      </c>
      <c r="V233" s="297">
        <v>0.61149527287424166</v>
      </c>
      <c r="W233" s="297">
        <v>0.61149527287424166</v>
      </c>
      <c r="X233" s="297">
        <v>0.61149527287424166</v>
      </c>
      <c r="Y233" s="428">
        <v>1</v>
      </c>
      <c r="Z233" s="417"/>
      <c r="AA233" s="417"/>
      <c r="AB233" s="417"/>
      <c r="AC233" s="417"/>
      <c r="AD233" s="417"/>
      <c r="AE233" s="417"/>
      <c r="AF233" s="417"/>
      <c r="AG233" s="417"/>
      <c r="AH233" s="417"/>
      <c r="AI233" s="417"/>
      <c r="AJ233" s="417"/>
      <c r="AK233" s="417"/>
      <c r="AL233" s="417"/>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1</v>
      </c>
      <c r="Z234" s="413">
        <f>Z233</f>
        <v>0</v>
      </c>
      <c r="AA234" s="413">
        <f t="shared" ref="AA234:AL234" si="64">AA233</f>
        <v>0</v>
      </c>
      <c r="AB234" s="413">
        <f t="shared" si="64"/>
        <v>0</v>
      </c>
      <c r="AC234" s="413">
        <f t="shared" si="64"/>
        <v>0</v>
      </c>
      <c r="AD234" s="413">
        <f t="shared" si="64"/>
        <v>0</v>
      </c>
      <c r="AE234" s="413">
        <f t="shared" si="64"/>
        <v>0</v>
      </c>
      <c r="AF234" s="413">
        <f t="shared" si="64"/>
        <v>0</v>
      </c>
      <c r="AG234" s="413">
        <f t="shared" si="64"/>
        <v>0</v>
      </c>
      <c r="AH234" s="413">
        <f t="shared" si="64"/>
        <v>0</v>
      </c>
      <c r="AI234" s="413">
        <f t="shared" si="64"/>
        <v>0</v>
      </c>
      <c r="AJ234" s="413">
        <f t="shared" si="64"/>
        <v>0</v>
      </c>
      <c r="AK234" s="413">
        <f t="shared" si="64"/>
        <v>0</v>
      </c>
      <c r="AL234" s="413">
        <f t="shared" si="64"/>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5">AA236</f>
        <v>0</v>
      </c>
      <c r="AB237" s="413">
        <f t="shared" si="65"/>
        <v>0</v>
      </c>
      <c r="AC237" s="413">
        <f t="shared" si="65"/>
        <v>0</v>
      </c>
      <c r="AD237" s="413">
        <f t="shared" si="65"/>
        <v>0</v>
      </c>
      <c r="AE237" s="413">
        <f t="shared" si="65"/>
        <v>0</v>
      </c>
      <c r="AF237" s="413">
        <f t="shared" si="65"/>
        <v>0</v>
      </c>
      <c r="AG237" s="413">
        <f t="shared" si="65"/>
        <v>0</v>
      </c>
      <c r="AH237" s="413">
        <f t="shared" si="65"/>
        <v>0</v>
      </c>
      <c r="AI237" s="413">
        <f t="shared" si="65"/>
        <v>0</v>
      </c>
      <c r="AJ237" s="413">
        <f t="shared" si="65"/>
        <v>0</v>
      </c>
      <c r="AK237" s="413">
        <f t="shared" si="65"/>
        <v>0</v>
      </c>
      <c r="AL237" s="413">
        <f t="shared" si="65"/>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6">Z239</f>
        <v>0</v>
      </c>
      <c r="AA240" s="413">
        <f t="shared" si="66"/>
        <v>0</v>
      </c>
      <c r="AB240" s="413">
        <f t="shared" si="66"/>
        <v>0</v>
      </c>
      <c r="AC240" s="413">
        <f t="shared" si="66"/>
        <v>0</v>
      </c>
      <c r="AD240" s="413">
        <f t="shared" si="66"/>
        <v>0</v>
      </c>
      <c r="AE240" s="413">
        <f t="shared" si="66"/>
        <v>0</v>
      </c>
      <c r="AF240" s="413">
        <f t="shared" si="66"/>
        <v>0</v>
      </c>
      <c r="AG240" s="413">
        <f t="shared" si="66"/>
        <v>0</v>
      </c>
      <c r="AH240" s="413">
        <f t="shared" si="66"/>
        <v>0</v>
      </c>
      <c r="AI240" s="413">
        <f t="shared" si="66"/>
        <v>0</v>
      </c>
      <c r="AJ240" s="413">
        <f t="shared" si="66"/>
        <v>0</v>
      </c>
      <c r="AK240" s="413">
        <f t="shared" si="66"/>
        <v>0</v>
      </c>
      <c r="AL240" s="413">
        <f t="shared" si="66"/>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7">Z242</f>
        <v>0</v>
      </c>
      <c r="AA243" s="413">
        <f t="shared" si="67"/>
        <v>0</v>
      </c>
      <c r="AB243" s="413">
        <f t="shared" si="67"/>
        <v>0</v>
      </c>
      <c r="AC243" s="413">
        <f t="shared" si="67"/>
        <v>0</v>
      </c>
      <c r="AD243" s="413">
        <f t="shared" si="67"/>
        <v>0</v>
      </c>
      <c r="AE243" s="413">
        <f t="shared" si="67"/>
        <v>0</v>
      </c>
      <c r="AF243" s="413">
        <f t="shared" si="67"/>
        <v>0</v>
      </c>
      <c r="AG243" s="413">
        <f t="shared" si="67"/>
        <v>0</v>
      </c>
      <c r="AH243" s="413">
        <f t="shared" si="67"/>
        <v>0</v>
      </c>
      <c r="AI243" s="413">
        <f t="shared" si="67"/>
        <v>0</v>
      </c>
      <c r="AJ243" s="413">
        <f t="shared" si="67"/>
        <v>0</v>
      </c>
      <c r="AK243" s="413">
        <f t="shared" si="67"/>
        <v>0</v>
      </c>
      <c r="AL243" s="413">
        <f t="shared" si="67"/>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8">Z246</f>
        <v>0</v>
      </c>
      <c r="AA247" s="413">
        <f t="shared" si="68"/>
        <v>0</v>
      </c>
      <c r="AB247" s="413">
        <f t="shared" si="68"/>
        <v>0</v>
      </c>
      <c r="AC247" s="413">
        <f t="shared" si="68"/>
        <v>0</v>
      </c>
      <c r="AD247" s="413">
        <f t="shared" si="68"/>
        <v>0</v>
      </c>
      <c r="AE247" s="413">
        <f t="shared" si="68"/>
        <v>0</v>
      </c>
      <c r="AF247" s="413">
        <f t="shared" si="68"/>
        <v>0</v>
      </c>
      <c r="AG247" s="413">
        <f t="shared" si="68"/>
        <v>0</v>
      </c>
      <c r="AH247" s="413">
        <f t="shared" si="68"/>
        <v>0</v>
      </c>
      <c r="AI247" s="413">
        <f t="shared" si="68"/>
        <v>0</v>
      </c>
      <c r="AJ247" s="413">
        <f t="shared" si="68"/>
        <v>0</v>
      </c>
      <c r="AK247" s="413">
        <f t="shared" si="68"/>
        <v>0</v>
      </c>
      <c r="AL247" s="413">
        <f t="shared" si="68"/>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494</v>
      </c>
      <c r="C249" s="293" t="s">
        <v>25</v>
      </c>
      <c r="D249" s="297"/>
      <c r="E249" s="297"/>
      <c r="F249" s="297"/>
      <c r="G249" s="297"/>
      <c r="H249" s="297"/>
      <c r="I249" s="297"/>
      <c r="J249" s="297"/>
      <c r="K249" s="297"/>
      <c r="L249" s="297"/>
      <c r="M249" s="297"/>
      <c r="N249" s="297">
        <v>0</v>
      </c>
      <c r="O249" s="297">
        <v>0</v>
      </c>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9">Z249</f>
        <v>0</v>
      </c>
      <c r="AA250" s="413">
        <f t="shared" si="69"/>
        <v>0</v>
      </c>
      <c r="AB250" s="413">
        <f t="shared" si="69"/>
        <v>0</v>
      </c>
      <c r="AC250" s="413">
        <f t="shared" si="69"/>
        <v>0</v>
      </c>
      <c r="AD250" s="413">
        <f t="shared" si="69"/>
        <v>0</v>
      </c>
      <c r="AE250" s="413">
        <f t="shared" si="69"/>
        <v>0</v>
      </c>
      <c r="AF250" s="413">
        <f t="shared" si="69"/>
        <v>0</v>
      </c>
      <c r="AG250" s="413">
        <f t="shared" si="69"/>
        <v>0</v>
      </c>
      <c r="AH250" s="413">
        <f t="shared" si="69"/>
        <v>0</v>
      </c>
      <c r="AI250" s="413">
        <f t="shared" si="69"/>
        <v>0</v>
      </c>
      <c r="AJ250" s="413">
        <f t="shared" si="69"/>
        <v>0</v>
      </c>
      <c r="AK250" s="413">
        <f t="shared" si="69"/>
        <v>0</v>
      </c>
      <c r="AL250" s="413">
        <f t="shared" si="69"/>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0">Z252</f>
        <v>0</v>
      </c>
      <c r="AA253" s="413">
        <f t="shared" si="70"/>
        <v>0</v>
      </c>
      <c r="AB253" s="413">
        <f t="shared" si="70"/>
        <v>0</v>
      </c>
      <c r="AC253" s="413">
        <f t="shared" si="70"/>
        <v>0</v>
      </c>
      <c r="AD253" s="413">
        <f t="shared" si="70"/>
        <v>0</v>
      </c>
      <c r="AE253" s="413">
        <f t="shared" si="70"/>
        <v>0</v>
      </c>
      <c r="AF253" s="413">
        <f t="shared" si="70"/>
        <v>0</v>
      </c>
      <c r="AG253" s="413">
        <f t="shared" si="70"/>
        <v>0</v>
      </c>
      <c r="AH253" s="413">
        <f t="shared" si="70"/>
        <v>0</v>
      </c>
      <c r="AI253" s="413">
        <f t="shared" si="70"/>
        <v>0</v>
      </c>
      <c r="AJ253" s="413">
        <f t="shared" si="70"/>
        <v>0</v>
      </c>
      <c r="AK253" s="413">
        <f t="shared" si="70"/>
        <v>0</v>
      </c>
      <c r="AL253" s="413">
        <f t="shared" si="70"/>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246</v>
      </c>
      <c r="C255" s="331"/>
      <c r="D255" s="331">
        <f>SUM(D150:D253)</f>
        <v>2517335.2556373198</v>
      </c>
      <c r="E255" s="331">
        <f t="shared" ref="E255:M255" si="71">SUM(E150:E253)</f>
        <v>2300187.4558278136</v>
      </c>
      <c r="F255" s="331">
        <f t="shared" si="71"/>
        <v>2226293.1949982494</v>
      </c>
      <c r="G255" s="331">
        <f t="shared" si="71"/>
        <v>2056638.4352692226</v>
      </c>
      <c r="H255" s="331">
        <f t="shared" si="71"/>
        <v>1982386.3050136897</v>
      </c>
      <c r="I255" s="331">
        <f t="shared" si="71"/>
        <v>1457282.400831861</v>
      </c>
      <c r="J255" s="331">
        <f t="shared" si="71"/>
        <v>1410984.352789735</v>
      </c>
      <c r="K255" s="331">
        <f t="shared" si="71"/>
        <v>1410814.7785201245</v>
      </c>
      <c r="L255" s="331">
        <f t="shared" si="71"/>
        <v>1382274.0259340745</v>
      </c>
      <c r="M255" s="331">
        <f t="shared" si="71"/>
        <v>1229772.9655640321</v>
      </c>
      <c r="N255" s="331"/>
      <c r="O255" s="331">
        <f>SUM(O150:O253)</f>
        <v>550.55804089613662</v>
      </c>
      <c r="P255" s="331"/>
      <c r="Q255" s="331"/>
      <c r="R255" s="331"/>
      <c r="S255" s="331"/>
      <c r="T255" s="331"/>
      <c r="U255" s="331"/>
      <c r="V255" s="331"/>
      <c r="W255" s="331"/>
      <c r="X255" s="331"/>
      <c r="Y255" s="331">
        <f>IF(Y149="kWh",SUMPRODUCT(D150:D253,Y150:Y253))</f>
        <v>406041.54845376988</v>
      </c>
      <c r="Z255" s="331">
        <f>IF(Z149="kWh",SUMPRODUCT(D150:D253,Z150:Z253))</f>
        <v>2111293.7071835496</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2">Y135*Y258</f>
        <v>0</v>
      </c>
      <c r="Z259" s="380">
        <f t="shared" si="72"/>
        <v>0</v>
      </c>
      <c r="AA259" s="380">
        <f t="shared" si="72"/>
        <v>0</v>
      </c>
      <c r="AB259" s="380">
        <f t="shared" si="72"/>
        <v>0</v>
      </c>
      <c r="AC259" s="380">
        <f t="shared" si="72"/>
        <v>0</v>
      </c>
      <c r="AD259" s="380">
        <f t="shared" si="72"/>
        <v>0</v>
      </c>
      <c r="AE259" s="380">
        <f t="shared" si="72"/>
        <v>0</v>
      </c>
      <c r="AF259" s="380">
        <f t="shared" si="72"/>
        <v>0</v>
      </c>
      <c r="AG259" s="380">
        <f t="shared" si="72"/>
        <v>0</v>
      </c>
      <c r="AH259" s="380">
        <f t="shared" si="72"/>
        <v>0</v>
      </c>
      <c r="AI259" s="380">
        <f t="shared" si="72"/>
        <v>0</v>
      </c>
      <c r="AJ259" s="380">
        <f t="shared" si="72"/>
        <v>0</v>
      </c>
      <c r="AK259" s="380">
        <f t="shared" si="72"/>
        <v>0</v>
      </c>
      <c r="AL259" s="380">
        <f t="shared" si="72"/>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3">Y255*Y258</f>
        <v>0</v>
      </c>
      <c r="Z260" s="380">
        <f t="shared" si="73"/>
        <v>0</v>
      </c>
      <c r="AA260" s="381">
        <f t="shared" si="73"/>
        <v>0</v>
      </c>
      <c r="AB260" s="381">
        <f t="shared" si="73"/>
        <v>0</v>
      </c>
      <c r="AC260" s="381">
        <f t="shared" si="73"/>
        <v>0</v>
      </c>
      <c r="AD260" s="381">
        <f t="shared" si="73"/>
        <v>0</v>
      </c>
      <c r="AE260" s="381">
        <f t="shared" si="73"/>
        <v>0</v>
      </c>
      <c r="AF260" s="381">
        <f t="shared" ref="AF260:AL260" si="74">AF255*AF258</f>
        <v>0</v>
      </c>
      <c r="AG260" s="381">
        <f t="shared" si="74"/>
        <v>0</v>
      </c>
      <c r="AH260" s="381">
        <f t="shared" si="74"/>
        <v>0</v>
      </c>
      <c r="AI260" s="381">
        <f t="shared" si="74"/>
        <v>0</v>
      </c>
      <c r="AJ260" s="381">
        <f t="shared" si="74"/>
        <v>0</v>
      </c>
      <c r="AK260" s="381">
        <f t="shared" si="74"/>
        <v>0</v>
      </c>
      <c r="AL260" s="381">
        <f t="shared" si="74"/>
        <v>0</v>
      </c>
      <c r="AM260" s="631">
        <f>SUM(Y260:AL260)</f>
        <v>0</v>
      </c>
    </row>
    <row r="261" spans="1:41" s="382" customFormat="1" ht="15.75">
      <c r="A261" s="513"/>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5">SUM(Z259:Z260)</f>
        <v>0</v>
      </c>
      <c r="AA261" s="348">
        <f t="shared" si="75"/>
        <v>0</v>
      </c>
      <c r="AB261" s="348">
        <f t="shared" si="75"/>
        <v>0</v>
      </c>
      <c r="AC261" s="348">
        <f t="shared" si="75"/>
        <v>0</v>
      </c>
      <c r="AD261" s="348">
        <f t="shared" si="75"/>
        <v>0</v>
      </c>
      <c r="AE261" s="348">
        <f t="shared" si="75"/>
        <v>0</v>
      </c>
      <c r="AF261" s="348">
        <f t="shared" ref="AF261:AL261" si="76">SUM(AF259:AF260)</f>
        <v>0</v>
      </c>
      <c r="AG261" s="348">
        <f t="shared" si="76"/>
        <v>0</v>
      </c>
      <c r="AH261" s="348">
        <f t="shared" si="76"/>
        <v>0</v>
      </c>
      <c r="AI261" s="348">
        <f t="shared" si="76"/>
        <v>0</v>
      </c>
      <c r="AJ261" s="348">
        <f t="shared" si="76"/>
        <v>0</v>
      </c>
      <c r="AK261" s="348">
        <f t="shared" si="76"/>
        <v>0</v>
      </c>
      <c r="AL261" s="348">
        <f t="shared" si="76"/>
        <v>0</v>
      </c>
      <c r="AM261" s="409">
        <f>SUM(AM259:AM260)</f>
        <v>0</v>
      </c>
    </row>
    <row r="262" spans="1:41" s="382" customFormat="1" ht="15.75">
      <c r="A262" s="513"/>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7">Y256*Y258</f>
        <v>0</v>
      </c>
      <c r="Z262" s="349">
        <f t="shared" si="77"/>
        <v>0</v>
      </c>
      <c r="AA262" s="349">
        <f t="shared" si="77"/>
        <v>0</v>
      </c>
      <c r="AB262" s="349">
        <f t="shared" si="77"/>
        <v>0</v>
      </c>
      <c r="AC262" s="349">
        <f t="shared" si="77"/>
        <v>0</v>
      </c>
      <c r="AD262" s="349">
        <f t="shared" si="77"/>
        <v>0</v>
      </c>
      <c r="AE262" s="349">
        <f t="shared" si="77"/>
        <v>0</v>
      </c>
      <c r="AF262" s="349">
        <f t="shared" ref="AF262:AL262" si="78">AF256*AF258</f>
        <v>0</v>
      </c>
      <c r="AG262" s="349">
        <f t="shared" si="78"/>
        <v>0</v>
      </c>
      <c r="AH262" s="349">
        <f t="shared" si="78"/>
        <v>0</v>
      </c>
      <c r="AI262" s="349">
        <f t="shared" si="78"/>
        <v>0</v>
      </c>
      <c r="AJ262" s="349">
        <f t="shared" si="78"/>
        <v>0</v>
      </c>
      <c r="AK262" s="349">
        <f t="shared" si="78"/>
        <v>0</v>
      </c>
      <c r="AL262" s="349">
        <f t="shared" si="78"/>
        <v>0</v>
      </c>
      <c r="AM262" s="409">
        <f>SUM(Y262:AL262)</f>
        <v>0</v>
      </c>
    </row>
    <row r="263" spans="1:41" s="382" customFormat="1" ht="15.75">
      <c r="A263" s="513"/>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404893.04645376984</v>
      </c>
      <c r="Z265" s="293">
        <f>SUMPRODUCT(E150:E253,Z150:Z253)</f>
        <v>1895294.4093740438</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404893.04645376984</v>
      </c>
      <c r="Z266" s="293">
        <f>SUMPRODUCT(F150:F253,Z150:Z253)</f>
        <v>1821400.1485444794</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404294.28972397296</v>
      </c>
      <c r="Z267" s="293">
        <f>SUMPRODUCT(G150:G253,Z150:Z253)</f>
        <v>1652344.1455452498</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330042.15946843976</v>
      </c>
      <c r="Z268" s="293">
        <f>SUMPRODUCT(H150:H253,Z150:Z253)</f>
        <v>1652344.1455452498</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220892.90271183735</v>
      </c>
      <c r="Z269" s="293">
        <f>SUMPRODUCT(I150:I253,Z150:Z253)</f>
        <v>1236389.4981200234</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183272.54267457701</v>
      </c>
      <c r="Z270" s="293">
        <f>SUMPRODUCT(J150:J253,Z150:Z253)</f>
        <v>1227711.8101151581</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183102.96840496673</v>
      </c>
      <c r="Z271" s="293">
        <f>SUMPRODUCT(K150:K253,Z150:Z253)</f>
        <v>1227711.8101151581</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183102.96840496673</v>
      </c>
      <c r="Z272" s="328">
        <f>SUMPRODUCT(L150:L253,Z150:Z253)</f>
        <v>1199171.0575291079</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598</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v>33</v>
      </c>
      <c r="G274" s="392">
        <v>45</v>
      </c>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4" t="s">
        <v>528</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9" t="s">
        <v>212</v>
      </c>
      <c r="C276" s="811" t="s">
        <v>33</v>
      </c>
      <c r="D276" s="286" t="s">
        <v>424</v>
      </c>
      <c r="E276" s="813" t="s">
        <v>210</v>
      </c>
      <c r="F276" s="814"/>
      <c r="G276" s="814"/>
      <c r="H276" s="814"/>
      <c r="I276" s="814"/>
      <c r="J276" s="814"/>
      <c r="K276" s="814"/>
      <c r="L276" s="814"/>
      <c r="M276" s="815"/>
      <c r="N276" s="816" t="s">
        <v>214</v>
      </c>
      <c r="O276" s="286" t="s">
        <v>425</v>
      </c>
      <c r="P276" s="813" t="s">
        <v>213</v>
      </c>
      <c r="Q276" s="814"/>
      <c r="R276" s="814"/>
      <c r="S276" s="814"/>
      <c r="T276" s="814"/>
      <c r="U276" s="814"/>
      <c r="V276" s="814"/>
      <c r="W276" s="814"/>
      <c r="X276" s="815"/>
      <c r="Y276" s="806" t="s">
        <v>244</v>
      </c>
      <c r="Z276" s="807"/>
      <c r="AA276" s="807"/>
      <c r="AB276" s="807"/>
      <c r="AC276" s="807"/>
      <c r="AD276" s="807"/>
      <c r="AE276" s="807"/>
      <c r="AF276" s="807"/>
      <c r="AG276" s="807"/>
      <c r="AH276" s="807"/>
      <c r="AI276" s="807"/>
      <c r="AJ276" s="807"/>
      <c r="AK276" s="807"/>
      <c r="AL276" s="807"/>
      <c r="AM276" s="808"/>
    </row>
    <row r="277" spans="1:39" ht="60.75" customHeight="1">
      <c r="B277" s="810"/>
      <c r="C277" s="812"/>
      <c r="D277" s="287">
        <v>2013</v>
      </c>
      <c r="E277" s="287">
        <v>2014</v>
      </c>
      <c r="F277" s="287">
        <v>2015</v>
      </c>
      <c r="G277" s="287">
        <v>2016</v>
      </c>
      <c r="H277" s="287">
        <v>2017</v>
      </c>
      <c r="I277" s="287">
        <v>2018</v>
      </c>
      <c r="J277" s="287">
        <v>2019</v>
      </c>
      <c r="K277" s="287">
        <v>2020</v>
      </c>
      <c r="L277" s="287">
        <v>2021</v>
      </c>
      <c r="M277" s="287">
        <v>2022</v>
      </c>
      <c r="N277" s="817"/>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GS&gt;50-4999 kW</v>
      </c>
      <c r="AB277" s="287" t="str">
        <f>'1.  LRAMVA Summary'!G50</f>
        <v>USL</v>
      </c>
      <c r="AC277" s="287" t="str">
        <f>'1.  LRAMVA Summary'!H50</f>
        <v>Sentinel Lighting</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kWh</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98844.518776411016</v>
      </c>
      <c r="E279" s="297">
        <v>98844.518776411016</v>
      </c>
      <c r="F279" s="297">
        <v>98844.518776411016</v>
      </c>
      <c r="G279" s="297">
        <v>98126.707148078014</v>
      </c>
      <c r="H279" s="297">
        <v>49996.238713286002</v>
      </c>
      <c r="I279" s="297"/>
      <c r="J279" s="297"/>
      <c r="K279" s="297"/>
      <c r="L279" s="297"/>
      <c r="M279" s="297"/>
      <c r="N279" s="293"/>
      <c r="O279" s="297">
        <v>15.226660407000001</v>
      </c>
      <c r="P279" s="297">
        <v>15.226660407000001</v>
      </c>
      <c r="Q279" s="297">
        <v>15.226660407000001</v>
      </c>
      <c r="R279" s="297">
        <v>14.4931722</v>
      </c>
      <c r="S279" s="297">
        <v>7.34303726</v>
      </c>
      <c r="T279" s="297">
        <v>0</v>
      </c>
      <c r="U279" s="297">
        <v>0</v>
      </c>
      <c r="V279" s="297">
        <v>0</v>
      </c>
      <c r="W279" s="297">
        <v>0</v>
      </c>
      <c r="X279" s="297">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10344.316580000001</v>
      </c>
      <c r="E282" s="297">
        <v>10344.316580000001</v>
      </c>
      <c r="F282" s="297">
        <v>10344.316580000001</v>
      </c>
      <c r="G282" s="297">
        <v>10344.316580000001</v>
      </c>
      <c r="H282" s="297">
        <v>0</v>
      </c>
      <c r="I282" s="297">
        <v>0</v>
      </c>
      <c r="J282" s="297">
        <v>0</v>
      </c>
      <c r="K282" s="297">
        <v>0</v>
      </c>
      <c r="L282" s="297">
        <v>0</v>
      </c>
      <c r="M282" s="297">
        <v>0</v>
      </c>
      <c r="N282" s="293"/>
      <c r="O282" s="297">
        <v>5.8014347730000004</v>
      </c>
      <c r="P282" s="297">
        <v>5.8014347730000004</v>
      </c>
      <c r="Q282" s="297">
        <v>5.8014347730000004</v>
      </c>
      <c r="R282" s="297">
        <v>5.8014347730000004</v>
      </c>
      <c r="S282" s="297">
        <v>0</v>
      </c>
      <c r="T282" s="297">
        <v>0</v>
      </c>
      <c r="U282" s="297">
        <v>0</v>
      </c>
      <c r="V282" s="297">
        <v>0</v>
      </c>
      <c r="W282" s="297">
        <v>0</v>
      </c>
      <c r="X282" s="297">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103964.30105231929</v>
      </c>
      <c r="E285" s="297">
        <v>103964.30105231929</v>
      </c>
      <c r="F285" s="297">
        <v>103964.30105231929</v>
      </c>
      <c r="G285" s="297">
        <v>103964.30105231929</v>
      </c>
      <c r="H285" s="297">
        <v>103964.30105231929</v>
      </c>
      <c r="I285" s="297">
        <v>103964.30105231929</v>
      </c>
      <c r="J285" s="297">
        <v>103964.30105231929</v>
      </c>
      <c r="K285" s="297">
        <v>103964.30105231929</v>
      </c>
      <c r="L285" s="297">
        <v>103964.30105231929</v>
      </c>
      <c r="M285" s="297">
        <v>103964.30105231929</v>
      </c>
      <c r="N285" s="293"/>
      <c r="O285" s="297">
        <v>56</v>
      </c>
      <c r="P285" s="297">
        <v>56</v>
      </c>
      <c r="Q285" s="297">
        <v>56</v>
      </c>
      <c r="R285" s="297">
        <v>56</v>
      </c>
      <c r="S285" s="297">
        <v>56</v>
      </c>
      <c r="T285" s="297">
        <v>56</v>
      </c>
      <c r="U285" s="297">
        <v>56</v>
      </c>
      <c r="V285" s="297">
        <v>56</v>
      </c>
      <c r="W285" s="297">
        <v>56</v>
      </c>
      <c r="X285" s="297">
        <v>56</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250</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41709.242673843997</v>
      </c>
      <c r="E288" s="297">
        <v>41709.242673843997</v>
      </c>
      <c r="F288" s="297">
        <v>40101.940402382003</v>
      </c>
      <c r="G288" s="297">
        <v>33974.618997514997</v>
      </c>
      <c r="H288" s="297">
        <v>33974.618997514997</v>
      </c>
      <c r="I288" s="297">
        <v>33974.618997514997</v>
      </c>
      <c r="J288" s="297">
        <v>33974.618997514997</v>
      </c>
      <c r="K288" s="297">
        <v>33946.30471841</v>
      </c>
      <c r="L288" s="297">
        <v>24684.669293848001</v>
      </c>
      <c r="M288" s="297">
        <v>24684.669293848001</v>
      </c>
      <c r="N288" s="293"/>
      <c r="O288" s="297">
        <v>2.7954849159999999</v>
      </c>
      <c r="P288" s="297">
        <v>2.7954849159999999</v>
      </c>
      <c r="Q288" s="297">
        <v>2.694582821</v>
      </c>
      <c r="R288" s="297">
        <v>2.3099261320000002</v>
      </c>
      <c r="S288" s="297">
        <v>2.3099261320000002</v>
      </c>
      <c r="T288" s="297">
        <v>2.3099261320000002</v>
      </c>
      <c r="U288" s="297">
        <v>2.3099261320000002</v>
      </c>
      <c r="V288" s="297">
        <v>2.3066939089999998</v>
      </c>
      <c r="W288" s="297">
        <v>1.7252734519999999</v>
      </c>
      <c r="X288" s="297">
        <v>1.7252734519999999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250</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92968.066665078994</v>
      </c>
      <c r="E291" s="297">
        <v>92968.066665078994</v>
      </c>
      <c r="F291" s="297">
        <v>87366.516800092999</v>
      </c>
      <c r="G291" s="297">
        <v>68249.848955894005</v>
      </c>
      <c r="H291" s="297">
        <v>68249.848955894005</v>
      </c>
      <c r="I291" s="297">
        <v>68249.848955894005</v>
      </c>
      <c r="J291" s="297">
        <v>68249.848955894005</v>
      </c>
      <c r="K291" s="297">
        <v>68169.419989161004</v>
      </c>
      <c r="L291" s="297">
        <v>57326.521625756002</v>
      </c>
      <c r="M291" s="297">
        <v>57326.521625756002</v>
      </c>
      <c r="N291" s="293"/>
      <c r="O291" s="297">
        <v>6.4053402820000001</v>
      </c>
      <c r="P291" s="297">
        <v>6.4053402820000001</v>
      </c>
      <c r="Q291" s="297">
        <v>6.0536901109999999</v>
      </c>
      <c r="R291" s="297">
        <v>4.8535973370000001</v>
      </c>
      <c r="S291" s="297">
        <v>4.8535973370000001</v>
      </c>
      <c r="T291" s="297">
        <v>4.8535973370000001</v>
      </c>
      <c r="U291" s="297">
        <v>4.8535973370000001</v>
      </c>
      <c r="V291" s="297">
        <v>4.844415948</v>
      </c>
      <c r="W291" s="297">
        <v>4.1637280749999999</v>
      </c>
      <c r="X291" s="297">
        <v>4.1637280749999999</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v>1</v>
      </c>
      <c r="Z294" s="412"/>
      <c r="AA294" s="412"/>
      <c r="AB294" s="412"/>
      <c r="AC294" s="412"/>
      <c r="AD294" s="412"/>
      <c r="AE294" s="412"/>
      <c r="AF294" s="412"/>
      <c r="AG294" s="412"/>
      <c r="AH294" s="412"/>
      <c r="AI294" s="412"/>
      <c r="AJ294" s="412"/>
      <c r="AK294" s="412"/>
      <c r="AL294" s="412"/>
      <c r="AM294" s="298">
        <f>SUM(Y294:AL294)</f>
        <v>1</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v>27.879000000000001</v>
      </c>
      <c r="E297" s="297"/>
      <c r="F297" s="297"/>
      <c r="G297" s="297"/>
      <c r="H297" s="297"/>
      <c r="I297" s="297"/>
      <c r="J297" s="297"/>
      <c r="K297" s="297"/>
      <c r="L297" s="297"/>
      <c r="M297" s="297"/>
      <c r="N297" s="293"/>
      <c r="O297" s="297">
        <v>51.335000000000001</v>
      </c>
      <c r="P297" s="297" t="s">
        <v>700</v>
      </c>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v>0</v>
      </c>
      <c r="E303" s="297"/>
      <c r="F303" s="297"/>
      <c r="G303" s="297"/>
      <c r="H303" s="297"/>
      <c r="I303" s="297"/>
      <c r="J303" s="297"/>
      <c r="K303" s="297"/>
      <c r="L303" s="297"/>
      <c r="M303" s="297"/>
      <c r="N303" s="293"/>
      <c r="O303" s="297">
        <v>0</v>
      </c>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1101348.8956876239</v>
      </c>
      <c r="E307" s="297">
        <v>1098736.3542377739</v>
      </c>
      <c r="F307" s="297">
        <v>1096487.3185823639</v>
      </c>
      <c r="G307" s="297">
        <v>1052961.3292056599</v>
      </c>
      <c r="H307" s="297">
        <v>1010469.888417155</v>
      </c>
      <c r="I307" s="297">
        <v>987230.73534508795</v>
      </c>
      <c r="J307" s="297">
        <v>987230.73534508795</v>
      </c>
      <c r="K307" s="297">
        <v>985649.72074405593</v>
      </c>
      <c r="L307" s="297">
        <v>913513.24863251601</v>
      </c>
      <c r="M307" s="297">
        <v>773071.48993967101</v>
      </c>
      <c r="N307" s="297">
        <v>12</v>
      </c>
      <c r="O307" s="297">
        <v>200.11294692299998</v>
      </c>
      <c r="P307" s="297">
        <v>199.27900223499998</v>
      </c>
      <c r="Q307" s="297">
        <v>198.561091694</v>
      </c>
      <c r="R307" s="297">
        <v>184.55733582899998</v>
      </c>
      <c r="S307" s="297">
        <v>170.977653541</v>
      </c>
      <c r="T307" s="297">
        <v>164.958393809</v>
      </c>
      <c r="U307" s="297">
        <v>164.958393809</v>
      </c>
      <c r="V307" s="297">
        <v>164.958393809</v>
      </c>
      <c r="W307" s="297">
        <v>146.687823197</v>
      </c>
      <c r="X307" s="297">
        <v>116.537375082</v>
      </c>
      <c r="Y307" s="412">
        <v>0</v>
      </c>
      <c r="Z307" s="505">
        <v>1</v>
      </c>
      <c r="AA307" s="505">
        <v>0</v>
      </c>
      <c r="AB307" s="505"/>
      <c r="AC307" s="417"/>
      <c r="AD307" s="417"/>
      <c r="AE307" s="417"/>
      <c r="AF307" s="417"/>
      <c r="AG307" s="417"/>
      <c r="AH307" s="417"/>
      <c r="AI307" s="417"/>
      <c r="AJ307" s="417"/>
      <c r="AK307" s="417"/>
      <c r="AL307" s="417"/>
      <c r="AM307" s="298">
        <f>SUM(Y307:AL307)</f>
        <v>1</v>
      </c>
    </row>
    <row r="308" spans="1:39" ht="15"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1</v>
      </c>
      <c r="AA308" s="413">
        <f t="shared" ref="AA308:AL308" si="88">AA307</f>
        <v>0</v>
      </c>
      <c r="AB308" s="413">
        <f t="shared" si="88"/>
        <v>0</v>
      </c>
      <c r="AC308" s="413">
        <f t="shared" si="88"/>
        <v>0</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398492.91207792098</v>
      </c>
      <c r="E310" s="297">
        <v>398492.91207792098</v>
      </c>
      <c r="F310" s="297">
        <v>393141.23033707897</v>
      </c>
      <c r="G310" s="297">
        <v>343195.67316331703</v>
      </c>
      <c r="H310" s="297">
        <v>116747.83115411</v>
      </c>
      <c r="I310" s="297">
        <v>116747.83115411</v>
      </c>
      <c r="J310" s="297">
        <v>116747.83115411</v>
      </c>
      <c r="K310" s="297">
        <v>116605.306736778</v>
      </c>
      <c r="L310" s="297">
        <v>116605.306736778</v>
      </c>
      <c r="M310" s="297">
        <v>116605.306736778</v>
      </c>
      <c r="N310" s="297">
        <v>12</v>
      </c>
      <c r="O310" s="297">
        <v>111.752380515</v>
      </c>
      <c r="P310" s="297">
        <v>111.752380515</v>
      </c>
      <c r="Q310" s="297">
        <v>110.308465602</v>
      </c>
      <c r="R310" s="297">
        <v>97.548739435000002</v>
      </c>
      <c r="S310" s="297">
        <v>31.875953556000002</v>
      </c>
      <c r="T310" s="297">
        <v>31.875953556000002</v>
      </c>
      <c r="U310" s="297">
        <v>31.875953556000002</v>
      </c>
      <c r="V310" s="297">
        <v>31.733327494999997</v>
      </c>
      <c r="W310" s="297">
        <v>31.733327494999997</v>
      </c>
      <c r="X310" s="297">
        <v>31.733327494999997</v>
      </c>
      <c r="Y310" s="412">
        <v>0</v>
      </c>
      <c r="Z310" s="505">
        <v>1</v>
      </c>
      <c r="AA310" s="417">
        <v>0</v>
      </c>
      <c r="AB310" s="417"/>
      <c r="AC310" s="417"/>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v>0</v>
      </c>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91">AA316</f>
        <v>0</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v>48450.767796975</v>
      </c>
      <c r="E319" s="297">
        <v>48450.767796975</v>
      </c>
      <c r="F319" s="297">
        <v>48450.767796975</v>
      </c>
      <c r="G319" s="297">
        <v>48450.767796975</v>
      </c>
      <c r="H319" s="297">
        <v>0</v>
      </c>
      <c r="I319" s="297">
        <v>0</v>
      </c>
      <c r="J319" s="297">
        <v>0</v>
      </c>
      <c r="K319" s="297">
        <v>0</v>
      </c>
      <c r="L319" s="297">
        <v>0</v>
      </c>
      <c r="M319" s="297">
        <v>0</v>
      </c>
      <c r="N319" s="297">
        <v>12</v>
      </c>
      <c r="O319" s="297">
        <v>8.8126766229999998</v>
      </c>
      <c r="P319" s="297">
        <v>8.8126766229999998</v>
      </c>
      <c r="Q319" s="297">
        <v>8.8126766229999998</v>
      </c>
      <c r="R319" s="297">
        <v>8.8126766229999998</v>
      </c>
      <c r="S319" s="297">
        <v>0</v>
      </c>
      <c r="T319" s="297">
        <v>0</v>
      </c>
      <c r="U319" s="297">
        <v>0</v>
      </c>
      <c r="V319" s="297">
        <v>0</v>
      </c>
      <c r="W319" s="297">
        <v>0</v>
      </c>
      <c r="X319" s="297">
        <v>0</v>
      </c>
      <c r="Y319" s="417"/>
      <c r="Z319" s="417">
        <v>0.5</v>
      </c>
      <c r="AA319" s="505">
        <v>0.5</v>
      </c>
      <c r="AB319" s="417"/>
      <c r="AC319" s="417"/>
      <c r="AD319" s="417"/>
      <c r="AE319" s="417"/>
      <c r="AF319" s="417"/>
      <c r="AG319" s="417"/>
      <c r="AH319" s="417"/>
      <c r="AI319" s="417"/>
      <c r="AJ319" s="417"/>
      <c r="AK319" s="417"/>
      <c r="AL319" s="417"/>
      <c r="AM319" s="298">
        <f>SUM(Y319:AL319)</f>
        <v>1</v>
      </c>
    </row>
    <row r="320" spans="1:39" ht="15"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0.5</v>
      </c>
      <c r="AA320" s="413">
        <f t="shared" ref="AA320:AL320" si="92">AA319</f>
        <v>0.5</v>
      </c>
      <c r="AB320" s="413">
        <f t="shared" si="92"/>
        <v>0</v>
      </c>
      <c r="AC320" s="413">
        <f t="shared" si="92"/>
        <v>0</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488</v>
      </c>
      <c r="C322" s="293" t="s">
        <v>25</v>
      </c>
      <c r="D322" s="297"/>
      <c r="E322" s="297"/>
      <c r="F322" s="297"/>
      <c r="G322" s="297"/>
      <c r="H322" s="297"/>
      <c r="I322" s="297"/>
      <c r="J322" s="297"/>
      <c r="K322" s="297"/>
      <c r="L322" s="297"/>
      <c r="M322" s="297"/>
      <c r="N322" s="293"/>
      <c r="O322" s="297">
        <v>4.4000000000000004</v>
      </c>
      <c r="P322" s="297" t="s">
        <v>700</v>
      </c>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489</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6">AA332</f>
        <v>0</v>
      </c>
      <c r="AB333" s="413">
        <f t="shared" si="96"/>
        <v>0</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8">AA338</f>
        <v>0</v>
      </c>
      <c r="AB339" s="413">
        <f t="shared" si="98"/>
        <v>0</v>
      </c>
      <c r="AC339" s="413">
        <f t="shared" si="98"/>
        <v>0</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9">AA341</f>
        <v>0</v>
      </c>
      <c r="AB342" s="413">
        <f t="shared" si="99"/>
        <v>0</v>
      </c>
      <c r="AC342" s="413">
        <f t="shared" si="99"/>
        <v>0</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v>0</v>
      </c>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123732.945484161</v>
      </c>
      <c r="E348" s="297">
        <v>123536.822818756</v>
      </c>
      <c r="F348" s="297">
        <v>123485.983757019</v>
      </c>
      <c r="G348" s="297">
        <v>118334.42940521199</v>
      </c>
      <c r="H348" s="297">
        <v>115820.342414856</v>
      </c>
      <c r="I348" s="297">
        <v>113320.009048462</v>
      </c>
      <c r="J348" s="297">
        <v>113320.009048462</v>
      </c>
      <c r="K348" s="297">
        <v>113320.009048462</v>
      </c>
      <c r="L348" s="297">
        <v>95002.250720978001</v>
      </c>
      <c r="M348" s="297">
        <v>95002.250720978001</v>
      </c>
      <c r="N348" s="293"/>
      <c r="O348" s="297">
        <v>14.115631759999999</v>
      </c>
      <c r="P348" s="297">
        <v>14.105443917000001</v>
      </c>
      <c r="Q348" s="297">
        <v>14.102803014999999</v>
      </c>
      <c r="R348" s="297">
        <v>13.835198901</v>
      </c>
      <c r="S348" s="297">
        <v>13.704601382</v>
      </c>
      <c r="T348" s="297">
        <v>13.574718338</v>
      </c>
      <c r="U348" s="297">
        <v>13.574718338</v>
      </c>
      <c r="V348" s="297">
        <v>13.574718338</v>
      </c>
      <c r="W348" s="297">
        <v>12.62317882</v>
      </c>
      <c r="X348" s="297">
        <v>12.62317882</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v>0</v>
      </c>
      <c r="E359" s="297"/>
      <c r="F359" s="297"/>
      <c r="G359" s="297"/>
      <c r="H359" s="297"/>
      <c r="I359" s="297"/>
      <c r="J359" s="297"/>
      <c r="K359" s="297"/>
      <c r="L359" s="297"/>
      <c r="M359" s="297"/>
      <c r="N359" s="297">
        <v>12</v>
      </c>
      <c r="O359" s="297">
        <v>0</v>
      </c>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v>0</v>
      </c>
      <c r="E362" s="297"/>
      <c r="F362" s="297"/>
      <c r="G362" s="297"/>
      <c r="H362" s="297"/>
      <c r="I362" s="297"/>
      <c r="J362" s="297"/>
      <c r="K362" s="297"/>
      <c r="L362" s="297"/>
      <c r="M362" s="297"/>
      <c r="N362" s="297">
        <v>12</v>
      </c>
      <c r="O362" s="297">
        <v>0</v>
      </c>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494</v>
      </c>
      <c r="C378" s="293" t="s">
        <v>25</v>
      </c>
      <c r="D378" s="297"/>
      <c r="E378" s="297"/>
      <c r="F378" s="297"/>
      <c r="G378" s="297"/>
      <c r="H378" s="297"/>
      <c r="I378" s="297"/>
      <c r="J378" s="297"/>
      <c r="K378" s="297"/>
      <c r="L378" s="297"/>
      <c r="M378" s="297"/>
      <c r="N378" s="297">
        <v>0</v>
      </c>
      <c r="O378" s="297">
        <v>0</v>
      </c>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251</v>
      </c>
      <c r="C384" s="331"/>
      <c r="D384" s="331">
        <f>SUM(D279:D382)</f>
        <v>2019883.8457943341</v>
      </c>
      <c r="E384" s="331">
        <f t="shared" ref="E384:M384" si="112">SUM(E279:E382)</f>
        <v>2017047.3026790794</v>
      </c>
      <c r="F384" s="331">
        <f t="shared" si="112"/>
        <v>2002186.8940846422</v>
      </c>
      <c r="G384" s="331">
        <f t="shared" si="112"/>
        <v>1877601.9923049705</v>
      </c>
      <c r="H384" s="331">
        <f t="shared" si="112"/>
        <v>1499223.0697051352</v>
      </c>
      <c r="I384" s="331">
        <f t="shared" si="112"/>
        <v>1423487.3445533882</v>
      </c>
      <c r="J384" s="331">
        <f t="shared" si="112"/>
        <v>1423487.3445533882</v>
      </c>
      <c r="K384" s="331">
        <f t="shared" si="112"/>
        <v>1421655.0622891863</v>
      </c>
      <c r="L384" s="331">
        <f t="shared" si="112"/>
        <v>1311096.2980621953</v>
      </c>
      <c r="M384" s="331">
        <f t="shared" si="112"/>
        <v>1170654.5393693503</v>
      </c>
      <c r="N384" s="331"/>
      <c r="O384" s="331">
        <f>SUM(O279:O382)</f>
        <v>476.75755619900002</v>
      </c>
      <c r="P384" s="331"/>
      <c r="Q384" s="331"/>
      <c r="R384" s="331"/>
      <c r="S384" s="331"/>
      <c r="T384" s="331"/>
      <c r="U384" s="331"/>
      <c r="V384" s="331"/>
      <c r="W384" s="331"/>
      <c r="X384" s="331"/>
      <c r="Y384" s="331">
        <f>IF(Y278="kWh",SUMPRODUCT(D279:D382,Y279:Y382))</f>
        <v>471591.27023181424</v>
      </c>
      <c r="Z384" s="331">
        <f>IF(Z278="kWh",SUMPRODUCT(D279:D382,Z279:Z382))</f>
        <v>1524067.1916640324</v>
      </c>
      <c r="AA384" s="331">
        <f>IF(AA278="kW",SUMPRODUCT(N279:N382,O279:O382,AA279:AA382),SUMPRODUCT(D279:D382,AA279:AA382))</f>
        <v>52.876059737999995</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2967510.0864586178</v>
      </c>
      <c r="Z385" s="330">
        <f>HLOOKUP(Z277,'2. LRAMVA Threshold'!$B$42:$Q$53,5,FALSE)</f>
        <v>943189.86180872004</v>
      </c>
      <c r="AA385" s="330">
        <f>HLOOKUP(AA277,'2. LRAMVA Threshold'!$B$42:$Q$53,5,FALSE)</f>
        <v>1253.27</v>
      </c>
      <c r="AB385" s="330">
        <f>HLOOKUP(AB277,'2. LRAMVA Threshold'!$B$42:$Q$53,5,FALSE)</f>
        <v>3964.4865764612568</v>
      </c>
      <c r="AC385" s="330">
        <f>HLOOKUP(AC277,'2. LRAMVA Threshold'!$B$42:$Q$53,5,FALSE)</f>
        <v>0.04</v>
      </c>
      <c r="AD385" s="330">
        <f>HLOOKUP(AD277,'2. LRAMVA Threshold'!$B$42:$Q$53,5,FALSE)</f>
        <v>39.69</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3">Y136*Y387</f>
        <v>0</v>
      </c>
      <c r="Z388" s="380">
        <f t="shared" si="113"/>
        <v>0</v>
      </c>
      <c r="AA388" s="380">
        <f t="shared" si="113"/>
        <v>0</v>
      </c>
      <c r="AB388" s="380">
        <f t="shared" si="113"/>
        <v>0</v>
      </c>
      <c r="AC388" s="380">
        <f t="shared" si="113"/>
        <v>0</v>
      </c>
      <c r="AD388" s="380">
        <f t="shared" si="113"/>
        <v>0</v>
      </c>
      <c r="AE388" s="380">
        <f t="shared" si="113"/>
        <v>0</v>
      </c>
      <c r="AF388" s="380">
        <f t="shared" si="113"/>
        <v>0</v>
      </c>
      <c r="AG388" s="380">
        <f t="shared" si="113"/>
        <v>0</v>
      </c>
      <c r="AH388" s="380">
        <f t="shared" si="113"/>
        <v>0</v>
      </c>
      <c r="AI388" s="380">
        <f t="shared" si="113"/>
        <v>0</v>
      </c>
      <c r="AJ388" s="380">
        <f t="shared" si="113"/>
        <v>0</v>
      </c>
      <c r="AK388" s="380">
        <f t="shared" si="113"/>
        <v>0</v>
      </c>
      <c r="AL388" s="380">
        <f t="shared" si="113"/>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4">Y265*Y387</f>
        <v>0</v>
      </c>
      <c r="Z389" s="380">
        <f t="shared" si="114"/>
        <v>0</v>
      </c>
      <c r="AA389" s="380">
        <f t="shared" si="114"/>
        <v>0</v>
      </c>
      <c r="AB389" s="380">
        <f t="shared" si="114"/>
        <v>0</v>
      </c>
      <c r="AC389" s="380">
        <f t="shared" si="114"/>
        <v>0</v>
      </c>
      <c r="AD389" s="380">
        <f t="shared" si="114"/>
        <v>0</v>
      </c>
      <c r="AE389" s="380">
        <f t="shared" si="114"/>
        <v>0</v>
      </c>
      <c r="AF389" s="380">
        <f t="shared" si="114"/>
        <v>0</v>
      </c>
      <c r="AG389" s="380">
        <f t="shared" si="114"/>
        <v>0</v>
      </c>
      <c r="AH389" s="380">
        <f t="shared" si="114"/>
        <v>0</v>
      </c>
      <c r="AI389" s="380">
        <f t="shared" si="114"/>
        <v>0</v>
      </c>
      <c r="AJ389" s="380">
        <f t="shared" si="114"/>
        <v>0</v>
      </c>
      <c r="AK389" s="380">
        <f t="shared" si="114"/>
        <v>0</v>
      </c>
      <c r="AL389" s="380">
        <f t="shared" si="114"/>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5">Z384*Z387</f>
        <v>0</v>
      </c>
      <c r="AA390" s="380">
        <f t="shared" si="115"/>
        <v>0</v>
      </c>
      <c r="AB390" s="380">
        <f t="shared" si="115"/>
        <v>0</v>
      </c>
      <c r="AC390" s="380">
        <f t="shared" si="115"/>
        <v>0</v>
      </c>
      <c r="AD390" s="380">
        <f t="shared" si="115"/>
        <v>0</v>
      </c>
      <c r="AE390" s="380">
        <f t="shared" si="115"/>
        <v>0</v>
      </c>
      <c r="AF390" s="380">
        <f t="shared" ref="AF390:AL390" si="116">AF384*AF387</f>
        <v>0</v>
      </c>
      <c r="AG390" s="380">
        <f t="shared" si="116"/>
        <v>0</v>
      </c>
      <c r="AH390" s="380">
        <f t="shared" si="116"/>
        <v>0</v>
      </c>
      <c r="AI390" s="380">
        <f t="shared" si="116"/>
        <v>0</v>
      </c>
      <c r="AJ390" s="380">
        <f t="shared" si="116"/>
        <v>0</v>
      </c>
      <c r="AK390" s="380">
        <f t="shared" si="116"/>
        <v>0</v>
      </c>
      <c r="AL390" s="380">
        <f t="shared" si="116"/>
        <v>0</v>
      </c>
      <c r="AM390" s="631">
        <f>SUM(Y390:AL390)</f>
        <v>0</v>
      </c>
    </row>
    <row r="391" spans="1:41" s="382" customFormat="1" ht="15.75">
      <c r="A391" s="513"/>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7">SUM(AA388:AA390)</f>
        <v>0</v>
      </c>
      <c r="AB391" s="348">
        <f t="shared" si="117"/>
        <v>0</v>
      </c>
      <c r="AC391" s="348">
        <f t="shared" si="117"/>
        <v>0</v>
      </c>
      <c r="AD391" s="348">
        <f t="shared" si="117"/>
        <v>0</v>
      </c>
      <c r="AE391" s="348">
        <f t="shared" si="117"/>
        <v>0</v>
      </c>
      <c r="AF391" s="348">
        <f t="shared" ref="AF391:AL391" si="118">SUM(AF388:AF390)</f>
        <v>0</v>
      </c>
      <c r="AG391" s="348">
        <f t="shared" si="118"/>
        <v>0</v>
      </c>
      <c r="AH391" s="348">
        <f t="shared" si="118"/>
        <v>0</v>
      </c>
      <c r="AI391" s="348">
        <f t="shared" si="118"/>
        <v>0</v>
      </c>
      <c r="AJ391" s="348">
        <f t="shared" si="118"/>
        <v>0</v>
      </c>
      <c r="AK391" s="348">
        <f t="shared" si="118"/>
        <v>0</v>
      </c>
      <c r="AL391" s="348">
        <f t="shared" si="118"/>
        <v>0</v>
      </c>
      <c r="AM391" s="409">
        <f>SUM(AM388:AM390)</f>
        <v>0</v>
      </c>
    </row>
    <row r="392" spans="1:41" s="382" customFormat="1" ht="15.75">
      <c r="A392" s="513"/>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9">Y385*Y387</f>
        <v>0</v>
      </c>
      <c r="Z392" s="349">
        <f t="shared" si="119"/>
        <v>0</v>
      </c>
      <c r="AA392" s="349">
        <f t="shared" si="119"/>
        <v>0</v>
      </c>
      <c r="AB392" s="349">
        <f t="shared" si="119"/>
        <v>0</v>
      </c>
      <c r="AC392" s="349">
        <f t="shared" si="119"/>
        <v>0</v>
      </c>
      <c r="AD392" s="349">
        <f t="shared" si="119"/>
        <v>0</v>
      </c>
      <c r="AE392" s="349">
        <f t="shared" si="119"/>
        <v>0</v>
      </c>
      <c r="AF392" s="349">
        <f t="shared" ref="AF392:AL392" si="120">AF385*AF387</f>
        <v>0</v>
      </c>
      <c r="AG392" s="349">
        <f t="shared" si="120"/>
        <v>0</v>
      </c>
      <c r="AH392" s="349">
        <f t="shared" si="120"/>
        <v>0</v>
      </c>
      <c r="AI392" s="349">
        <f t="shared" si="120"/>
        <v>0</v>
      </c>
      <c r="AJ392" s="349">
        <f t="shared" si="120"/>
        <v>0</v>
      </c>
      <c r="AK392" s="349">
        <f t="shared" si="120"/>
        <v>0</v>
      </c>
      <c r="AL392" s="349">
        <f t="shared" si="120"/>
        <v>0</v>
      </c>
      <c r="AM392" s="409">
        <f>SUM(Y392:AL392)</f>
        <v>0</v>
      </c>
    </row>
    <row r="393" spans="1:41" ht="15.75" customHeight="1">
      <c r="A393" s="513"/>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471367.26856640924</v>
      </c>
      <c r="Z395" s="293">
        <f>SUMPRODUCT(E279:E382,Z279:Z382)</f>
        <v>1521454.6502141824</v>
      </c>
      <c r="AA395" s="293">
        <f>IF(AA278="kW",SUMPRODUCT(N279:N382,P279:P382,AA279:AA382),SUMPRODUCT(E279:E382,AA279:AA382))</f>
        <v>52.876059737999995</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464107.57736822427</v>
      </c>
      <c r="Z396" s="293">
        <f>SUMPRODUCT(F279:F382,Z279:Z382)</f>
        <v>1513853.9328179304</v>
      </c>
      <c r="AA396" s="293">
        <f>IF(AA278="kW",SUMPRODUCT(N279:N382,Q279:Q382,AA279:AA382),SUMPRODUCT(F279:F382,AA279:AA382))</f>
        <v>52.876059737999995</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432994.2221390183</v>
      </c>
      <c r="Z397" s="293">
        <f>SUMPRODUCT(G279:G382,Z279:Z382)</f>
        <v>1420382.3862674644</v>
      </c>
      <c r="AA397" s="293">
        <f>IF(AA278="kW",SUMPRODUCT(N279:N382,R279:R382,AA279:AA382),SUMPRODUCT(G279:G382,AA279:AA382))</f>
        <v>52.876059737999995</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372005.35013387032</v>
      </c>
      <c r="Z398" s="293">
        <f>SUMPRODUCT(H279:H382,Z279:Z382)</f>
        <v>1127217.7195712649</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319508.77805419033</v>
      </c>
      <c r="Z399" s="293">
        <f>SUMPRODUCT(I279:I382,Z279:Z382)</f>
        <v>1103978.5664991979</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319508.77805419033</v>
      </c>
      <c r="Z400" s="293">
        <f>SUMPRODUCT(J279:J382,Z279:Z382)</f>
        <v>1103978.5664991979</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319400.03480835236</v>
      </c>
      <c r="Z401" s="328">
        <f>SUMPRODUCT(K279:K382,Z279:Z382)</f>
        <v>1102255.0274808339</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598</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2" t="s">
        <v>523</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9" t="s">
        <v>212</v>
      </c>
      <c r="C405" s="811" t="s">
        <v>33</v>
      </c>
      <c r="D405" s="286" t="s">
        <v>424</v>
      </c>
      <c r="E405" s="813" t="s">
        <v>210</v>
      </c>
      <c r="F405" s="814"/>
      <c r="G405" s="814"/>
      <c r="H405" s="814"/>
      <c r="I405" s="814"/>
      <c r="J405" s="814"/>
      <c r="K405" s="814"/>
      <c r="L405" s="814"/>
      <c r="M405" s="815"/>
      <c r="N405" s="816" t="s">
        <v>214</v>
      </c>
      <c r="O405" s="286" t="s">
        <v>425</v>
      </c>
      <c r="P405" s="813" t="s">
        <v>213</v>
      </c>
      <c r="Q405" s="814"/>
      <c r="R405" s="814"/>
      <c r="S405" s="814"/>
      <c r="T405" s="814"/>
      <c r="U405" s="814"/>
      <c r="V405" s="814"/>
      <c r="W405" s="814"/>
      <c r="X405" s="815"/>
      <c r="Y405" s="806" t="s">
        <v>244</v>
      </c>
      <c r="Z405" s="807"/>
      <c r="AA405" s="807"/>
      <c r="AB405" s="807"/>
      <c r="AC405" s="807"/>
      <c r="AD405" s="807"/>
      <c r="AE405" s="807"/>
      <c r="AF405" s="807"/>
      <c r="AG405" s="807"/>
      <c r="AH405" s="807"/>
      <c r="AI405" s="807"/>
      <c r="AJ405" s="807"/>
      <c r="AK405" s="807"/>
      <c r="AL405" s="807"/>
      <c r="AM405" s="808"/>
    </row>
    <row r="406" spans="1:40" ht="45.75" customHeight="1">
      <c r="B406" s="810"/>
      <c r="C406" s="812"/>
      <c r="D406" s="287">
        <v>2014</v>
      </c>
      <c r="E406" s="287">
        <v>2015</v>
      </c>
      <c r="F406" s="287">
        <v>2016</v>
      </c>
      <c r="G406" s="287">
        <v>2017</v>
      </c>
      <c r="H406" s="287">
        <v>2018</v>
      </c>
      <c r="I406" s="287">
        <v>2019</v>
      </c>
      <c r="J406" s="287">
        <v>2020</v>
      </c>
      <c r="K406" s="287">
        <v>2021</v>
      </c>
      <c r="L406" s="287">
        <v>2022</v>
      </c>
      <c r="M406" s="287">
        <v>2023</v>
      </c>
      <c r="N406" s="817"/>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GS&gt;50-4999 kW</v>
      </c>
      <c r="AB406" s="287" t="str">
        <f>'1.  LRAMVA Summary'!G50</f>
        <v>USL</v>
      </c>
      <c r="AC406" s="287" t="str">
        <f>'1.  LRAMVA Summary'!H50</f>
        <v>Sentinel Lighting</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kWh</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132297.86534159811</v>
      </c>
      <c r="E408" s="297">
        <v>132297.86534159811</v>
      </c>
      <c r="F408" s="297">
        <v>132297.86534159811</v>
      </c>
      <c r="G408" s="297">
        <v>132297.86534159811</v>
      </c>
      <c r="H408" s="297">
        <v>79213.913385797699</v>
      </c>
      <c r="I408" s="297">
        <v>0</v>
      </c>
      <c r="J408" s="297">
        <v>0</v>
      </c>
      <c r="K408" s="297">
        <v>0</v>
      </c>
      <c r="L408" s="297">
        <v>0</v>
      </c>
      <c r="M408" s="297">
        <v>0</v>
      </c>
      <c r="N408" s="293"/>
      <c r="O408" s="297">
        <v>20.307110799928331</v>
      </c>
      <c r="P408" s="297">
        <v>20.307110799928331</v>
      </c>
      <c r="Q408" s="297">
        <v>20.307110799928331</v>
      </c>
      <c r="R408" s="297">
        <v>20.307110799928331</v>
      </c>
      <c r="S408" s="297">
        <v>11.641605649875226</v>
      </c>
      <c r="T408" s="297">
        <v>0</v>
      </c>
      <c r="U408" s="297">
        <v>0</v>
      </c>
      <c r="V408" s="297">
        <v>0</v>
      </c>
      <c r="W408" s="297">
        <v>0</v>
      </c>
      <c r="X408" s="297">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1">AA408</f>
        <v>0</v>
      </c>
      <c r="AB409" s="413">
        <f t="shared" si="121"/>
        <v>0</v>
      </c>
      <c r="AC409" s="413">
        <f t="shared" si="121"/>
        <v>0</v>
      </c>
      <c r="AD409" s="413">
        <f t="shared" si="121"/>
        <v>0</v>
      </c>
      <c r="AE409" s="413">
        <f t="shared" si="121"/>
        <v>0</v>
      </c>
      <c r="AF409" s="413">
        <f t="shared" si="121"/>
        <v>0</v>
      </c>
      <c r="AG409" s="413">
        <f t="shared" si="121"/>
        <v>0</v>
      </c>
      <c r="AH409" s="413">
        <f t="shared" si="121"/>
        <v>0</v>
      </c>
      <c r="AI409" s="413">
        <f t="shared" si="121"/>
        <v>0</v>
      </c>
      <c r="AJ409" s="413">
        <f t="shared" si="121"/>
        <v>0</v>
      </c>
      <c r="AK409" s="413">
        <f t="shared" si="121"/>
        <v>0</v>
      </c>
      <c r="AL409" s="413">
        <f t="shared" si="121"/>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16255.35463</v>
      </c>
      <c r="E411" s="297">
        <v>16255.35463</v>
      </c>
      <c r="F411" s="297">
        <v>16255.35463</v>
      </c>
      <c r="G411" s="297">
        <v>16255.35463</v>
      </c>
      <c r="H411" s="297">
        <v>0</v>
      </c>
      <c r="I411" s="297">
        <v>0</v>
      </c>
      <c r="J411" s="297">
        <v>0</v>
      </c>
      <c r="K411" s="297">
        <v>0</v>
      </c>
      <c r="L411" s="297">
        <v>0</v>
      </c>
      <c r="M411" s="297">
        <v>0</v>
      </c>
      <c r="N411" s="293"/>
      <c r="O411" s="297">
        <v>9.1170000000000009</v>
      </c>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2">AA411</f>
        <v>0</v>
      </c>
      <c r="AB412" s="413">
        <f t="shared" si="122"/>
        <v>0</v>
      </c>
      <c r="AC412" s="413">
        <f t="shared" si="122"/>
        <v>0</v>
      </c>
      <c r="AD412" s="413">
        <f t="shared" si="122"/>
        <v>0</v>
      </c>
      <c r="AE412" s="413">
        <f t="shared" si="122"/>
        <v>0</v>
      </c>
      <c r="AF412" s="413">
        <f t="shared" si="122"/>
        <v>0</v>
      </c>
      <c r="AG412" s="413">
        <f t="shared" si="122"/>
        <v>0</v>
      </c>
      <c r="AH412" s="413">
        <f t="shared" si="122"/>
        <v>0</v>
      </c>
      <c r="AI412" s="413">
        <f t="shared" si="122"/>
        <v>0</v>
      </c>
      <c r="AJ412" s="413">
        <f t="shared" si="122"/>
        <v>0</v>
      </c>
      <c r="AK412" s="413">
        <f t="shared" si="122"/>
        <v>0</v>
      </c>
      <c r="AL412" s="413">
        <f t="shared" si="122"/>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134538.56218810001</v>
      </c>
      <c r="E414" s="297">
        <v>134538.56218810001</v>
      </c>
      <c r="F414" s="297">
        <v>134538.56218810001</v>
      </c>
      <c r="G414" s="297">
        <v>134538.56218810001</v>
      </c>
      <c r="H414" s="297">
        <v>134538.56218810001</v>
      </c>
      <c r="I414" s="297">
        <v>134538.56218810001</v>
      </c>
      <c r="J414" s="297">
        <v>134538.56218810001</v>
      </c>
      <c r="K414" s="297">
        <v>134538.56218810001</v>
      </c>
      <c r="L414" s="297">
        <v>134538.56218810001</v>
      </c>
      <c r="M414" s="297">
        <v>134538.56218810001</v>
      </c>
      <c r="N414" s="293"/>
      <c r="O414" s="297">
        <v>70.273650756999999</v>
      </c>
      <c r="P414" s="297">
        <v>70.273650756999999</v>
      </c>
      <c r="Q414" s="297">
        <v>70.273650756999999</v>
      </c>
      <c r="R414" s="297">
        <v>70.273650756999999</v>
      </c>
      <c r="S414" s="297">
        <v>70.273650756999999</v>
      </c>
      <c r="T414" s="297">
        <v>70.273650756999999</v>
      </c>
      <c r="U414" s="297">
        <v>70.273650756999999</v>
      </c>
      <c r="V414" s="297">
        <v>70.273650756999999</v>
      </c>
      <c r="W414" s="297">
        <v>70.273650756999999</v>
      </c>
      <c r="X414" s="297">
        <v>70.273650756999999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3">AA414</f>
        <v>0</v>
      </c>
      <c r="AB415" s="413">
        <f t="shared" si="123"/>
        <v>0</v>
      </c>
      <c r="AC415" s="413">
        <f t="shared" si="123"/>
        <v>0</v>
      </c>
      <c r="AD415" s="413">
        <f t="shared" si="123"/>
        <v>0</v>
      </c>
      <c r="AE415" s="413">
        <f t="shared" si="123"/>
        <v>0</v>
      </c>
      <c r="AF415" s="413">
        <f t="shared" si="123"/>
        <v>0</v>
      </c>
      <c r="AG415" s="413">
        <f t="shared" si="123"/>
        <v>0</v>
      </c>
      <c r="AH415" s="413">
        <f t="shared" si="123"/>
        <v>0</v>
      </c>
      <c r="AI415" s="413">
        <f t="shared" si="123"/>
        <v>0</v>
      </c>
      <c r="AJ415" s="413">
        <f t="shared" si="123"/>
        <v>0</v>
      </c>
      <c r="AK415" s="413">
        <f t="shared" si="123"/>
        <v>0</v>
      </c>
      <c r="AL415" s="413">
        <f t="shared" si="123"/>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153915.88310000001</v>
      </c>
      <c r="E417" s="297">
        <v>143330.3829</v>
      </c>
      <c r="F417" s="297">
        <v>138190.538</v>
      </c>
      <c r="G417" s="297">
        <v>138190.538</v>
      </c>
      <c r="H417" s="297">
        <v>138190.538</v>
      </c>
      <c r="I417" s="297">
        <v>138190.538</v>
      </c>
      <c r="J417" s="297">
        <v>138190.538</v>
      </c>
      <c r="K417" s="297">
        <v>137907.56390000001</v>
      </c>
      <c r="L417" s="297">
        <v>137907.56390000001</v>
      </c>
      <c r="M417" s="297">
        <v>118186.9875</v>
      </c>
      <c r="N417" s="293"/>
      <c r="O417" s="297">
        <v>11.61523933</v>
      </c>
      <c r="P417" s="297">
        <v>10.932397330000001</v>
      </c>
      <c r="Q417" s="297">
        <v>10.601257469999998</v>
      </c>
      <c r="R417" s="297">
        <v>10.601257469999998</v>
      </c>
      <c r="S417" s="297">
        <v>10.601257469999998</v>
      </c>
      <c r="T417" s="297">
        <v>10.601257469999998</v>
      </c>
      <c r="U417" s="297">
        <v>10.601257469999998</v>
      </c>
      <c r="V417" s="297">
        <v>10.569895129999999</v>
      </c>
      <c r="W417" s="297">
        <v>10.569895129999999</v>
      </c>
      <c r="X417" s="297">
        <v>9.3301417180000001</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4">AA417</f>
        <v>0</v>
      </c>
      <c r="AB418" s="413">
        <f t="shared" si="124"/>
        <v>0</v>
      </c>
      <c r="AC418" s="413">
        <f t="shared" si="124"/>
        <v>0</v>
      </c>
      <c r="AD418" s="413">
        <f t="shared" si="124"/>
        <v>0</v>
      </c>
      <c r="AE418" s="413">
        <f t="shared" si="124"/>
        <v>0</v>
      </c>
      <c r="AF418" s="413">
        <f t="shared" si="124"/>
        <v>0</v>
      </c>
      <c r="AG418" s="413">
        <f t="shared" si="124"/>
        <v>0</v>
      </c>
      <c r="AH418" s="413">
        <f t="shared" si="124"/>
        <v>0</v>
      </c>
      <c r="AI418" s="413">
        <f t="shared" si="124"/>
        <v>0</v>
      </c>
      <c r="AJ418" s="413">
        <f t="shared" si="124"/>
        <v>0</v>
      </c>
      <c r="AK418" s="413">
        <f t="shared" si="124"/>
        <v>0</v>
      </c>
      <c r="AL418" s="413">
        <f t="shared" si="124"/>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665083.73730000004</v>
      </c>
      <c r="E420" s="297">
        <v>576953.11659999995</v>
      </c>
      <c r="F420" s="297">
        <v>531024.31689999998</v>
      </c>
      <c r="G420" s="297">
        <v>531024.31689999998</v>
      </c>
      <c r="H420" s="297">
        <v>531024.31689999998</v>
      </c>
      <c r="I420" s="297">
        <v>531024.31689999998</v>
      </c>
      <c r="J420" s="297">
        <v>531024.31689999998</v>
      </c>
      <c r="K420" s="297">
        <v>530794.28520000004</v>
      </c>
      <c r="L420" s="297">
        <v>530794.28520000004</v>
      </c>
      <c r="M420" s="297">
        <v>493668.17440000002</v>
      </c>
      <c r="N420" s="293"/>
      <c r="O420" s="297">
        <v>43.527000000000001</v>
      </c>
      <c r="P420" s="297"/>
      <c r="Q420" s="297"/>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5">AA420</f>
        <v>0</v>
      </c>
      <c r="AB421" s="413">
        <f t="shared" si="125"/>
        <v>0</v>
      </c>
      <c r="AC421" s="413">
        <f t="shared" si="125"/>
        <v>0</v>
      </c>
      <c r="AD421" s="413">
        <f t="shared" si="125"/>
        <v>0</v>
      </c>
      <c r="AE421" s="413">
        <f t="shared" si="125"/>
        <v>0</v>
      </c>
      <c r="AF421" s="413">
        <f t="shared" si="125"/>
        <v>0</v>
      </c>
      <c r="AG421" s="413">
        <f t="shared" si="125"/>
        <v>0</v>
      </c>
      <c r="AH421" s="413">
        <f t="shared" si="125"/>
        <v>0</v>
      </c>
      <c r="AI421" s="413">
        <f t="shared" si="125"/>
        <v>0</v>
      </c>
      <c r="AJ421" s="413">
        <f t="shared" si="125"/>
        <v>0</v>
      </c>
      <c r="AK421" s="413">
        <f t="shared" si="125"/>
        <v>0</v>
      </c>
      <c r="AL421" s="413">
        <f t="shared" si="125"/>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6">AA423</f>
        <v>0</v>
      </c>
      <c r="AB424" s="413">
        <f t="shared" si="126"/>
        <v>0</v>
      </c>
      <c r="AC424" s="413">
        <f t="shared" si="126"/>
        <v>0</v>
      </c>
      <c r="AD424" s="413">
        <f t="shared" si="126"/>
        <v>0</v>
      </c>
      <c r="AE424" s="413">
        <f t="shared" si="126"/>
        <v>0</v>
      </c>
      <c r="AF424" s="413">
        <f t="shared" si="126"/>
        <v>0</v>
      </c>
      <c r="AG424" s="413">
        <f t="shared" si="126"/>
        <v>0</v>
      </c>
      <c r="AH424" s="413">
        <f t="shared" si="126"/>
        <v>0</v>
      </c>
      <c r="AI424" s="413">
        <f t="shared" si="126"/>
        <v>0</v>
      </c>
      <c r="AJ424" s="413">
        <f t="shared" si="126"/>
        <v>0</v>
      </c>
      <c r="AK424" s="413">
        <f t="shared" si="126"/>
        <v>0</v>
      </c>
      <c r="AL424" s="413">
        <f t="shared" si="126"/>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v>0</v>
      </c>
      <c r="E426" s="297"/>
      <c r="F426" s="297"/>
      <c r="G426" s="297"/>
      <c r="H426" s="297"/>
      <c r="I426" s="297"/>
      <c r="J426" s="297"/>
      <c r="K426" s="297"/>
      <c r="L426" s="297"/>
      <c r="M426" s="297"/>
      <c r="N426" s="293"/>
      <c r="O426" s="297">
        <v>165.06399999999999</v>
      </c>
      <c r="P426" s="297"/>
      <c r="Q426" s="297"/>
      <c r="R426" s="297"/>
      <c r="S426" s="297"/>
      <c r="T426" s="297"/>
      <c r="U426" s="297"/>
      <c r="V426" s="297"/>
      <c r="W426" s="297"/>
      <c r="X426" s="297"/>
      <c r="Y426" s="412">
        <v>1</v>
      </c>
      <c r="Z426" s="412"/>
      <c r="AA426" s="412"/>
      <c r="AB426" s="412"/>
      <c r="AC426" s="412"/>
      <c r="AD426" s="412"/>
      <c r="AE426" s="412"/>
      <c r="AF426" s="412"/>
      <c r="AG426" s="412"/>
      <c r="AH426" s="412"/>
      <c r="AI426" s="412"/>
      <c r="AJ426" s="412"/>
      <c r="AK426" s="412"/>
      <c r="AL426" s="412"/>
      <c r="AM426" s="298">
        <f>SUM(Y426:AL426)</f>
        <v>1</v>
      </c>
    </row>
    <row r="427" spans="1:39" ht="15"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7">AA426</f>
        <v>0</v>
      </c>
      <c r="AB427" s="413">
        <f t="shared" si="127"/>
        <v>0</v>
      </c>
      <c r="AC427" s="413">
        <f t="shared" si="127"/>
        <v>0</v>
      </c>
      <c r="AD427" s="413">
        <f t="shared" si="127"/>
        <v>0</v>
      </c>
      <c r="AE427" s="413">
        <f t="shared" si="127"/>
        <v>0</v>
      </c>
      <c r="AF427" s="413">
        <f t="shared" si="127"/>
        <v>0</v>
      </c>
      <c r="AG427" s="413">
        <f t="shared" si="127"/>
        <v>0</v>
      </c>
      <c r="AH427" s="413">
        <f t="shared" si="127"/>
        <v>0</v>
      </c>
      <c r="AI427" s="413">
        <f t="shared" si="127"/>
        <v>0</v>
      </c>
      <c r="AJ427" s="413">
        <f t="shared" si="127"/>
        <v>0</v>
      </c>
      <c r="AK427" s="413">
        <f t="shared" si="127"/>
        <v>0</v>
      </c>
      <c r="AL427" s="413">
        <f t="shared" si="127"/>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487</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8">AA429</f>
        <v>0</v>
      </c>
      <c r="AB430" s="413">
        <f t="shared" si="128"/>
        <v>0</v>
      </c>
      <c r="AC430" s="413">
        <f t="shared" si="128"/>
        <v>0</v>
      </c>
      <c r="AD430" s="413">
        <f t="shared" si="128"/>
        <v>0</v>
      </c>
      <c r="AE430" s="413">
        <f t="shared" si="128"/>
        <v>0</v>
      </c>
      <c r="AF430" s="413">
        <f t="shared" si="128"/>
        <v>0</v>
      </c>
      <c r="AG430" s="413">
        <f t="shared" si="128"/>
        <v>0</v>
      </c>
      <c r="AH430" s="413">
        <f t="shared" si="128"/>
        <v>0</v>
      </c>
      <c r="AI430" s="413">
        <f t="shared" si="128"/>
        <v>0</v>
      </c>
      <c r="AJ430" s="413">
        <f t="shared" si="128"/>
        <v>0</v>
      </c>
      <c r="AK430" s="413">
        <f t="shared" si="128"/>
        <v>0</v>
      </c>
      <c r="AL430" s="413">
        <f t="shared" si="128"/>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v>6250.4720669999997</v>
      </c>
      <c r="E432" s="297">
        <v>6250.4720669999997</v>
      </c>
      <c r="F432" s="297">
        <v>6250.4720669999997</v>
      </c>
      <c r="G432" s="297">
        <v>6250.4720669999997</v>
      </c>
      <c r="H432" s="297">
        <v>6250.4720669999997</v>
      </c>
      <c r="I432" s="297">
        <v>6250.4720669999997</v>
      </c>
      <c r="J432" s="297">
        <v>6250.4720669999997</v>
      </c>
      <c r="K432" s="297">
        <v>6250.4720669999997</v>
      </c>
      <c r="L432" s="297">
        <v>6250.4720669999997</v>
      </c>
      <c r="M432" s="297">
        <v>6250.4720669999997</v>
      </c>
      <c r="N432" s="293"/>
      <c r="O432" s="297">
        <v>1.2542643710000001</v>
      </c>
      <c r="P432" s="297">
        <v>1.2542643710000001</v>
      </c>
      <c r="Q432" s="297">
        <v>1.2542643710000001</v>
      </c>
      <c r="R432" s="297">
        <v>1.2542643710000001</v>
      </c>
      <c r="S432" s="297">
        <v>1.2542643710000001</v>
      </c>
      <c r="T432" s="297">
        <v>1.2542643710000001</v>
      </c>
      <c r="U432" s="297">
        <v>1.2542643710000001</v>
      </c>
      <c r="V432" s="297">
        <v>1.2542643710000001</v>
      </c>
      <c r="W432" s="297">
        <v>1.2542643710000001</v>
      </c>
      <c r="X432" s="297">
        <v>1.2542643710000001</v>
      </c>
      <c r="Y432" s="47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9">AA432</f>
        <v>0</v>
      </c>
      <c r="AB433" s="413">
        <f t="shared" si="129"/>
        <v>0</v>
      </c>
      <c r="AC433" s="413">
        <f t="shared" si="129"/>
        <v>0</v>
      </c>
      <c r="AD433" s="413">
        <f t="shared" si="129"/>
        <v>0</v>
      </c>
      <c r="AE433" s="413">
        <f t="shared" si="129"/>
        <v>0</v>
      </c>
      <c r="AF433" s="413">
        <f t="shared" si="129"/>
        <v>0</v>
      </c>
      <c r="AG433" s="413">
        <f t="shared" si="129"/>
        <v>0</v>
      </c>
      <c r="AH433" s="413">
        <f t="shared" si="129"/>
        <v>0</v>
      </c>
      <c r="AI433" s="413">
        <f t="shared" si="129"/>
        <v>0</v>
      </c>
      <c r="AJ433" s="413">
        <f t="shared" si="129"/>
        <v>0</v>
      </c>
      <c r="AK433" s="413">
        <f t="shared" si="129"/>
        <v>0</v>
      </c>
      <c r="AL433" s="413">
        <f t="shared" si="129"/>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1179335.1787400001</v>
      </c>
      <c r="E436" s="297">
        <v>1173534.9717399999</v>
      </c>
      <c r="F436" s="297">
        <v>1158345.4017999999</v>
      </c>
      <c r="G436" s="297">
        <v>1138194.5368000001</v>
      </c>
      <c r="H436" s="297">
        <v>1138194.5368000001</v>
      </c>
      <c r="I436" s="297">
        <v>1134880.4488000001</v>
      </c>
      <c r="J436" s="297">
        <v>1120982.3238000001</v>
      </c>
      <c r="K436" s="297">
        <v>1120982.3238000001</v>
      </c>
      <c r="L436" s="297">
        <v>1097322.8992000001</v>
      </c>
      <c r="M436" s="297">
        <v>1033472.357</v>
      </c>
      <c r="N436" s="297">
        <v>12</v>
      </c>
      <c r="O436" s="297">
        <v>233.93038961599999</v>
      </c>
      <c r="P436" s="297">
        <v>232.27426271599998</v>
      </c>
      <c r="Q436" s="297">
        <v>227.91381489999998</v>
      </c>
      <c r="R436" s="297">
        <v>222.2047331</v>
      </c>
      <c r="S436" s="297">
        <v>222.2047331</v>
      </c>
      <c r="T436" s="297">
        <v>221.2533627</v>
      </c>
      <c r="U436" s="297">
        <v>218.5276193</v>
      </c>
      <c r="V436" s="297">
        <v>218.5276193</v>
      </c>
      <c r="W436" s="297">
        <v>215.47889119999999</v>
      </c>
      <c r="X436" s="297">
        <v>203.93131830000002</v>
      </c>
      <c r="Y436" s="417"/>
      <c r="Z436" s="471">
        <v>1</v>
      </c>
      <c r="AA436" s="471"/>
      <c r="AB436" s="471"/>
      <c r="AC436" s="417"/>
      <c r="AD436" s="417"/>
      <c r="AE436" s="417"/>
      <c r="AF436" s="417"/>
      <c r="AG436" s="417"/>
      <c r="AH436" s="417"/>
      <c r="AI436" s="417"/>
      <c r="AJ436" s="417"/>
      <c r="AK436" s="417"/>
      <c r="AL436" s="417"/>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1</v>
      </c>
      <c r="AA437" s="413">
        <f t="shared" ref="AA437:AL437" si="130">AA436</f>
        <v>0</v>
      </c>
      <c r="AB437" s="413">
        <f t="shared" si="130"/>
        <v>0</v>
      </c>
      <c r="AC437" s="413">
        <f t="shared" si="130"/>
        <v>0</v>
      </c>
      <c r="AD437" s="413">
        <f t="shared" si="130"/>
        <v>0</v>
      </c>
      <c r="AE437" s="413">
        <f t="shared" si="130"/>
        <v>0</v>
      </c>
      <c r="AF437" s="413">
        <f t="shared" si="130"/>
        <v>0</v>
      </c>
      <c r="AG437" s="413">
        <f t="shared" si="130"/>
        <v>0</v>
      </c>
      <c r="AH437" s="413">
        <f t="shared" si="130"/>
        <v>0</v>
      </c>
      <c r="AI437" s="413">
        <f t="shared" si="130"/>
        <v>0</v>
      </c>
      <c r="AJ437" s="413">
        <f t="shared" si="130"/>
        <v>0</v>
      </c>
      <c r="AK437" s="413">
        <f t="shared" si="130"/>
        <v>0</v>
      </c>
      <c r="AL437" s="413">
        <f t="shared" si="130"/>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505894.8861</v>
      </c>
      <c r="E439" s="297">
        <v>488718.99550000002</v>
      </c>
      <c r="F439" s="297">
        <v>452858.1372</v>
      </c>
      <c r="G439" s="297">
        <v>232134.71030000001</v>
      </c>
      <c r="H439" s="297">
        <v>232134.71030000001</v>
      </c>
      <c r="I439" s="297">
        <v>232134.71030000001</v>
      </c>
      <c r="J439" s="297">
        <v>232134.71030000001</v>
      </c>
      <c r="K439" s="297">
        <v>232134.71030000001</v>
      </c>
      <c r="L439" s="297">
        <v>232134.71030000001</v>
      </c>
      <c r="M439" s="297">
        <v>232134.71030000001</v>
      </c>
      <c r="N439" s="297">
        <v>12</v>
      </c>
      <c r="O439" s="297">
        <v>140.7856635</v>
      </c>
      <c r="P439" s="297">
        <v>136.15549290000001</v>
      </c>
      <c r="Q439" s="297">
        <v>127.26691370000002</v>
      </c>
      <c r="R439" s="297">
        <v>62.786627879999998</v>
      </c>
      <c r="S439" s="297">
        <v>62.786627879999998</v>
      </c>
      <c r="T439" s="297">
        <v>62.786627879999998</v>
      </c>
      <c r="U439" s="297">
        <v>62.786627879999998</v>
      </c>
      <c r="V439" s="297">
        <v>62.786627879999998</v>
      </c>
      <c r="W439" s="297">
        <v>62.786627879999998</v>
      </c>
      <c r="X439" s="297">
        <v>62.786627879999998</v>
      </c>
      <c r="Y439" s="417"/>
      <c r="Z439" s="471">
        <v>1</v>
      </c>
      <c r="AA439" s="471"/>
      <c r="AB439" s="417"/>
      <c r="AC439" s="417"/>
      <c r="AD439" s="417"/>
      <c r="AE439" s="417"/>
      <c r="AF439" s="417"/>
      <c r="AG439" s="417"/>
      <c r="AH439" s="417"/>
      <c r="AI439" s="417"/>
      <c r="AJ439" s="417"/>
      <c r="AK439" s="417"/>
      <c r="AL439" s="417"/>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1">AA439</f>
        <v>0</v>
      </c>
      <c r="AB440" s="413">
        <f t="shared" si="131"/>
        <v>0</v>
      </c>
      <c r="AC440" s="413">
        <f t="shared" si="131"/>
        <v>0</v>
      </c>
      <c r="AD440" s="413">
        <f t="shared" si="131"/>
        <v>0</v>
      </c>
      <c r="AE440" s="413">
        <f t="shared" si="131"/>
        <v>0</v>
      </c>
      <c r="AF440" s="413">
        <f t="shared" si="131"/>
        <v>0</v>
      </c>
      <c r="AG440" s="413">
        <f t="shared" si="131"/>
        <v>0</v>
      </c>
      <c r="AH440" s="413">
        <f t="shared" si="131"/>
        <v>0</v>
      </c>
      <c r="AI440" s="413">
        <f t="shared" si="131"/>
        <v>0</v>
      </c>
      <c r="AJ440" s="413">
        <f t="shared" si="131"/>
        <v>0</v>
      </c>
      <c r="AK440" s="413">
        <f t="shared" si="131"/>
        <v>0</v>
      </c>
      <c r="AL440" s="413">
        <f t="shared" si="131"/>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2">AB442</f>
        <v>0</v>
      </c>
      <c r="AC443" s="413">
        <f t="shared" si="132"/>
        <v>0</v>
      </c>
      <c r="AD443" s="413">
        <f t="shared" si="132"/>
        <v>0</v>
      </c>
      <c r="AE443" s="413">
        <f t="shared" si="132"/>
        <v>0</v>
      </c>
      <c r="AF443" s="413">
        <f t="shared" si="132"/>
        <v>0</v>
      </c>
      <c r="AG443" s="413">
        <f t="shared" si="132"/>
        <v>0</v>
      </c>
      <c r="AH443" s="413">
        <f t="shared" si="132"/>
        <v>0</v>
      </c>
      <c r="AI443" s="413">
        <f t="shared" si="132"/>
        <v>0</v>
      </c>
      <c r="AJ443" s="413">
        <f t="shared" si="132"/>
        <v>0</v>
      </c>
      <c r="AK443" s="413">
        <f t="shared" si="132"/>
        <v>0</v>
      </c>
      <c r="AL443" s="413">
        <f t="shared" si="132"/>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v>25246.447</v>
      </c>
      <c r="E445" s="297"/>
      <c r="F445" s="297"/>
      <c r="G445" s="297"/>
      <c r="H445" s="297"/>
      <c r="I445" s="297"/>
      <c r="J445" s="297"/>
      <c r="K445" s="297"/>
      <c r="L445" s="297"/>
      <c r="M445" s="297"/>
      <c r="N445" s="297">
        <v>12</v>
      </c>
      <c r="O445" s="297">
        <v>6.6890000000000001</v>
      </c>
      <c r="P445" s="297"/>
      <c r="Q445" s="297"/>
      <c r="R445" s="297"/>
      <c r="S445" s="297"/>
      <c r="T445" s="297"/>
      <c r="U445" s="297"/>
      <c r="V445" s="297"/>
      <c r="W445" s="297"/>
      <c r="X445" s="297"/>
      <c r="Y445" s="417"/>
      <c r="Z445" s="471">
        <v>1</v>
      </c>
      <c r="AA445" s="471"/>
      <c r="AB445" s="417"/>
      <c r="AC445" s="417"/>
      <c r="AD445" s="417"/>
      <c r="AE445" s="417"/>
      <c r="AF445" s="417"/>
      <c r="AG445" s="417"/>
      <c r="AH445" s="417"/>
      <c r="AI445" s="417"/>
      <c r="AJ445" s="417"/>
      <c r="AK445" s="417"/>
      <c r="AL445" s="417"/>
      <c r="AM445" s="298">
        <f>SUM(Y445:AL445)</f>
        <v>1</v>
      </c>
    </row>
    <row r="446" spans="1:39" ht="15"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1</v>
      </c>
      <c r="AA446" s="413">
        <f>AA445</f>
        <v>0</v>
      </c>
      <c r="AB446" s="413">
        <f t="shared" ref="AB446:AL446" si="133">AB445</f>
        <v>0</v>
      </c>
      <c r="AC446" s="413">
        <f t="shared" si="133"/>
        <v>0</v>
      </c>
      <c r="AD446" s="413">
        <f t="shared" si="133"/>
        <v>0</v>
      </c>
      <c r="AE446" s="413">
        <f t="shared" si="133"/>
        <v>0</v>
      </c>
      <c r="AF446" s="413">
        <f t="shared" si="133"/>
        <v>0</v>
      </c>
      <c r="AG446" s="413">
        <f t="shared" si="133"/>
        <v>0</v>
      </c>
      <c r="AH446" s="413">
        <f t="shared" si="133"/>
        <v>0</v>
      </c>
      <c r="AI446" s="413">
        <f t="shared" si="133"/>
        <v>0</v>
      </c>
      <c r="AJ446" s="413">
        <f t="shared" si="133"/>
        <v>0</v>
      </c>
      <c r="AK446" s="413">
        <f t="shared" si="133"/>
        <v>0</v>
      </c>
      <c r="AL446" s="413">
        <f t="shared" si="133"/>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66527.745773899995</v>
      </c>
      <c r="E448" s="297">
        <v>65305.705154899995</v>
      </c>
      <c r="F448" s="297">
        <v>65305.705154899995</v>
      </c>
      <c r="G448" s="297">
        <v>65273.570059999998</v>
      </c>
      <c r="H448" s="297">
        <v>0</v>
      </c>
      <c r="I448" s="297">
        <v>0</v>
      </c>
      <c r="J448" s="297">
        <v>0</v>
      </c>
      <c r="K448" s="297">
        <v>0</v>
      </c>
      <c r="L448" s="297">
        <v>0</v>
      </c>
      <c r="M448" s="297">
        <v>0</v>
      </c>
      <c r="N448" s="297">
        <v>12</v>
      </c>
      <c r="O448" s="297">
        <v>13.619550775</v>
      </c>
      <c r="P448" s="297">
        <v>13.37277555</v>
      </c>
      <c r="Q448" s="297">
        <v>13.37277555</v>
      </c>
      <c r="R448" s="297">
        <v>13.36693052</v>
      </c>
      <c r="S448" s="297">
        <v>0</v>
      </c>
      <c r="T448" s="297">
        <v>0</v>
      </c>
      <c r="U448" s="297">
        <v>0</v>
      </c>
      <c r="V448" s="297">
        <v>0</v>
      </c>
      <c r="W448" s="297">
        <v>0</v>
      </c>
      <c r="X448" s="297">
        <v>0</v>
      </c>
      <c r="Y448" s="417"/>
      <c r="Z448" s="471">
        <v>0.5</v>
      </c>
      <c r="AA448" s="471">
        <v>0.5</v>
      </c>
      <c r="AB448" s="417"/>
      <c r="AC448" s="417"/>
      <c r="AD448" s="417"/>
      <c r="AE448" s="417"/>
      <c r="AF448" s="417"/>
      <c r="AG448" s="417"/>
      <c r="AH448" s="417"/>
      <c r="AI448" s="417"/>
      <c r="AJ448" s="417"/>
      <c r="AK448" s="417"/>
      <c r="AL448" s="417"/>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0.5</v>
      </c>
      <c r="AA449" s="413">
        <f t="shared" ref="AA449:AL449" si="134">AA448</f>
        <v>0.5</v>
      </c>
      <c r="AB449" s="413">
        <f t="shared" si="134"/>
        <v>0</v>
      </c>
      <c r="AC449" s="413">
        <f t="shared" si="134"/>
        <v>0</v>
      </c>
      <c r="AD449" s="413">
        <f t="shared" si="134"/>
        <v>0</v>
      </c>
      <c r="AE449" s="413">
        <f t="shared" si="134"/>
        <v>0</v>
      </c>
      <c r="AF449" s="413">
        <f t="shared" si="134"/>
        <v>0</v>
      </c>
      <c r="AG449" s="413">
        <f t="shared" si="134"/>
        <v>0</v>
      </c>
      <c r="AH449" s="413">
        <f t="shared" si="134"/>
        <v>0</v>
      </c>
      <c r="AI449" s="413">
        <f t="shared" si="134"/>
        <v>0</v>
      </c>
      <c r="AJ449" s="413">
        <f t="shared" si="134"/>
        <v>0</v>
      </c>
      <c r="AK449" s="413">
        <f t="shared" si="134"/>
        <v>0</v>
      </c>
      <c r="AL449" s="413">
        <f t="shared" si="134"/>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488</v>
      </c>
      <c r="C451" s="293" t="s">
        <v>25</v>
      </c>
      <c r="D451" s="297"/>
      <c r="E451" s="297"/>
      <c r="F451" s="297"/>
      <c r="G451" s="297"/>
      <c r="H451" s="297"/>
      <c r="I451" s="297"/>
      <c r="J451" s="297"/>
      <c r="K451" s="297"/>
      <c r="L451" s="297"/>
      <c r="M451" s="297"/>
      <c r="N451" s="293"/>
      <c r="O451" s="297">
        <v>7.4169999999999998</v>
      </c>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5">AA451</f>
        <v>0</v>
      </c>
      <c r="AB452" s="413">
        <f t="shared" si="135"/>
        <v>0</v>
      </c>
      <c r="AC452" s="413">
        <f t="shared" si="135"/>
        <v>0</v>
      </c>
      <c r="AD452" s="413">
        <f t="shared" si="135"/>
        <v>0</v>
      </c>
      <c r="AE452" s="413">
        <f t="shared" si="135"/>
        <v>0</v>
      </c>
      <c r="AF452" s="413">
        <f t="shared" si="135"/>
        <v>0</v>
      </c>
      <c r="AG452" s="413">
        <f t="shared" si="135"/>
        <v>0</v>
      </c>
      <c r="AH452" s="413">
        <f t="shared" si="135"/>
        <v>0</v>
      </c>
      <c r="AI452" s="413">
        <f t="shared" si="135"/>
        <v>0</v>
      </c>
      <c r="AJ452" s="413">
        <f t="shared" si="135"/>
        <v>0</v>
      </c>
      <c r="AK452" s="413">
        <f t="shared" si="135"/>
        <v>0</v>
      </c>
      <c r="AL452" s="413">
        <f t="shared" si="135"/>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6">AA454</f>
        <v>0</v>
      </c>
      <c r="AB455" s="413">
        <f t="shared" si="136"/>
        <v>0</v>
      </c>
      <c r="AC455" s="413">
        <f t="shared" si="136"/>
        <v>0</v>
      </c>
      <c r="AD455" s="413">
        <f t="shared" si="136"/>
        <v>0</v>
      </c>
      <c r="AE455" s="413">
        <f t="shared" si="136"/>
        <v>0</v>
      </c>
      <c r="AF455" s="413">
        <f t="shared" si="136"/>
        <v>0</v>
      </c>
      <c r="AG455" s="413">
        <f t="shared" si="136"/>
        <v>0</v>
      </c>
      <c r="AH455" s="413">
        <f t="shared" si="136"/>
        <v>0</v>
      </c>
      <c r="AI455" s="413">
        <f t="shared" si="136"/>
        <v>0</v>
      </c>
      <c r="AJ455" s="413">
        <f t="shared" si="136"/>
        <v>0</v>
      </c>
      <c r="AK455" s="413">
        <f t="shared" si="136"/>
        <v>0</v>
      </c>
      <c r="AL455" s="413">
        <f t="shared" si="136"/>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v>122.0643</v>
      </c>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7">AA457</f>
        <v>0</v>
      </c>
      <c r="AB458" s="413">
        <f t="shared" si="137"/>
        <v>0</v>
      </c>
      <c r="AC458" s="413">
        <f t="shared" si="137"/>
        <v>0</v>
      </c>
      <c r="AD458" s="413">
        <f t="shared" si="137"/>
        <v>0</v>
      </c>
      <c r="AE458" s="413">
        <f t="shared" si="137"/>
        <v>0</v>
      </c>
      <c r="AF458" s="413">
        <f t="shared" si="137"/>
        <v>0</v>
      </c>
      <c r="AG458" s="413">
        <f t="shared" si="137"/>
        <v>0</v>
      </c>
      <c r="AH458" s="413">
        <f t="shared" si="137"/>
        <v>0</v>
      </c>
      <c r="AI458" s="413">
        <f t="shared" si="137"/>
        <v>0</v>
      </c>
      <c r="AJ458" s="413">
        <f t="shared" si="137"/>
        <v>0</v>
      </c>
      <c r="AK458" s="413">
        <f t="shared" si="137"/>
        <v>0</v>
      </c>
      <c r="AL458" s="413">
        <f t="shared" si="137"/>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8">AA461</f>
        <v>0</v>
      </c>
      <c r="AB462" s="413">
        <f t="shared" si="138"/>
        <v>0</v>
      </c>
      <c r="AC462" s="413">
        <f t="shared" si="138"/>
        <v>0</v>
      </c>
      <c r="AD462" s="413">
        <f t="shared" si="138"/>
        <v>0</v>
      </c>
      <c r="AE462" s="413">
        <f t="shared" si="138"/>
        <v>0</v>
      </c>
      <c r="AF462" s="413">
        <f t="shared" si="138"/>
        <v>0</v>
      </c>
      <c r="AG462" s="413">
        <f t="shared" si="138"/>
        <v>0</v>
      </c>
      <c r="AH462" s="413">
        <f t="shared" si="138"/>
        <v>0</v>
      </c>
      <c r="AI462" s="413">
        <f t="shared" si="138"/>
        <v>0</v>
      </c>
      <c r="AJ462" s="413">
        <f t="shared" si="138"/>
        <v>0</v>
      </c>
      <c r="AK462" s="413">
        <f t="shared" si="138"/>
        <v>0</v>
      </c>
      <c r="AL462" s="413">
        <f t="shared" si="138"/>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9">AA464</f>
        <v>0</v>
      </c>
      <c r="AB465" s="413">
        <f t="shared" si="139"/>
        <v>0</v>
      </c>
      <c r="AC465" s="413">
        <f t="shared" si="139"/>
        <v>0</v>
      </c>
      <c r="AD465" s="413">
        <f t="shared" si="139"/>
        <v>0</v>
      </c>
      <c r="AE465" s="413">
        <f t="shared" si="139"/>
        <v>0</v>
      </c>
      <c r="AF465" s="413">
        <f t="shared" si="139"/>
        <v>0</v>
      </c>
      <c r="AG465" s="413">
        <f t="shared" si="139"/>
        <v>0</v>
      </c>
      <c r="AH465" s="413">
        <f t="shared" si="139"/>
        <v>0</v>
      </c>
      <c r="AI465" s="413">
        <f t="shared" si="139"/>
        <v>0</v>
      </c>
      <c r="AJ465" s="413">
        <f t="shared" si="139"/>
        <v>0</v>
      </c>
      <c r="AK465" s="413">
        <f t="shared" si="139"/>
        <v>0</v>
      </c>
      <c r="AL465" s="413">
        <f t="shared" si="139"/>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v>10467.69231</v>
      </c>
      <c r="E467" s="297">
        <v>10467.69231</v>
      </c>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0">AA467</f>
        <v>0</v>
      </c>
      <c r="AB468" s="413">
        <f t="shared" si="140"/>
        <v>0</v>
      </c>
      <c r="AC468" s="413">
        <f t="shared" si="140"/>
        <v>0</v>
      </c>
      <c r="AD468" s="413">
        <f t="shared" si="140"/>
        <v>0</v>
      </c>
      <c r="AE468" s="413">
        <f t="shared" si="140"/>
        <v>0</v>
      </c>
      <c r="AF468" s="413">
        <f t="shared" si="140"/>
        <v>0</v>
      </c>
      <c r="AG468" s="413">
        <f t="shared" si="140"/>
        <v>0</v>
      </c>
      <c r="AH468" s="413">
        <f t="shared" si="140"/>
        <v>0</v>
      </c>
      <c r="AI468" s="413">
        <f t="shared" si="140"/>
        <v>0</v>
      </c>
      <c r="AJ468" s="413">
        <f t="shared" si="140"/>
        <v>0</v>
      </c>
      <c r="AK468" s="413">
        <f t="shared" si="140"/>
        <v>0</v>
      </c>
      <c r="AL468" s="413">
        <f t="shared" si="140"/>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1">AA470</f>
        <v>0</v>
      </c>
      <c r="AB471" s="413">
        <f t="shared" si="141"/>
        <v>0</v>
      </c>
      <c r="AC471" s="413">
        <f t="shared" si="141"/>
        <v>0</v>
      </c>
      <c r="AD471" s="413">
        <f t="shared" si="141"/>
        <v>0</v>
      </c>
      <c r="AE471" s="413">
        <f t="shared" si="141"/>
        <v>0</v>
      </c>
      <c r="AF471" s="413">
        <f t="shared" si="141"/>
        <v>0</v>
      </c>
      <c r="AG471" s="413">
        <f t="shared" si="141"/>
        <v>0</v>
      </c>
      <c r="AH471" s="413">
        <f t="shared" si="141"/>
        <v>0</v>
      </c>
      <c r="AI471" s="413">
        <f t="shared" si="141"/>
        <v>0</v>
      </c>
      <c r="AJ471" s="413">
        <f t="shared" si="141"/>
        <v>0</v>
      </c>
      <c r="AK471" s="413">
        <f t="shared" si="141"/>
        <v>0</v>
      </c>
      <c r="AL471" s="413">
        <f t="shared" si="141"/>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2">AA473</f>
        <v>0</v>
      </c>
      <c r="AB474" s="413">
        <f t="shared" si="142"/>
        <v>0</v>
      </c>
      <c r="AC474" s="413">
        <f t="shared" si="142"/>
        <v>0</v>
      </c>
      <c r="AD474" s="413">
        <f t="shared" si="142"/>
        <v>0</v>
      </c>
      <c r="AE474" s="413">
        <f t="shared" si="142"/>
        <v>0</v>
      </c>
      <c r="AF474" s="413">
        <f t="shared" si="142"/>
        <v>0</v>
      </c>
      <c r="AG474" s="413">
        <f t="shared" si="142"/>
        <v>0</v>
      </c>
      <c r="AH474" s="413">
        <f t="shared" si="142"/>
        <v>0</v>
      </c>
      <c r="AI474" s="413">
        <f t="shared" si="142"/>
        <v>0</v>
      </c>
      <c r="AJ474" s="413">
        <f t="shared" si="142"/>
        <v>0</v>
      </c>
      <c r="AK474" s="413">
        <f t="shared" si="142"/>
        <v>0</v>
      </c>
      <c r="AL474" s="413">
        <f t="shared" si="142"/>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217238.07279000001</v>
      </c>
      <c r="E477" s="297">
        <v>213024.18702999997</v>
      </c>
      <c r="F477" s="297">
        <v>201330.77045999997</v>
      </c>
      <c r="G477" s="297">
        <v>195592.28015999999</v>
      </c>
      <c r="H477" s="297">
        <v>191479.74283</v>
      </c>
      <c r="I477" s="297">
        <v>191479.74283</v>
      </c>
      <c r="J477" s="297">
        <v>191479.74283</v>
      </c>
      <c r="K477" s="297">
        <v>189795.93041</v>
      </c>
      <c r="L477" s="297">
        <v>142456.18491000001</v>
      </c>
      <c r="M477" s="297">
        <v>138927.74832000001</v>
      </c>
      <c r="N477" s="293"/>
      <c r="O477" s="297">
        <v>22.871554273000001</v>
      </c>
      <c r="P477" s="297">
        <v>22.653212451000002</v>
      </c>
      <c r="Q477" s="297">
        <v>22.045485850999999</v>
      </c>
      <c r="R477" s="297">
        <v>21.746609976999999</v>
      </c>
      <c r="S477" s="297">
        <v>21.532042827999998</v>
      </c>
      <c r="T477" s="297">
        <v>21.532042827999998</v>
      </c>
      <c r="U477" s="297">
        <v>21.532042827999998</v>
      </c>
      <c r="V477" s="297">
        <v>21.444335982999998</v>
      </c>
      <c r="W477" s="297">
        <v>18.985855442999998</v>
      </c>
      <c r="X477" s="297">
        <v>18.574144877999998</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3">AA477</f>
        <v>0</v>
      </c>
      <c r="AB478" s="413">
        <f t="shared" si="143"/>
        <v>0</v>
      </c>
      <c r="AC478" s="413">
        <f t="shared" si="143"/>
        <v>0</v>
      </c>
      <c r="AD478" s="413">
        <f t="shared" si="143"/>
        <v>0</v>
      </c>
      <c r="AE478" s="413">
        <f t="shared" si="143"/>
        <v>0</v>
      </c>
      <c r="AF478" s="413">
        <f t="shared" si="143"/>
        <v>0</v>
      </c>
      <c r="AG478" s="413">
        <f t="shared" si="143"/>
        <v>0</v>
      </c>
      <c r="AH478" s="413">
        <f t="shared" si="143"/>
        <v>0</v>
      </c>
      <c r="AI478" s="413">
        <f t="shared" si="143"/>
        <v>0</v>
      </c>
      <c r="AJ478" s="413">
        <f t="shared" si="143"/>
        <v>0</v>
      </c>
      <c r="AK478" s="413">
        <f t="shared" si="143"/>
        <v>0</v>
      </c>
      <c r="AL478" s="413">
        <f t="shared" si="143"/>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4">AA481</f>
        <v>0</v>
      </c>
      <c r="AB482" s="413">
        <f t="shared" si="144"/>
        <v>0</v>
      </c>
      <c r="AC482" s="413">
        <f t="shared" si="144"/>
        <v>0</v>
      </c>
      <c r="AD482" s="413">
        <f t="shared" si="144"/>
        <v>0</v>
      </c>
      <c r="AE482" s="413">
        <f t="shared" si="144"/>
        <v>0</v>
      </c>
      <c r="AF482" s="413">
        <f t="shared" si="144"/>
        <v>0</v>
      </c>
      <c r="AG482" s="413">
        <f t="shared" si="144"/>
        <v>0</v>
      </c>
      <c r="AH482" s="413">
        <f t="shared" si="144"/>
        <v>0</v>
      </c>
      <c r="AI482" s="413">
        <f t="shared" si="144"/>
        <v>0</v>
      </c>
      <c r="AJ482" s="413">
        <f t="shared" si="144"/>
        <v>0</v>
      </c>
      <c r="AK482" s="413">
        <f t="shared" si="144"/>
        <v>0</v>
      </c>
      <c r="AL482" s="413">
        <f t="shared" si="144"/>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5">AA484</f>
        <v>0</v>
      </c>
      <c r="AB485" s="413">
        <f t="shared" si="145"/>
        <v>0</v>
      </c>
      <c r="AC485" s="413">
        <f t="shared" si="145"/>
        <v>0</v>
      </c>
      <c r="AD485" s="413">
        <f t="shared" si="145"/>
        <v>0</v>
      </c>
      <c r="AE485" s="413">
        <f t="shared" si="145"/>
        <v>0</v>
      </c>
      <c r="AF485" s="413">
        <f t="shared" si="145"/>
        <v>0</v>
      </c>
      <c r="AG485" s="413">
        <f t="shared" si="145"/>
        <v>0</v>
      </c>
      <c r="AH485" s="413">
        <f t="shared" si="145"/>
        <v>0</v>
      </c>
      <c r="AI485" s="413">
        <f t="shared" si="145"/>
        <v>0</v>
      </c>
      <c r="AJ485" s="413">
        <f t="shared" si="145"/>
        <v>0</v>
      </c>
      <c r="AK485" s="413">
        <f t="shared" si="145"/>
        <v>0</v>
      </c>
      <c r="AL485" s="413">
        <f t="shared" si="145"/>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v>0</v>
      </c>
      <c r="E488" s="297"/>
      <c r="F488" s="297"/>
      <c r="G488" s="297"/>
      <c r="H488" s="297"/>
      <c r="I488" s="297"/>
      <c r="J488" s="297"/>
      <c r="K488" s="297"/>
      <c r="L488" s="297"/>
      <c r="M488" s="297"/>
      <c r="N488" s="297">
        <v>12</v>
      </c>
      <c r="O488" s="297">
        <v>0</v>
      </c>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6">AA488</f>
        <v>0</v>
      </c>
      <c r="AB489" s="413">
        <f t="shared" si="146"/>
        <v>0</v>
      </c>
      <c r="AC489" s="413">
        <f t="shared" si="146"/>
        <v>0</v>
      </c>
      <c r="AD489" s="413">
        <f t="shared" si="146"/>
        <v>0</v>
      </c>
      <c r="AE489" s="413">
        <f t="shared" si="146"/>
        <v>0</v>
      </c>
      <c r="AF489" s="413">
        <f t="shared" si="146"/>
        <v>0</v>
      </c>
      <c r="AG489" s="413">
        <f t="shared" si="146"/>
        <v>0</v>
      </c>
      <c r="AH489" s="413">
        <f t="shared" si="146"/>
        <v>0</v>
      </c>
      <c r="AI489" s="413">
        <f t="shared" si="146"/>
        <v>0</v>
      </c>
      <c r="AJ489" s="413">
        <f t="shared" si="146"/>
        <v>0</v>
      </c>
      <c r="AK489" s="413">
        <f t="shared" si="146"/>
        <v>0</v>
      </c>
      <c r="AL489" s="413">
        <f t="shared" si="146"/>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v>0</v>
      </c>
      <c r="E491" s="297"/>
      <c r="F491" s="297"/>
      <c r="G491" s="297"/>
      <c r="H491" s="297"/>
      <c r="I491" s="297"/>
      <c r="J491" s="297"/>
      <c r="K491" s="297"/>
      <c r="L491" s="297"/>
      <c r="M491" s="297"/>
      <c r="N491" s="297">
        <v>12</v>
      </c>
      <c r="O491" s="297">
        <v>0</v>
      </c>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7">AA491</f>
        <v>0</v>
      </c>
      <c r="AB492" s="413">
        <f t="shared" si="147"/>
        <v>0</v>
      </c>
      <c r="AC492" s="413">
        <f t="shared" si="147"/>
        <v>0</v>
      </c>
      <c r="AD492" s="413">
        <f t="shared" si="147"/>
        <v>0</v>
      </c>
      <c r="AE492" s="413">
        <f t="shared" si="147"/>
        <v>0</v>
      </c>
      <c r="AF492" s="413">
        <f t="shared" si="147"/>
        <v>0</v>
      </c>
      <c r="AG492" s="413">
        <f t="shared" si="147"/>
        <v>0</v>
      </c>
      <c r="AH492" s="413">
        <f t="shared" si="147"/>
        <v>0</v>
      </c>
      <c r="AI492" s="413">
        <f t="shared" si="147"/>
        <v>0</v>
      </c>
      <c r="AJ492" s="413">
        <f t="shared" si="147"/>
        <v>0</v>
      </c>
      <c r="AK492" s="413">
        <f t="shared" si="147"/>
        <v>0</v>
      </c>
      <c r="AL492" s="413">
        <f t="shared" si="147"/>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8">AA494</f>
        <v>0</v>
      </c>
      <c r="AB495" s="413">
        <f t="shared" si="148"/>
        <v>0</v>
      </c>
      <c r="AC495" s="413">
        <f t="shared" si="148"/>
        <v>0</v>
      </c>
      <c r="AD495" s="413">
        <f t="shared" si="148"/>
        <v>0</v>
      </c>
      <c r="AE495" s="413">
        <f t="shared" si="148"/>
        <v>0</v>
      </c>
      <c r="AF495" s="413">
        <f t="shared" si="148"/>
        <v>0</v>
      </c>
      <c r="AG495" s="413">
        <f t="shared" si="148"/>
        <v>0</v>
      </c>
      <c r="AH495" s="413">
        <f t="shared" si="148"/>
        <v>0</v>
      </c>
      <c r="AI495" s="413">
        <f t="shared" si="148"/>
        <v>0</v>
      </c>
      <c r="AJ495" s="413">
        <f t="shared" si="148"/>
        <v>0</v>
      </c>
      <c r="AK495" s="413">
        <f t="shared" si="148"/>
        <v>0</v>
      </c>
      <c r="AL495" s="413">
        <f t="shared" si="148"/>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9">Z497</f>
        <v>0</v>
      </c>
      <c r="AA498" s="413">
        <f t="shared" si="149"/>
        <v>0</v>
      </c>
      <c r="AB498" s="413">
        <f t="shared" si="149"/>
        <v>0</v>
      </c>
      <c r="AC498" s="413">
        <f t="shared" si="149"/>
        <v>0</v>
      </c>
      <c r="AD498" s="413">
        <f t="shared" si="149"/>
        <v>0</v>
      </c>
      <c r="AE498" s="413">
        <f t="shared" si="149"/>
        <v>0</v>
      </c>
      <c r="AF498" s="413">
        <f t="shared" si="149"/>
        <v>0</v>
      </c>
      <c r="AG498" s="413">
        <f t="shared" si="149"/>
        <v>0</v>
      </c>
      <c r="AH498" s="413">
        <f t="shared" si="149"/>
        <v>0</v>
      </c>
      <c r="AI498" s="413">
        <f t="shared" si="149"/>
        <v>0</v>
      </c>
      <c r="AJ498" s="413">
        <f t="shared" si="149"/>
        <v>0</v>
      </c>
      <c r="AK498" s="413">
        <f t="shared" si="149"/>
        <v>0</v>
      </c>
      <c r="AL498" s="413">
        <f t="shared" si="149"/>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491</v>
      </c>
      <c r="C500" s="293" t="s">
        <v>25</v>
      </c>
      <c r="D500" s="297">
        <v>114602.92</v>
      </c>
      <c r="E500" s="297"/>
      <c r="F500" s="297"/>
      <c r="G500" s="297"/>
      <c r="H500" s="297"/>
      <c r="I500" s="297"/>
      <c r="J500" s="297"/>
      <c r="K500" s="297"/>
      <c r="L500" s="297"/>
      <c r="M500" s="297"/>
      <c r="N500" s="297">
        <v>0</v>
      </c>
      <c r="O500" s="297">
        <v>42.3</v>
      </c>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0">Z500</f>
        <v>0</v>
      </c>
      <c r="AA501" s="413">
        <f t="shared" si="150"/>
        <v>0</v>
      </c>
      <c r="AB501" s="413">
        <f t="shared" si="150"/>
        <v>0</v>
      </c>
      <c r="AC501" s="413">
        <f t="shared" si="150"/>
        <v>0</v>
      </c>
      <c r="AD501" s="413">
        <f t="shared" si="150"/>
        <v>0</v>
      </c>
      <c r="AE501" s="413">
        <f t="shared" si="150"/>
        <v>0</v>
      </c>
      <c r="AF501" s="413">
        <f t="shared" si="150"/>
        <v>0</v>
      </c>
      <c r="AG501" s="413">
        <f t="shared" si="150"/>
        <v>0</v>
      </c>
      <c r="AH501" s="413">
        <f t="shared" si="150"/>
        <v>0</v>
      </c>
      <c r="AI501" s="413">
        <f t="shared" si="150"/>
        <v>0</v>
      </c>
      <c r="AJ501" s="413">
        <f t="shared" si="150"/>
        <v>0</v>
      </c>
      <c r="AK501" s="413">
        <f t="shared" si="150"/>
        <v>0</v>
      </c>
      <c r="AL501" s="413">
        <f t="shared" si="150"/>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1">Z504</f>
        <v>0</v>
      </c>
      <c r="AA505" s="413">
        <f t="shared" si="151"/>
        <v>0</v>
      </c>
      <c r="AB505" s="413">
        <f t="shared" si="151"/>
        <v>0</v>
      </c>
      <c r="AC505" s="413">
        <f t="shared" si="151"/>
        <v>0</v>
      </c>
      <c r="AD505" s="413">
        <f t="shared" si="151"/>
        <v>0</v>
      </c>
      <c r="AE505" s="413">
        <f t="shared" si="151"/>
        <v>0</v>
      </c>
      <c r="AF505" s="413">
        <f t="shared" si="151"/>
        <v>0</v>
      </c>
      <c r="AG505" s="413">
        <f t="shared" si="151"/>
        <v>0</v>
      </c>
      <c r="AH505" s="413">
        <f t="shared" si="151"/>
        <v>0</v>
      </c>
      <c r="AI505" s="413">
        <f t="shared" si="151"/>
        <v>0</v>
      </c>
      <c r="AJ505" s="413">
        <f t="shared" si="151"/>
        <v>0</v>
      </c>
      <c r="AK505" s="413">
        <f t="shared" si="151"/>
        <v>0</v>
      </c>
      <c r="AL505" s="413">
        <f t="shared" si="151"/>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494</v>
      </c>
      <c r="C507" s="293" t="s">
        <v>25</v>
      </c>
      <c r="D507" s="297"/>
      <c r="E507" s="297"/>
      <c r="F507" s="297"/>
      <c r="G507" s="297"/>
      <c r="H507" s="297"/>
      <c r="I507" s="297"/>
      <c r="J507" s="297"/>
      <c r="K507" s="297"/>
      <c r="L507" s="297"/>
      <c r="M507" s="297"/>
      <c r="N507" s="297">
        <v>0</v>
      </c>
      <c r="O507" s="297">
        <v>174.68100000000001</v>
      </c>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2">Z507</f>
        <v>0</v>
      </c>
      <c r="AA508" s="413">
        <f t="shared" si="152"/>
        <v>0</v>
      </c>
      <c r="AB508" s="413">
        <f t="shared" si="152"/>
        <v>0</v>
      </c>
      <c r="AC508" s="413">
        <f t="shared" si="152"/>
        <v>0</v>
      </c>
      <c r="AD508" s="413">
        <f t="shared" si="152"/>
        <v>0</v>
      </c>
      <c r="AE508" s="413">
        <f t="shared" si="152"/>
        <v>0</v>
      </c>
      <c r="AF508" s="413">
        <f t="shared" si="152"/>
        <v>0</v>
      </c>
      <c r="AG508" s="413">
        <f t="shared" si="152"/>
        <v>0</v>
      </c>
      <c r="AH508" s="413">
        <f t="shared" si="152"/>
        <v>0</v>
      </c>
      <c r="AI508" s="413">
        <f t="shared" si="152"/>
        <v>0</v>
      </c>
      <c r="AJ508" s="413">
        <f t="shared" si="152"/>
        <v>0</v>
      </c>
      <c r="AK508" s="413">
        <f t="shared" si="152"/>
        <v>0</v>
      </c>
      <c r="AL508" s="413">
        <f t="shared" si="152"/>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3">Z510</f>
        <v>0</v>
      </c>
      <c r="AA511" s="413">
        <f t="shared" si="153"/>
        <v>0</v>
      </c>
      <c r="AB511" s="413">
        <f t="shared" si="153"/>
        <v>0</v>
      </c>
      <c r="AC511" s="413">
        <f t="shared" si="153"/>
        <v>0</v>
      </c>
      <c r="AD511" s="413">
        <f t="shared" si="153"/>
        <v>0</v>
      </c>
      <c r="AE511" s="413">
        <f t="shared" si="153"/>
        <v>0</v>
      </c>
      <c r="AF511" s="413">
        <f t="shared" si="153"/>
        <v>0</v>
      </c>
      <c r="AG511" s="413">
        <f t="shared" si="153"/>
        <v>0</v>
      </c>
      <c r="AH511" s="413">
        <f t="shared" si="153"/>
        <v>0</v>
      </c>
      <c r="AI511" s="413">
        <f t="shared" si="153"/>
        <v>0</v>
      </c>
      <c r="AJ511" s="413">
        <f t="shared" si="153"/>
        <v>0</v>
      </c>
      <c r="AK511" s="413">
        <f t="shared" si="153"/>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261</v>
      </c>
      <c r="C513" s="331"/>
      <c r="D513" s="331">
        <f>SUM(D408:D511)</f>
        <v>3227654.817340598</v>
      </c>
      <c r="E513" s="331">
        <f t="shared" ref="E513:M513" si="154">SUM(E408:E511)</f>
        <v>2960677.3054615981</v>
      </c>
      <c r="F513" s="331">
        <f t="shared" si="154"/>
        <v>2836397.1237415979</v>
      </c>
      <c r="G513" s="331">
        <f t="shared" si="154"/>
        <v>2589752.2064466979</v>
      </c>
      <c r="H513" s="331">
        <f t="shared" si="154"/>
        <v>2451026.7924708975</v>
      </c>
      <c r="I513" s="331">
        <f t="shared" si="154"/>
        <v>2368498.7910850998</v>
      </c>
      <c r="J513" s="331">
        <f t="shared" si="154"/>
        <v>2354600.6660850998</v>
      </c>
      <c r="K513" s="331">
        <f t="shared" si="154"/>
        <v>2352403.8478651</v>
      </c>
      <c r="L513" s="331">
        <f t="shared" si="154"/>
        <v>2281404.6777650998</v>
      </c>
      <c r="M513" s="331">
        <f t="shared" si="154"/>
        <v>2157179.0117750997</v>
      </c>
      <c r="N513" s="331"/>
      <c r="O513" s="331">
        <f>SUM(O408:O511)</f>
        <v>1085.5167234219282</v>
      </c>
      <c r="P513" s="331"/>
      <c r="Q513" s="331"/>
      <c r="R513" s="331"/>
      <c r="S513" s="331"/>
      <c r="T513" s="331"/>
      <c r="U513" s="331"/>
      <c r="V513" s="331"/>
      <c r="W513" s="331"/>
      <c r="X513" s="331"/>
      <c r="Y513" s="331">
        <f>IF(Y407="kWh",SUMPRODUCT(D408:D511,Y408:Y511))</f>
        <v>1325579.9474166981</v>
      </c>
      <c r="Z513" s="331">
        <f>IF(Z407="kWh",SUMPRODUCT(D408:D511,Z408:Z511))</f>
        <v>1743740.38472695</v>
      </c>
      <c r="AA513" s="331">
        <f>IF(AA407="kW",SUMPRODUCT(N408:N511,O408:O511,AA408:AA511),SUMPRODUCT(D408:D511,AA408:AA511))</f>
        <v>81.717304650000003</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2967510.0864586178</v>
      </c>
      <c r="Z514" s="330">
        <f>HLOOKUP(Z406,'2. LRAMVA Threshold'!$B$42:$Q$53,6,FALSE)</f>
        <v>943189.86180872004</v>
      </c>
      <c r="AA514" s="330">
        <f>HLOOKUP(AA406,'2. LRAMVA Threshold'!$B$42:$Q$53,6,FALSE)</f>
        <v>1253.27</v>
      </c>
      <c r="AB514" s="330">
        <f>HLOOKUP(AB406,'2. LRAMVA Threshold'!$B$42:$Q$53,6,FALSE)</f>
        <v>3964.4865764612568</v>
      </c>
      <c r="AC514" s="330">
        <f>HLOOKUP(AC406,'2. LRAMVA Threshold'!$B$42:$Q$53,6,FALSE)</f>
        <v>0.04</v>
      </c>
      <c r="AD514" s="330">
        <f>HLOOKUP(AD406,'2. LRAMVA Threshold'!$B$42:$Q$53,6,FALSE)</f>
        <v>39.69</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1.04E-2</v>
      </c>
      <c r="Z516" s="343">
        <f>HLOOKUP(Z$20,'3.  Distribution Rates'!$C$122:$P$133,6,FALSE)</f>
        <v>7.1999999999999998E-3</v>
      </c>
      <c r="AA516" s="343">
        <f>HLOOKUP(AA$20,'3.  Distribution Rates'!$C$122:$P$133,6,FALSE)</f>
        <v>1.3872</v>
      </c>
      <c r="AB516" s="343">
        <f>HLOOKUP(AB$20,'3.  Distribution Rates'!$C$122:$P$133,6,FALSE)</f>
        <v>1.52E-2</v>
      </c>
      <c r="AC516" s="343">
        <f>HLOOKUP(AC$20,'3.  Distribution Rates'!$C$122:$P$133,6,FALSE)</f>
        <v>18.925899999999999</v>
      </c>
      <c r="AD516" s="343">
        <f>HLOOKUP(AD$20,'3.  Distribution Rates'!$C$122:$P$133,6,FALSE)</f>
        <v>3.2141999999999999</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7841.3391806729642</v>
      </c>
      <c r="Z517" s="380">
        <f t="shared" ref="Z517:AL517" si="155">Z137*Z516</f>
        <v>7502.8989554145073</v>
      </c>
      <c r="AA517" s="380">
        <f t="shared" si="155"/>
        <v>43.090659876793602</v>
      </c>
      <c r="AB517" s="380">
        <f t="shared" si="155"/>
        <v>0</v>
      </c>
      <c r="AC517" s="380">
        <f t="shared" si="155"/>
        <v>0</v>
      </c>
      <c r="AD517" s="380">
        <f t="shared" si="155"/>
        <v>0</v>
      </c>
      <c r="AE517" s="380">
        <f t="shared" si="155"/>
        <v>0</v>
      </c>
      <c r="AF517" s="380">
        <f t="shared" si="155"/>
        <v>0</v>
      </c>
      <c r="AG517" s="380">
        <f t="shared" si="155"/>
        <v>0</v>
      </c>
      <c r="AH517" s="380">
        <f t="shared" si="155"/>
        <v>0</v>
      </c>
      <c r="AI517" s="380">
        <f t="shared" si="155"/>
        <v>0</v>
      </c>
      <c r="AJ517" s="380">
        <f t="shared" si="155"/>
        <v>0</v>
      </c>
      <c r="AK517" s="380">
        <f t="shared" si="155"/>
        <v>0</v>
      </c>
      <c r="AL517" s="380">
        <f t="shared" si="155"/>
        <v>0</v>
      </c>
      <c r="AM517" s="631">
        <f>SUM(Y517:AL517)</f>
        <v>15387.328795964266</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4210.8876831192065</v>
      </c>
      <c r="Z518" s="380">
        <f t="shared" ref="Z518:AL518" si="156">Z266*Z516</f>
        <v>13114.081069520251</v>
      </c>
      <c r="AA518" s="380">
        <f t="shared" si="156"/>
        <v>0</v>
      </c>
      <c r="AB518" s="380">
        <f t="shared" si="156"/>
        <v>0</v>
      </c>
      <c r="AC518" s="380">
        <f t="shared" si="156"/>
        <v>0</v>
      </c>
      <c r="AD518" s="380">
        <f t="shared" si="156"/>
        <v>0</v>
      </c>
      <c r="AE518" s="380">
        <f t="shared" si="156"/>
        <v>0</v>
      </c>
      <c r="AF518" s="380">
        <f t="shared" si="156"/>
        <v>0</v>
      </c>
      <c r="AG518" s="380">
        <f t="shared" si="156"/>
        <v>0</v>
      </c>
      <c r="AH518" s="380">
        <f t="shared" si="156"/>
        <v>0</v>
      </c>
      <c r="AI518" s="380">
        <f t="shared" si="156"/>
        <v>0</v>
      </c>
      <c r="AJ518" s="380">
        <f t="shared" si="156"/>
        <v>0</v>
      </c>
      <c r="AK518" s="380">
        <f t="shared" si="156"/>
        <v>0</v>
      </c>
      <c r="AL518" s="380">
        <f t="shared" si="156"/>
        <v>0</v>
      </c>
      <c r="AM518" s="631">
        <f>SUM(Y518:AL518)</f>
        <v>17324.968752639455</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4902.2195930906555</v>
      </c>
      <c r="Z519" s="380">
        <f t="shared" ref="Z519:AL519" si="157">Z395*Z516</f>
        <v>10954.473481542112</v>
      </c>
      <c r="AA519" s="380">
        <f t="shared" si="157"/>
        <v>73.349670068553593</v>
      </c>
      <c r="AB519" s="380">
        <f t="shared" si="157"/>
        <v>0</v>
      </c>
      <c r="AC519" s="380">
        <f t="shared" si="157"/>
        <v>0</v>
      </c>
      <c r="AD519" s="380">
        <f t="shared" si="157"/>
        <v>0</v>
      </c>
      <c r="AE519" s="380">
        <f t="shared" si="157"/>
        <v>0</v>
      </c>
      <c r="AF519" s="380">
        <f t="shared" si="157"/>
        <v>0</v>
      </c>
      <c r="AG519" s="380">
        <f t="shared" si="157"/>
        <v>0</v>
      </c>
      <c r="AH519" s="380">
        <f t="shared" si="157"/>
        <v>0</v>
      </c>
      <c r="AI519" s="380">
        <f t="shared" si="157"/>
        <v>0</v>
      </c>
      <c r="AJ519" s="380">
        <f t="shared" si="157"/>
        <v>0</v>
      </c>
      <c r="AK519" s="380">
        <f t="shared" si="157"/>
        <v>0</v>
      </c>
      <c r="AL519" s="380">
        <f t="shared" si="157"/>
        <v>0</v>
      </c>
      <c r="AM519" s="631">
        <f>SUM(Y519:AL519)</f>
        <v>15930.042744701321</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13786.031453133659</v>
      </c>
      <c r="Z520" s="380">
        <f t="shared" ref="Z520:AK520" si="158">Z513*Z516</f>
        <v>12554.93077003404</v>
      </c>
      <c r="AA520" s="380">
        <f t="shared" si="158"/>
        <v>113.35824501048</v>
      </c>
      <c r="AB520" s="380">
        <f t="shared" si="158"/>
        <v>0</v>
      </c>
      <c r="AC520" s="380">
        <f t="shared" si="158"/>
        <v>0</v>
      </c>
      <c r="AD520" s="380">
        <f t="shared" si="158"/>
        <v>0</v>
      </c>
      <c r="AE520" s="380">
        <f t="shared" si="158"/>
        <v>0</v>
      </c>
      <c r="AF520" s="380">
        <f t="shared" si="158"/>
        <v>0</v>
      </c>
      <c r="AG520" s="380">
        <f t="shared" si="158"/>
        <v>0</v>
      </c>
      <c r="AH520" s="380">
        <f t="shared" si="158"/>
        <v>0</v>
      </c>
      <c r="AI520" s="380">
        <f>AI513*AI516</f>
        <v>0</v>
      </c>
      <c r="AJ520" s="380">
        <f t="shared" si="158"/>
        <v>0</v>
      </c>
      <c r="AK520" s="380">
        <f t="shared" si="158"/>
        <v>0</v>
      </c>
      <c r="AL520" s="380">
        <f>AL513*AL516</f>
        <v>0</v>
      </c>
      <c r="AM520" s="631">
        <f>SUM(Y520:AL520)</f>
        <v>26454.320468178179</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30740.477910016485</v>
      </c>
      <c r="Z521" s="348">
        <f t="shared" ref="Z521:AK521" si="159">SUM(Z517:Z520)</f>
        <v>44126.384276510915</v>
      </c>
      <c r="AA521" s="348">
        <f t="shared" si="159"/>
        <v>229.79857495582721</v>
      </c>
      <c r="AB521" s="348">
        <f t="shared" si="159"/>
        <v>0</v>
      </c>
      <c r="AC521" s="348">
        <f t="shared" si="159"/>
        <v>0</v>
      </c>
      <c r="AD521" s="348">
        <f t="shared" si="159"/>
        <v>0</v>
      </c>
      <c r="AE521" s="348">
        <f t="shared" si="159"/>
        <v>0</v>
      </c>
      <c r="AF521" s="348">
        <f t="shared" si="159"/>
        <v>0</v>
      </c>
      <c r="AG521" s="348">
        <f t="shared" si="159"/>
        <v>0</v>
      </c>
      <c r="AH521" s="348">
        <f t="shared" si="159"/>
        <v>0</v>
      </c>
      <c r="AI521" s="348">
        <f t="shared" si="159"/>
        <v>0</v>
      </c>
      <c r="AJ521" s="348">
        <f t="shared" si="159"/>
        <v>0</v>
      </c>
      <c r="AK521" s="348">
        <f t="shared" si="159"/>
        <v>0</v>
      </c>
      <c r="AL521" s="348">
        <f>SUM(AL517:AL520)</f>
        <v>0</v>
      </c>
      <c r="AM521" s="409">
        <f>SUM(AM517:AM520)</f>
        <v>75096.660761483217</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30862.104899169623</v>
      </c>
      <c r="Z522" s="349">
        <f t="shared" ref="Z522:AJ522" si="160">Z514*Z516</f>
        <v>6790.9670050227842</v>
      </c>
      <c r="AA522" s="349">
        <f>AA514*AA516</f>
        <v>1738.5361439999999</v>
      </c>
      <c r="AB522" s="349">
        <f t="shared" si="160"/>
        <v>60.260195962211107</v>
      </c>
      <c r="AC522" s="349">
        <f t="shared" si="160"/>
        <v>0.75703599999999993</v>
      </c>
      <c r="AD522" s="349">
        <f>AD514*AD516</f>
        <v>127.57159799999999</v>
      </c>
      <c r="AE522" s="349">
        <f t="shared" si="160"/>
        <v>0</v>
      </c>
      <c r="AF522" s="349">
        <f t="shared" si="160"/>
        <v>0</v>
      </c>
      <c r="AG522" s="349">
        <f t="shared" si="160"/>
        <v>0</v>
      </c>
      <c r="AH522" s="349">
        <f t="shared" si="160"/>
        <v>0</v>
      </c>
      <c r="AI522" s="349">
        <f t="shared" si="160"/>
        <v>0</v>
      </c>
      <c r="AJ522" s="349">
        <f t="shared" si="160"/>
        <v>0</v>
      </c>
      <c r="AK522" s="349">
        <f>AK514*AK516</f>
        <v>0</v>
      </c>
      <c r="AL522" s="349">
        <f>AL514*AL516</f>
        <v>0</v>
      </c>
      <c r="AM522" s="409">
        <f>SUM(Y522:AL522)</f>
        <v>39580.196878154624</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35516.463883328594</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1222649.9407566979</v>
      </c>
      <c r="Z526" s="293">
        <f>SUMPRODUCT(E408:E511,Z408:Z511)</f>
        <v>1694906.8198174499</v>
      </c>
      <c r="AA526" s="293">
        <f>IF(AA407="kW",SUMPRODUCT(N408:N511,P408:P511,AA408:AA511),SUMPRODUCT(E408:E511,AA408:AA511))</f>
        <v>80.2366533</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1159887.879586698</v>
      </c>
      <c r="Z527" s="293">
        <f>SUMPRODUCT(F408:F511,Z408:Z511)</f>
        <v>1643856.3915774499</v>
      </c>
      <c r="AA527" s="293">
        <f>IF(AA407="kW",SUMPRODUCT(N408:N511,Q408:Q511,AA408:AA511),SUMPRODUCT(F408:F511,AA408:AA511))</f>
        <v>80.2366533</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1154149.3892866981</v>
      </c>
      <c r="Z528" s="293">
        <f>SUMPRODUCT(G408:G511,Z408:Z511)</f>
        <v>1402966.0321299999</v>
      </c>
      <c r="AA528" s="293">
        <f>IF(AA407="kW",SUMPRODUCT(N408:N511,R408:R511,AA408:AA511),SUMPRODUCT(G408:G511,AA408:AA511))</f>
        <v>80.201583120000009</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1080697.5453708977</v>
      </c>
      <c r="Z529" s="293">
        <f>SUMPRODUCT(H408:H511,Z408:Z511)</f>
        <v>1370329.2471</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1001483.6319851</v>
      </c>
      <c r="Z530" s="293">
        <f>SUMPRODUCT(I408:I511,Z408:Z511)</f>
        <v>1367015.1591</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1001483.6319851</v>
      </c>
      <c r="Z531" s="328">
        <f>SUMPRODUCT(J408:J511,Z408:Z511)</f>
        <v>1353117.0341</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598</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528</v>
      </c>
    </row>
  </sheetData>
  <sheetProtection formatCells="0" formatColumns="0" formatRows="0" insertColumns="0" insertRows="0" insertHyperlinks="0" deleteColumns="0" deleteRows="0" sort="0" autoFilter="0" pivotTables="0"/>
  <mergeCells count="34">
    <mergeCell ref="B3:B4"/>
    <mergeCell ref="B7:B8"/>
    <mergeCell ref="B13:B14"/>
    <mergeCell ref="C8:X8"/>
    <mergeCell ref="C9:X9"/>
    <mergeCell ref="C10:X10"/>
    <mergeCell ref="C11:X11"/>
    <mergeCell ref="E13:G13"/>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29" zoomScale="90" zoomScaleNormal="90" workbookViewId="0">
      <pane ySplit="7" topLeftCell="A246" activePane="bottomLeft" state="frozen"/>
      <selection activeCell="A29" sqref="A29"/>
      <selection pane="bottomLeft" activeCell="Y354" sqref="Y354"/>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9" width="10.85546875" style="429" hidden="1" customWidth="1" outlineLevel="1"/>
    <col min="10" max="11" width="10.42578125" style="429" hidden="1" customWidth="1" outlineLevel="1"/>
    <col min="12" max="12" width="11.140625" style="429" hidden="1" customWidth="1" outlineLevel="1"/>
    <col min="13" max="13" width="10.85546875" style="429" hidden="1" customWidth="1" outlineLevel="1"/>
    <col min="14" max="14" width="13.5703125" style="429" hidden="1" customWidth="1" outlineLevel="1"/>
    <col min="15" max="15" width="15.7109375" style="429" customWidth="1" collapsed="1"/>
    <col min="16" max="24" width="9.140625" style="429" hidden="1" customWidth="1" outlineLevel="1"/>
    <col min="25" max="25" width="16.5703125" style="429" customWidth="1" collapsed="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19"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19"/>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19"/>
      <c r="C16" s="801" t="s">
        <v>553</v>
      </c>
      <c r="D16" s="802"/>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19" t="s">
        <v>507</v>
      </c>
      <c r="C18" s="818" t="s">
        <v>682</v>
      </c>
      <c r="D18" s="818"/>
      <c r="E18" s="818"/>
      <c r="F18" s="818"/>
      <c r="G18" s="818"/>
      <c r="H18" s="818"/>
      <c r="I18" s="818"/>
      <c r="J18" s="818"/>
      <c r="K18" s="818"/>
      <c r="L18" s="818"/>
      <c r="M18" s="818"/>
      <c r="N18" s="818"/>
      <c r="O18" s="818"/>
      <c r="P18" s="818"/>
      <c r="Q18" s="818"/>
      <c r="R18" s="818"/>
      <c r="S18" s="818"/>
      <c r="T18" s="818"/>
      <c r="U18" s="818"/>
      <c r="V18" s="818"/>
      <c r="W18" s="818"/>
      <c r="X18" s="818"/>
      <c r="Y18" s="608"/>
      <c r="Z18" s="608"/>
      <c r="AA18" s="608"/>
      <c r="AB18" s="608"/>
      <c r="AC18" s="608"/>
      <c r="AD18" s="608"/>
      <c r="AE18" s="272"/>
      <c r="AF18" s="267"/>
      <c r="AG18" s="267"/>
      <c r="AH18" s="267"/>
      <c r="AI18" s="267"/>
      <c r="AJ18" s="267"/>
      <c r="AK18" s="267"/>
      <c r="AL18" s="267"/>
      <c r="AM18" s="267"/>
    </row>
    <row r="19" spans="2:39" ht="45.75" customHeight="1">
      <c r="B19" s="819"/>
      <c r="C19" s="818" t="s">
        <v>581</v>
      </c>
      <c r="D19" s="818"/>
      <c r="E19" s="818"/>
      <c r="F19" s="818"/>
      <c r="G19" s="818"/>
      <c r="H19" s="818"/>
      <c r="I19" s="818"/>
      <c r="J19" s="818"/>
      <c r="K19" s="818"/>
      <c r="L19" s="818"/>
      <c r="M19" s="818"/>
      <c r="N19" s="818"/>
      <c r="O19" s="818"/>
      <c r="P19" s="818"/>
      <c r="Q19" s="818"/>
      <c r="R19" s="818"/>
      <c r="S19" s="818"/>
      <c r="T19" s="818"/>
      <c r="U19" s="818"/>
      <c r="V19" s="818"/>
      <c r="W19" s="818"/>
      <c r="X19" s="818"/>
      <c r="Y19" s="608"/>
      <c r="Z19" s="608"/>
      <c r="AA19" s="608"/>
      <c r="AB19" s="608"/>
      <c r="AC19" s="608"/>
      <c r="AD19" s="608"/>
      <c r="AE19" s="272"/>
      <c r="AF19" s="267"/>
      <c r="AG19" s="267"/>
      <c r="AH19" s="267"/>
      <c r="AI19" s="267"/>
      <c r="AJ19" s="267"/>
      <c r="AK19" s="267"/>
      <c r="AL19" s="267"/>
      <c r="AM19" s="267"/>
    </row>
    <row r="20" spans="2:39" ht="62.25" customHeight="1">
      <c r="B20" s="275"/>
      <c r="C20" s="818" t="s">
        <v>579</v>
      </c>
      <c r="D20" s="818"/>
      <c r="E20" s="818"/>
      <c r="F20" s="818"/>
      <c r="G20" s="818"/>
      <c r="H20" s="818"/>
      <c r="I20" s="818"/>
      <c r="J20" s="818"/>
      <c r="K20" s="818"/>
      <c r="L20" s="818"/>
      <c r="M20" s="818"/>
      <c r="N20" s="818"/>
      <c r="O20" s="818"/>
      <c r="P20" s="818"/>
      <c r="Q20" s="818"/>
      <c r="R20" s="818"/>
      <c r="S20" s="818"/>
      <c r="T20" s="818"/>
      <c r="U20" s="818"/>
      <c r="V20" s="818"/>
      <c r="W20" s="818"/>
      <c r="X20" s="818"/>
      <c r="Y20" s="608"/>
      <c r="Z20" s="608"/>
      <c r="AA20" s="608"/>
      <c r="AB20" s="608"/>
      <c r="AC20" s="608"/>
      <c r="AD20" s="608"/>
      <c r="AE20" s="430"/>
      <c r="AF20" s="267"/>
      <c r="AG20" s="267"/>
      <c r="AH20" s="267"/>
      <c r="AI20" s="267"/>
      <c r="AJ20" s="267"/>
      <c r="AK20" s="267"/>
      <c r="AL20" s="267"/>
      <c r="AM20" s="267"/>
    </row>
    <row r="21" spans="2:39" ht="37.5" customHeight="1">
      <c r="B21" s="275"/>
      <c r="C21" s="818" t="s">
        <v>649</v>
      </c>
      <c r="D21" s="818"/>
      <c r="E21" s="818"/>
      <c r="F21" s="818"/>
      <c r="G21" s="818"/>
      <c r="H21" s="818"/>
      <c r="I21" s="818"/>
      <c r="J21" s="818"/>
      <c r="K21" s="818"/>
      <c r="L21" s="818"/>
      <c r="M21" s="818"/>
      <c r="N21" s="818"/>
      <c r="O21" s="818"/>
      <c r="P21" s="818"/>
      <c r="Q21" s="818"/>
      <c r="R21" s="818"/>
      <c r="S21" s="818"/>
      <c r="T21" s="818"/>
      <c r="U21" s="818"/>
      <c r="V21" s="818"/>
      <c r="W21" s="818"/>
      <c r="X21" s="818"/>
      <c r="Y21" s="608"/>
      <c r="Z21" s="608"/>
      <c r="AA21" s="608"/>
      <c r="AB21" s="608"/>
      <c r="AC21" s="608"/>
      <c r="AD21" s="608"/>
      <c r="AE21" s="278"/>
      <c r="AF21" s="267"/>
      <c r="AG21" s="267"/>
      <c r="AH21" s="267"/>
      <c r="AI21" s="267"/>
      <c r="AJ21" s="267"/>
      <c r="AK21" s="267"/>
      <c r="AL21" s="267"/>
      <c r="AM21" s="267"/>
    </row>
    <row r="22" spans="2:39" ht="54.75" customHeight="1">
      <c r="B22" s="275"/>
      <c r="C22" s="818" t="s">
        <v>631</v>
      </c>
      <c r="D22" s="818"/>
      <c r="E22" s="818"/>
      <c r="F22" s="818"/>
      <c r="G22" s="818"/>
      <c r="H22" s="818"/>
      <c r="I22" s="818"/>
      <c r="J22" s="818"/>
      <c r="K22" s="818"/>
      <c r="L22" s="818"/>
      <c r="M22" s="818"/>
      <c r="N22" s="818"/>
      <c r="O22" s="818"/>
      <c r="P22" s="818"/>
      <c r="Q22" s="818"/>
      <c r="R22" s="818"/>
      <c r="S22" s="818"/>
      <c r="T22" s="818"/>
      <c r="U22" s="818"/>
      <c r="V22" s="818"/>
      <c r="W22" s="818"/>
      <c r="X22" s="818"/>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19" t="s">
        <v>529</v>
      </c>
      <c r="C24" s="59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19"/>
      <c r="C25" s="59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9" t="s">
        <v>212</v>
      </c>
      <c r="C34" s="811" t="s">
        <v>33</v>
      </c>
      <c r="D34" s="286" t="s">
        <v>424</v>
      </c>
      <c r="E34" s="813" t="s">
        <v>210</v>
      </c>
      <c r="F34" s="814"/>
      <c r="G34" s="814"/>
      <c r="H34" s="814"/>
      <c r="I34" s="814"/>
      <c r="J34" s="814"/>
      <c r="K34" s="814"/>
      <c r="L34" s="814"/>
      <c r="M34" s="815"/>
      <c r="N34" s="816" t="s">
        <v>214</v>
      </c>
      <c r="O34" s="286" t="s">
        <v>425</v>
      </c>
      <c r="P34" s="813" t="s">
        <v>213</v>
      </c>
      <c r="Q34" s="814"/>
      <c r="R34" s="814"/>
      <c r="S34" s="814"/>
      <c r="T34" s="814"/>
      <c r="U34" s="814"/>
      <c r="V34" s="814"/>
      <c r="W34" s="814"/>
      <c r="X34" s="815"/>
      <c r="Y34" s="806" t="s">
        <v>244</v>
      </c>
      <c r="Z34" s="807"/>
      <c r="AA34" s="807"/>
      <c r="AB34" s="807"/>
      <c r="AC34" s="807"/>
      <c r="AD34" s="807"/>
      <c r="AE34" s="807"/>
      <c r="AF34" s="807"/>
      <c r="AG34" s="807"/>
      <c r="AH34" s="807"/>
      <c r="AI34" s="807"/>
      <c r="AJ34" s="807"/>
      <c r="AK34" s="807"/>
      <c r="AL34" s="807"/>
      <c r="AM34" s="808"/>
    </row>
    <row r="35" spans="1:39" ht="65.25" customHeight="1">
      <c r="B35" s="810"/>
      <c r="C35" s="812"/>
      <c r="D35" s="287">
        <v>2015</v>
      </c>
      <c r="E35" s="287">
        <v>2016</v>
      </c>
      <c r="F35" s="287">
        <v>2017</v>
      </c>
      <c r="G35" s="287">
        <v>2018</v>
      </c>
      <c r="H35" s="287">
        <v>2019</v>
      </c>
      <c r="I35" s="287">
        <v>2020</v>
      </c>
      <c r="J35" s="287">
        <v>2021</v>
      </c>
      <c r="K35" s="287">
        <v>2022</v>
      </c>
      <c r="L35" s="287">
        <v>2023</v>
      </c>
      <c r="M35" s="431">
        <v>2024</v>
      </c>
      <c r="N35" s="817"/>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GS&gt;50-4999 kW</v>
      </c>
      <c r="AB35" s="287" t="str">
        <f>'1.  LRAMVA Summary'!G50</f>
        <v>USL</v>
      </c>
      <c r="AC35" s="287" t="str">
        <f>'1.  LRAMVA Summary'!H50</f>
        <v>Sentinel Lighting</v>
      </c>
      <c r="AD35" s="287" t="str">
        <f>'1.  LRAMVA Summary'!I50</f>
        <v>Street Lighting</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kWh</v>
      </c>
      <c r="AC36" s="293" t="str">
        <f>'1.  LRAMVA Summary'!H51</f>
        <v>kW</v>
      </c>
      <c r="AD36" s="293" t="str">
        <f>'1.  LRAMVA Summary'!I51</f>
        <v>kW</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273934</v>
      </c>
      <c r="E38" s="297">
        <f>'7.  Persistence Report'!AV27</f>
        <v>0</v>
      </c>
      <c r="F38" s="297">
        <f>'7.  Persistence Report'!AW27</f>
        <v>0</v>
      </c>
      <c r="G38" s="297">
        <f>'7.  Persistence Report'!AX27</f>
        <v>0</v>
      </c>
      <c r="H38" s="297">
        <f>'7.  Persistence Report'!AY27</f>
        <v>0</v>
      </c>
      <c r="I38" s="297">
        <f>'7.  Persistence Report'!AZ27</f>
        <v>0</v>
      </c>
      <c r="J38" s="297">
        <f>'7.  Persistence Report'!BA27</f>
        <v>0</v>
      </c>
      <c r="K38" s="297">
        <f>'7.  Persistence Report'!BB27</f>
        <v>0</v>
      </c>
      <c r="L38" s="297">
        <f>'7.  Persistence Report'!BC27</f>
        <v>0</v>
      </c>
      <c r="M38" s="297">
        <f>'7.  Persistence Report'!BD27</f>
        <v>0</v>
      </c>
      <c r="N38" s="293"/>
      <c r="O38" s="297">
        <v>18</v>
      </c>
      <c r="P38" s="297">
        <f>'7.  Persistence Report'!Q27</f>
        <v>0</v>
      </c>
      <c r="Q38" s="297">
        <f>'7.  Persistence Report'!R27</f>
        <v>0</v>
      </c>
      <c r="R38" s="297">
        <f>'7.  Persistence Report'!S27</f>
        <v>0</v>
      </c>
      <c r="S38" s="297">
        <f>'7.  Persistence Report'!T27</f>
        <v>0</v>
      </c>
      <c r="T38" s="297">
        <f>'7.  Persistence Report'!U27</f>
        <v>0</v>
      </c>
      <c r="U38" s="297">
        <f>'7.  Persistence Report'!V27</f>
        <v>0</v>
      </c>
      <c r="V38" s="297">
        <f>'7.  Persistence Report'!W27</f>
        <v>0</v>
      </c>
      <c r="W38" s="297">
        <f>'7.  Persistence Report'!X27</f>
        <v>0</v>
      </c>
      <c r="X38" s="297">
        <f>'7.  Persistence Report'!Y27</f>
        <v>0</v>
      </c>
      <c r="Y38" s="412">
        <v>1</v>
      </c>
      <c r="Z38" s="412"/>
      <c r="AA38" s="412"/>
      <c r="AB38" s="412"/>
      <c r="AC38" s="412"/>
      <c r="AD38" s="412"/>
      <c r="AE38" s="412"/>
      <c r="AF38" s="412"/>
      <c r="AG38" s="412"/>
      <c r="AH38" s="412"/>
      <c r="AI38" s="412"/>
      <c r="AJ38" s="412"/>
      <c r="AK38" s="412"/>
      <c r="AL38" s="412"/>
      <c r="AM38" s="298">
        <f>SUM(Y38:AL38)</f>
        <v>1</v>
      </c>
    </row>
    <row r="39" spans="1:39" outlineLevel="1">
      <c r="B39" s="296" t="s">
        <v>268</v>
      </c>
      <c r="C39" s="293" t="s">
        <v>164</v>
      </c>
      <c r="D39" s="297"/>
      <c r="E39" s="297"/>
      <c r="F39" s="297"/>
      <c r="G39" s="297"/>
      <c r="H39" s="297"/>
      <c r="I39" s="297"/>
      <c r="J39" s="297"/>
      <c r="K39" s="297"/>
      <c r="L39" s="297"/>
      <c r="M39" s="297"/>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499360</v>
      </c>
      <c r="E41" s="297">
        <f>'7.  Persistence Report'!AV28</f>
        <v>0</v>
      </c>
      <c r="F41" s="297">
        <f>'7.  Persistence Report'!AW28</f>
        <v>0</v>
      </c>
      <c r="G41" s="297">
        <f>'7.  Persistence Report'!AX28</f>
        <v>0</v>
      </c>
      <c r="H41" s="297">
        <f>'7.  Persistence Report'!AY28</f>
        <v>0</v>
      </c>
      <c r="I41" s="297">
        <f>'7.  Persistence Report'!AZ28</f>
        <v>0</v>
      </c>
      <c r="J41" s="297">
        <f>'7.  Persistence Report'!BA28</f>
        <v>0</v>
      </c>
      <c r="K41" s="297">
        <f>'7.  Persistence Report'!BB28</f>
        <v>0</v>
      </c>
      <c r="L41" s="297">
        <f>'7.  Persistence Report'!BC28</f>
        <v>0</v>
      </c>
      <c r="M41" s="297">
        <f>'7.  Persistence Report'!BD28</f>
        <v>0</v>
      </c>
      <c r="N41" s="293"/>
      <c r="O41" s="297">
        <v>34</v>
      </c>
      <c r="P41" s="297">
        <f>'7.  Persistence Report'!P28</f>
        <v>0</v>
      </c>
      <c r="Q41" s="297">
        <f>'7.  Persistence Report'!Q28</f>
        <v>0</v>
      </c>
      <c r="R41" s="297">
        <f>'7.  Persistence Report'!R28</f>
        <v>0</v>
      </c>
      <c r="S41" s="297">
        <f>'7.  Persistence Report'!S28</f>
        <v>0</v>
      </c>
      <c r="T41" s="297">
        <f>'7.  Persistence Report'!T28</f>
        <v>0</v>
      </c>
      <c r="U41" s="297">
        <f>'7.  Persistence Report'!U28</f>
        <v>0</v>
      </c>
      <c r="V41" s="297">
        <f>'7.  Persistence Report'!V28</f>
        <v>0</v>
      </c>
      <c r="W41" s="297">
        <f>'7.  Persistence Report'!W28</f>
        <v>0</v>
      </c>
      <c r="X41" s="297">
        <f>'7.  Persistence Report'!X28</f>
        <v>0</v>
      </c>
      <c r="Y41" s="412">
        <v>1</v>
      </c>
      <c r="Z41" s="412"/>
      <c r="AA41" s="412"/>
      <c r="AB41" s="412"/>
      <c r="AC41" s="412"/>
      <c r="AD41" s="412"/>
      <c r="AE41" s="412"/>
      <c r="AF41" s="412"/>
      <c r="AG41" s="412"/>
      <c r="AH41" s="412"/>
      <c r="AI41" s="412"/>
      <c r="AJ41" s="412"/>
      <c r="AK41" s="412"/>
      <c r="AL41" s="412"/>
      <c r="AM41" s="298">
        <f>SUM(Y41:AL41)</f>
        <v>1</v>
      </c>
    </row>
    <row r="42" spans="1:39" outlineLevel="1">
      <c r="B42" s="296" t="s">
        <v>268</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104105</v>
      </c>
      <c r="E44" s="297">
        <f>'7.  Persistence Report'!AV29</f>
        <v>0</v>
      </c>
      <c r="F44" s="297">
        <f>'7.  Persistence Report'!AW29</f>
        <v>0</v>
      </c>
      <c r="G44" s="297">
        <f>'7.  Persistence Report'!AX29</f>
        <v>0</v>
      </c>
      <c r="H44" s="297">
        <f>'7.  Persistence Report'!AY29</f>
        <v>0</v>
      </c>
      <c r="I44" s="297">
        <f>'7.  Persistence Report'!AZ29</f>
        <v>0</v>
      </c>
      <c r="J44" s="297">
        <f>'7.  Persistence Report'!BA29</f>
        <v>0</v>
      </c>
      <c r="K44" s="297">
        <f>'7.  Persistence Report'!BB29</f>
        <v>0</v>
      </c>
      <c r="L44" s="297">
        <f>'7.  Persistence Report'!BC29</f>
        <v>0</v>
      </c>
      <c r="M44" s="297">
        <f>'7.  Persistence Report'!BD29</f>
        <v>0</v>
      </c>
      <c r="N44" s="293"/>
      <c r="O44" s="297">
        <v>16</v>
      </c>
      <c r="P44" s="297">
        <f>'7.  Persistence Report'!P29</f>
        <v>0</v>
      </c>
      <c r="Q44" s="297">
        <f>'7.  Persistence Report'!Q29</f>
        <v>0</v>
      </c>
      <c r="R44" s="297">
        <f>'7.  Persistence Report'!R29</f>
        <v>0</v>
      </c>
      <c r="S44" s="297">
        <f>'7.  Persistence Report'!S29</f>
        <v>0</v>
      </c>
      <c r="T44" s="297">
        <f>'7.  Persistence Report'!T29</f>
        <v>0</v>
      </c>
      <c r="U44" s="297">
        <f>'7.  Persistence Report'!U29</f>
        <v>0</v>
      </c>
      <c r="V44" s="297">
        <f>'7.  Persistence Report'!V29</f>
        <v>0</v>
      </c>
      <c r="W44" s="297">
        <f>'7.  Persistence Report'!W29</f>
        <v>0</v>
      </c>
      <c r="X44" s="297">
        <f>'7.  Persistence Report'!X29</f>
        <v>0</v>
      </c>
      <c r="Y44" s="412">
        <v>1</v>
      </c>
      <c r="Z44" s="412"/>
      <c r="AA44" s="412"/>
      <c r="AB44" s="412"/>
      <c r="AC44" s="412"/>
      <c r="AD44" s="412"/>
      <c r="AE44" s="412"/>
      <c r="AF44" s="412"/>
      <c r="AG44" s="412"/>
      <c r="AH44" s="412"/>
      <c r="AI44" s="412"/>
      <c r="AJ44" s="412"/>
      <c r="AK44" s="412"/>
      <c r="AL44" s="412"/>
      <c r="AM44" s="298">
        <f>SUM(Y44:AL44)</f>
        <v>1</v>
      </c>
    </row>
    <row r="45" spans="1:39" outlineLevel="1">
      <c r="B45" s="296" t="s">
        <v>268</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111458</v>
      </c>
      <c r="E47" s="297">
        <f>'7.  Persistence Report'!AV30</f>
        <v>0</v>
      </c>
      <c r="F47" s="297">
        <f>'7.  Persistence Report'!AW30</f>
        <v>0</v>
      </c>
      <c r="G47" s="297">
        <f>'7.  Persistence Report'!AX30</f>
        <v>0</v>
      </c>
      <c r="H47" s="297">
        <f>'7.  Persistence Report'!AY30</f>
        <v>0</v>
      </c>
      <c r="I47" s="297">
        <f>'7.  Persistence Report'!AZ30</f>
        <v>0</v>
      </c>
      <c r="J47" s="297">
        <f>'7.  Persistence Report'!BA30</f>
        <v>0</v>
      </c>
      <c r="K47" s="297">
        <f>'7.  Persistence Report'!BB30</f>
        <v>0</v>
      </c>
      <c r="L47" s="297">
        <f>'7.  Persistence Report'!BC30</f>
        <v>0</v>
      </c>
      <c r="M47" s="297">
        <f>'7.  Persistence Report'!BD30</f>
        <v>0</v>
      </c>
      <c r="N47" s="293"/>
      <c r="O47" s="297">
        <v>56</v>
      </c>
      <c r="P47" s="297">
        <f>'7.  Persistence Report'!P30</f>
        <v>0</v>
      </c>
      <c r="Q47" s="297">
        <f>'7.  Persistence Report'!Q30</f>
        <v>0</v>
      </c>
      <c r="R47" s="297">
        <f>'7.  Persistence Report'!R30</f>
        <v>0</v>
      </c>
      <c r="S47" s="297">
        <f>'7.  Persistence Report'!S30</f>
        <v>0</v>
      </c>
      <c r="T47" s="297">
        <f>'7.  Persistence Report'!T30</f>
        <v>0</v>
      </c>
      <c r="U47" s="297">
        <f>'7.  Persistence Report'!U30</f>
        <v>0</v>
      </c>
      <c r="V47" s="297">
        <f>'7.  Persistence Report'!V30</f>
        <v>0</v>
      </c>
      <c r="W47" s="297">
        <f>'7.  Persistence Report'!W30</f>
        <v>0</v>
      </c>
      <c r="X47" s="297">
        <f>'7.  Persistence Report'!X30</f>
        <v>0</v>
      </c>
      <c r="Y47" s="412">
        <v>1</v>
      </c>
      <c r="Z47" s="412"/>
      <c r="AA47" s="412"/>
      <c r="AB47" s="412"/>
      <c r="AC47" s="412"/>
      <c r="AD47" s="412"/>
      <c r="AE47" s="412"/>
      <c r="AF47" s="412"/>
      <c r="AG47" s="412"/>
      <c r="AH47" s="412"/>
      <c r="AI47" s="412"/>
      <c r="AJ47" s="412"/>
      <c r="AK47" s="412"/>
      <c r="AL47" s="412"/>
      <c r="AM47" s="298">
        <f>SUM(Y47:AL47)</f>
        <v>1</v>
      </c>
    </row>
    <row r="48" spans="1:39" outlineLevel="1">
      <c r="B48" s="296" t="s">
        <v>268</v>
      </c>
      <c r="C48" s="293" t="s">
        <v>164</v>
      </c>
      <c r="D48" s="297"/>
      <c r="E48" s="297"/>
      <c r="F48" s="297"/>
      <c r="G48" s="297"/>
      <c r="H48" s="297"/>
      <c r="I48" s="297"/>
      <c r="J48" s="297"/>
      <c r="K48" s="297"/>
      <c r="L48" s="297"/>
      <c r="M48" s="297"/>
      <c r="N48" s="470"/>
      <c r="O48" s="297"/>
      <c r="P48" s="297"/>
      <c r="Q48" s="297"/>
      <c r="R48" s="297"/>
      <c r="S48" s="297"/>
      <c r="T48" s="297"/>
      <c r="U48" s="297"/>
      <c r="V48" s="297"/>
      <c r="W48" s="297"/>
      <c r="X48" s="297"/>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v>1</v>
      </c>
      <c r="Z50" s="412"/>
      <c r="AA50" s="412"/>
      <c r="AB50" s="412"/>
      <c r="AC50" s="412"/>
      <c r="AD50" s="412"/>
      <c r="AE50" s="412"/>
      <c r="AF50" s="412"/>
      <c r="AG50" s="412"/>
      <c r="AH50" s="412"/>
      <c r="AI50" s="412"/>
      <c r="AJ50" s="412"/>
      <c r="AK50" s="412"/>
      <c r="AL50" s="412"/>
      <c r="AM50" s="298">
        <f>SUM(Y50:AL50)</f>
        <v>1</v>
      </c>
    </row>
    <row r="51" spans="1:39" outlineLevel="1">
      <c r="B51" s="296" t="s">
        <v>268</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1</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v>71271</v>
      </c>
      <c r="E54" s="297">
        <f>'7.  Persistence Report'!AV32</f>
        <v>0</v>
      </c>
      <c r="F54" s="297">
        <f>'7.  Persistence Report'!AW32</f>
        <v>0</v>
      </c>
      <c r="G54" s="297">
        <f>'7.  Persistence Report'!AX32</f>
        <v>0</v>
      </c>
      <c r="H54" s="297">
        <f>'7.  Persistence Report'!AY32</f>
        <v>0</v>
      </c>
      <c r="I54" s="297">
        <f>'7.  Persistence Report'!AZ32</f>
        <v>0</v>
      </c>
      <c r="J54" s="297">
        <f>'7.  Persistence Report'!BA32</f>
        <v>0</v>
      </c>
      <c r="K54" s="297">
        <f>'7.  Persistence Report'!BB32</f>
        <v>0</v>
      </c>
      <c r="L54" s="297">
        <f>'7.  Persistence Report'!BC32</f>
        <v>0</v>
      </c>
      <c r="M54" s="297">
        <f>'7.  Persistence Report'!BD32</f>
        <v>0</v>
      </c>
      <c r="N54" s="297">
        <v>12</v>
      </c>
      <c r="O54" s="297">
        <v>15</v>
      </c>
      <c r="P54" s="297">
        <f>'7.  Persistence Report'!P32</f>
        <v>0</v>
      </c>
      <c r="Q54" s="297">
        <f>'7.  Persistence Report'!Q32</f>
        <v>0</v>
      </c>
      <c r="R54" s="297">
        <f>'7.  Persistence Report'!R32</f>
        <v>0</v>
      </c>
      <c r="S54" s="297">
        <f>'7.  Persistence Report'!S32</f>
        <v>0</v>
      </c>
      <c r="T54" s="297">
        <f>'7.  Persistence Report'!T32</f>
        <v>0</v>
      </c>
      <c r="U54" s="297">
        <f>'7.  Persistence Report'!U32</f>
        <v>0</v>
      </c>
      <c r="V54" s="297">
        <f>'7.  Persistence Report'!V32</f>
        <v>0</v>
      </c>
      <c r="W54" s="297">
        <f>'7.  Persistence Report'!W32</f>
        <v>0</v>
      </c>
      <c r="X54" s="297">
        <f>'7.  Persistence Report'!X32</f>
        <v>0</v>
      </c>
      <c r="Y54" s="417">
        <v>0</v>
      </c>
      <c r="Z54" s="412">
        <v>0</v>
      </c>
      <c r="AA54" s="412">
        <v>1</v>
      </c>
      <c r="AB54" s="412"/>
      <c r="AC54" s="412"/>
      <c r="AD54" s="412"/>
      <c r="AE54" s="412"/>
      <c r="AF54" s="417"/>
      <c r="AG54" s="417"/>
      <c r="AH54" s="417"/>
      <c r="AI54" s="417"/>
      <c r="AJ54" s="417"/>
      <c r="AK54" s="417"/>
      <c r="AL54" s="417"/>
      <c r="AM54" s="298">
        <f>SUM(Y54:AL54)</f>
        <v>1</v>
      </c>
    </row>
    <row r="55" spans="1:39"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1</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3065740</v>
      </c>
      <c r="E57" s="297">
        <f>'7.  Persistence Report'!AV33</f>
        <v>0</v>
      </c>
      <c r="F57" s="297">
        <f>'7.  Persistence Report'!AW33</f>
        <v>0</v>
      </c>
      <c r="G57" s="297">
        <f>'7.  Persistence Report'!AX33</f>
        <v>0</v>
      </c>
      <c r="H57" s="297">
        <f>'7.  Persistence Report'!AY33</f>
        <v>0</v>
      </c>
      <c r="I57" s="297">
        <f>'7.  Persistence Report'!AZ33</f>
        <v>0</v>
      </c>
      <c r="J57" s="297">
        <f>'7.  Persistence Report'!BA33</f>
        <v>0</v>
      </c>
      <c r="K57" s="297">
        <f>'7.  Persistence Report'!BB33</f>
        <v>0</v>
      </c>
      <c r="L57" s="297">
        <f>'7.  Persistence Report'!BC33</f>
        <v>0</v>
      </c>
      <c r="M57" s="297">
        <f>'7.  Persistence Report'!BD33</f>
        <v>0</v>
      </c>
      <c r="N57" s="297">
        <v>12</v>
      </c>
      <c r="O57" s="297">
        <v>169</v>
      </c>
      <c r="P57" s="297">
        <f>'7.  Persistence Report'!P33</f>
        <v>0</v>
      </c>
      <c r="Q57" s="297">
        <f>'7.  Persistence Report'!Q33</f>
        <v>0</v>
      </c>
      <c r="R57" s="297">
        <f>'7.  Persistence Report'!R33</f>
        <v>0</v>
      </c>
      <c r="S57" s="297">
        <f>'7.  Persistence Report'!S33</f>
        <v>0</v>
      </c>
      <c r="T57" s="297">
        <f>'7.  Persistence Report'!T33</f>
        <v>0</v>
      </c>
      <c r="U57" s="297">
        <f>'7.  Persistence Report'!U33</f>
        <v>0</v>
      </c>
      <c r="V57" s="297">
        <f>'7.  Persistence Report'!V33</f>
        <v>0</v>
      </c>
      <c r="W57" s="297">
        <f>'7.  Persistence Report'!W33</f>
        <v>0</v>
      </c>
      <c r="X57" s="297">
        <f>'7.  Persistence Report'!X33</f>
        <v>0</v>
      </c>
      <c r="Y57" s="417">
        <v>0</v>
      </c>
      <c r="Z57" s="412">
        <v>0.96699999999999997</v>
      </c>
      <c r="AA57" s="412">
        <v>3.3000000000000002E-2</v>
      </c>
      <c r="AB57" s="412"/>
      <c r="AC57" s="535"/>
      <c r="AD57" s="412"/>
      <c r="AE57" s="412"/>
      <c r="AF57" s="417"/>
      <c r="AG57" s="417"/>
      <c r="AH57" s="417"/>
      <c r="AI57" s="417"/>
      <c r="AJ57" s="417"/>
      <c r="AK57" s="417"/>
      <c r="AL57" s="417"/>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0.96699999999999997</v>
      </c>
      <c r="AA58" s="413">
        <f t="shared" ref="AA58" si="66">AA57</f>
        <v>3.3000000000000002E-2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338977</v>
      </c>
      <c r="E60" s="297">
        <f>'7.  Persistence Report'!AV34</f>
        <v>0</v>
      </c>
      <c r="F60" s="297">
        <f>'7.  Persistence Report'!AW34</f>
        <v>0</v>
      </c>
      <c r="G60" s="297">
        <f>'7.  Persistence Report'!AX34</f>
        <v>0</v>
      </c>
      <c r="H60" s="297">
        <f>'7.  Persistence Report'!AY34</f>
        <v>0</v>
      </c>
      <c r="I60" s="297">
        <f>'7.  Persistence Report'!AZ34</f>
        <v>0</v>
      </c>
      <c r="J60" s="297">
        <f>'7.  Persistence Report'!BA34</f>
        <v>0</v>
      </c>
      <c r="K60" s="297">
        <f>'7.  Persistence Report'!BB34</f>
        <v>0</v>
      </c>
      <c r="L60" s="297">
        <f>'7.  Persistence Report'!BC34</f>
        <v>0</v>
      </c>
      <c r="M60" s="297">
        <f>'7.  Persistence Report'!BD34</f>
        <v>0</v>
      </c>
      <c r="N60" s="297">
        <v>12</v>
      </c>
      <c r="O60" s="297">
        <v>79</v>
      </c>
      <c r="P60" s="297">
        <f>'7.  Persistence Report'!P34</f>
        <v>0</v>
      </c>
      <c r="Q60" s="297">
        <f>'7.  Persistence Report'!Q34</f>
        <v>0</v>
      </c>
      <c r="R60" s="297">
        <f>'7.  Persistence Report'!R34</f>
        <v>0</v>
      </c>
      <c r="S60" s="297">
        <f>'7.  Persistence Report'!S34</f>
        <v>0</v>
      </c>
      <c r="T60" s="297">
        <f>'7.  Persistence Report'!T34</f>
        <v>0</v>
      </c>
      <c r="U60" s="297">
        <f>'7.  Persistence Report'!U34</f>
        <v>0</v>
      </c>
      <c r="V60" s="297">
        <f>'7.  Persistence Report'!V34</f>
        <v>0</v>
      </c>
      <c r="W60" s="297">
        <f>'7.  Persistence Report'!W34</f>
        <v>0</v>
      </c>
      <c r="X60" s="297">
        <f>'7.  Persistence Report'!X34</f>
        <v>0</v>
      </c>
      <c r="Y60" s="417">
        <v>0</v>
      </c>
      <c r="Z60" s="412">
        <v>1</v>
      </c>
      <c r="AA60" s="412">
        <v>0</v>
      </c>
      <c r="AB60" s="412"/>
      <c r="AC60" s="412"/>
      <c r="AD60" s="412"/>
      <c r="AE60" s="412"/>
      <c r="AF60" s="417"/>
      <c r="AG60" s="417"/>
      <c r="AH60" s="417"/>
      <c r="AI60" s="417"/>
      <c r="AJ60" s="417"/>
      <c r="AK60" s="417"/>
      <c r="AL60" s="417"/>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v>26381</v>
      </c>
      <c r="E63" s="297">
        <f>'7.  Persistence Report'!AV35</f>
        <v>0</v>
      </c>
      <c r="F63" s="297">
        <f>'7.  Persistence Report'!AW35</f>
        <v>0</v>
      </c>
      <c r="G63" s="297">
        <f>'7.  Persistence Report'!AX35</f>
        <v>0</v>
      </c>
      <c r="H63" s="297">
        <f>'7.  Persistence Report'!AY35</f>
        <v>0</v>
      </c>
      <c r="I63" s="297">
        <f>'7.  Persistence Report'!AZ35</f>
        <v>0</v>
      </c>
      <c r="J63" s="297">
        <f>'7.  Persistence Report'!BA35</f>
        <v>0</v>
      </c>
      <c r="K63" s="297">
        <f>'7.  Persistence Report'!BB35</f>
        <v>0</v>
      </c>
      <c r="L63" s="297">
        <f>'7.  Persistence Report'!BC35</f>
        <v>0</v>
      </c>
      <c r="M63" s="297">
        <f>'7.  Persistence Report'!BD35</f>
        <v>0</v>
      </c>
      <c r="N63" s="297">
        <v>12</v>
      </c>
      <c r="O63" s="297">
        <v>5</v>
      </c>
      <c r="P63" s="297">
        <f>'7.  Persistence Report'!P35</f>
        <v>0</v>
      </c>
      <c r="Q63" s="297">
        <f>'7.  Persistence Report'!Q35</f>
        <v>0</v>
      </c>
      <c r="R63" s="297">
        <f>'7.  Persistence Report'!R35</f>
        <v>0</v>
      </c>
      <c r="S63" s="297">
        <f>'7.  Persistence Report'!S35</f>
        <v>0</v>
      </c>
      <c r="T63" s="297">
        <f>'7.  Persistence Report'!T35</f>
        <v>0</v>
      </c>
      <c r="U63" s="297">
        <f>'7.  Persistence Report'!U35</f>
        <v>0</v>
      </c>
      <c r="V63" s="297">
        <f>'7.  Persistence Report'!V35</f>
        <v>0</v>
      </c>
      <c r="W63" s="297">
        <f>'7.  Persistence Report'!W35</f>
        <v>0</v>
      </c>
      <c r="X63" s="297">
        <f>'7.  Persistence Report'!X35</f>
        <v>0</v>
      </c>
      <c r="Y63" s="417">
        <v>0</v>
      </c>
      <c r="Z63" s="412">
        <v>1</v>
      </c>
      <c r="AA63" s="412">
        <v>0</v>
      </c>
      <c r="AB63" s="412"/>
      <c r="AC63" s="412"/>
      <c r="AD63" s="412"/>
      <c r="AE63" s="412"/>
      <c r="AF63" s="417"/>
      <c r="AG63" s="417"/>
      <c r="AH63" s="417"/>
      <c r="AI63" s="417"/>
      <c r="AJ63" s="417"/>
      <c r="AK63" s="417"/>
      <c r="AL63" s="417"/>
      <c r="AM63" s="298">
        <f>SUM(Y63:AL63)</f>
        <v>1</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1</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154396</v>
      </c>
      <c r="E80" s="297">
        <f>'7.  Persistence Report'!AV40</f>
        <v>0</v>
      </c>
      <c r="F80" s="297">
        <f>'7.  Persistence Report'!AW40</f>
        <v>0</v>
      </c>
      <c r="G80" s="297">
        <f>'7.  Persistence Report'!AX40</f>
        <v>0</v>
      </c>
      <c r="H80" s="297">
        <f>'7.  Persistence Report'!AY40</f>
        <v>0</v>
      </c>
      <c r="I80" s="297">
        <f>'7.  Persistence Report'!AZ40</f>
        <v>0</v>
      </c>
      <c r="J80" s="297">
        <f>'7.  Persistence Report'!BA40</f>
        <v>0</v>
      </c>
      <c r="K80" s="297">
        <f>'7.  Persistence Report'!BB40</f>
        <v>0</v>
      </c>
      <c r="L80" s="297">
        <f>'7.  Persistence Report'!BC40</f>
        <v>0</v>
      </c>
      <c r="M80" s="297">
        <f>'7.  Persistence Report'!BD40</f>
        <v>0</v>
      </c>
      <c r="N80" s="297">
        <v>12</v>
      </c>
      <c r="O80" s="297">
        <v>16</v>
      </c>
      <c r="P80" s="297">
        <f>'7.  Persistence Report'!Q40</f>
        <v>0</v>
      </c>
      <c r="Q80" s="297">
        <f>'7.  Persistence Report'!R40</f>
        <v>0</v>
      </c>
      <c r="R80" s="297">
        <f>'7.  Persistence Report'!S40</f>
        <v>0</v>
      </c>
      <c r="S80" s="297">
        <f>'7.  Persistence Report'!T40</f>
        <v>0</v>
      </c>
      <c r="T80" s="297">
        <f>'7.  Persistence Report'!U40</f>
        <v>0</v>
      </c>
      <c r="U80" s="297">
        <f>'7.  Persistence Report'!V40</f>
        <v>0</v>
      </c>
      <c r="V80" s="297">
        <f>'7.  Persistence Report'!W40</f>
        <v>0</v>
      </c>
      <c r="W80" s="297">
        <f>'7.  Persistence Report'!X40</f>
        <v>0</v>
      </c>
      <c r="X80" s="297">
        <f>'7.  Persistence Report'!Y40</f>
        <v>0</v>
      </c>
      <c r="Y80" s="535">
        <v>1</v>
      </c>
      <c r="Z80" s="412"/>
      <c r="AA80" s="412"/>
      <c r="AB80" s="412"/>
      <c r="AC80" s="412"/>
      <c r="AD80" s="412"/>
      <c r="AE80" s="412"/>
      <c r="AF80" s="412"/>
      <c r="AG80" s="412"/>
      <c r="AH80" s="412"/>
      <c r="AI80" s="412"/>
      <c r="AJ80" s="412"/>
      <c r="AK80" s="412"/>
      <c r="AL80" s="412"/>
      <c r="AM80" s="298">
        <f>SUM(Y80:AL80)</f>
        <v>1</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272</v>
      </c>
      <c r="C195" s="331"/>
      <c r="D195" s="331">
        <f>SUM(D38:D193)</f>
        <v>4645622</v>
      </c>
      <c r="E195" s="331"/>
      <c r="F195" s="331"/>
      <c r="G195" s="331"/>
      <c r="H195" s="331"/>
      <c r="I195" s="331"/>
      <c r="J195" s="331"/>
      <c r="K195" s="331"/>
      <c r="L195" s="331"/>
      <c r="M195" s="331"/>
      <c r="N195" s="331"/>
      <c r="O195" s="331">
        <f>SUM(O38:O193)</f>
        <v>408</v>
      </c>
      <c r="P195" s="331"/>
      <c r="Q195" s="331"/>
      <c r="R195" s="331"/>
      <c r="S195" s="331"/>
      <c r="T195" s="331"/>
      <c r="U195" s="331"/>
      <c r="V195" s="331"/>
      <c r="W195" s="331"/>
      <c r="X195" s="331"/>
      <c r="Y195" s="331">
        <f>IF(Y36="kWh",SUMPRODUCT(D38:D193,Y38:Y193))</f>
        <v>1143253</v>
      </c>
      <c r="Z195" s="331">
        <f>IF(Z36="kWh",SUMPRODUCT(D38:D193,Z38:Z193))</f>
        <v>3329928.58</v>
      </c>
      <c r="AA195" s="331">
        <f>IF(AA36="kw",SUMPRODUCT(N38:N193,O38:O193,AA38:AA193),SUMPRODUCT(D38:D193,AA38:AA193))</f>
        <v>246.92400000000001</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2967510.0864586178</v>
      </c>
      <c r="Z196" s="394">
        <f>HLOOKUP(Z35,'2. LRAMVA Threshold'!$B$42:$Q$53,7,FALSE)</f>
        <v>943189.86180872004</v>
      </c>
      <c r="AA196" s="394">
        <f>HLOOKUP(AA35,'2. LRAMVA Threshold'!$B$42:$Q$53,7,FALSE)</f>
        <v>1253.27</v>
      </c>
      <c r="AB196" s="394">
        <f>HLOOKUP(AB35,'2. LRAMVA Threshold'!$B$42:$Q$53,7,FALSE)</f>
        <v>3964.4865764612568</v>
      </c>
      <c r="AC196" s="394">
        <f>HLOOKUP(AC35,'2. LRAMVA Threshold'!$B$42:$Q$53,7,FALSE)</f>
        <v>0.04</v>
      </c>
      <c r="AD196" s="394">
        <f>HLOOKUP(AD35,'2. LRAMVA Threshold'!$B$42:$Q$53,7,FALSE)</f>
        <v>39.69</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1.5699999999999999E-2</v>
      </c>
      <c r="Z198" s="343">
        <f>HLOOKUP(Z$35,'3.  Distribution Rates'!$C$122:$P$133,7,FALSE)</f>
        <v>1.09E-2</v>
      </c>
      <c r="AA198" s="343">
        <f>HLOOKUP(AA$35,'3.  Distribution Rates'!$C$122:$P$133,7,FALSE)</f>
        <v>2.0989</v>
      </c>
      <c r="AB198" s="343">
        <f>HLOOKUP(AB$35,'3.  Distribution Rates'!$C$122:$P$133,7,FALSE)</f>
        <v>2.3E-2</v>
      </c>
      <c r="AC198" s="343">
        <f>HLOOKUP(AC$35,'3.  Distribution Rates'!$C$122:$P$133,7,FALSE)</f>
        <v>28.635000000000002</v>
      </c>
      <c r="AD198" s="343">
        <f>HLOOKUP(AD$35,'3.  Distribution Rates'!$C$122:$P$133,7,FALSE)</f>
        <v>4.8631000000000002</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10945.857520918955</v>
      </c>
      <c r="Z199" s="380">
        <f>'4.  2011-2014 LRAM'!Z138*Z198</f>
        <v>11358.555363058074</v>
      </c>
      <c r="AA199" s="380">
        <f>'4.  2011-2014 LRAM'!AA138*AA198</f>
        <v>65.198230979961139</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22369.611114956988</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6347.4203486663746</v>
      </c>
      <c r="Z200" s="380">
        <f>'4.  2011-2014 LRAM'!Z267*Z198</f>
        <v>18010.551186443223</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24357.971535109598</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7286.4889646811207</v>
      </c>
      <c r="Z201" s="380">
        <f>'4.  2011-2014 LRAM'!Z396*Z198</f>
        <v>16501.007867715442</v>
      </c>
      <c r="AA201" s="380">
        <f>'4.  2011-2014 LRAM'!AA396*AA198</f>
        <v>110.98156178408819</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23898.478394180649</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19195.604069880155</v>
      </c>
      <c r="Z202" s="380">
        <f>'4.  2011-2014 LRAM'!Z526*Z198</f>
        <v>18474.484336010202</v>
      </c>
      <c r="AA202" s="380">
        <f>'4.  2011-2014 LRAM'!AA526*AA198</f>
        <v>168.40871161136999</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37838.497117501734</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17949.072099999998</v>
      </c>
      <c r="Z203" s="380">
        <f t="shared" ref="Z203:AL203" si="553">Z195*Z198</f>
        <v>36296.221522</v>
      </c>
      <c r="AA203" s="380">
        <f t="shared" si="553"/>
        <v>518.26878360000001</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54763.562405599994</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61724.443004146604</v>
      </c>
      <c r="Z204" s="348">
        <f>SUM(Z199:Z203)</f>
        <v>100640.82027522694</v>
      </c>
      <c r="AA204" s="348">
        <f t="shared" ref="AA204:AE204" si="554">SUM(AA199:AA203)</f>
        <v>862.85728797541935</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163228.12056734896</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46589.908357400294</v>
      </c>
      <c r="Z205" s="349">
        <f t="shared" ref="Z205:AE205" si="556">Z196*Z198</f>
        <v>10280.769493715048</v>
      </c>
      <c r="AA205" s="349">
        <f t="shared" si="556"/>
        <v>2630.4884029999998</v>
      </c>
      <c r="AB205" s="349">
        <f t="shared" si="556"/>
        <v>91.1831912586089</v>
      </c>
      <c r="AC205" s="349">
        <f t="shared" si="556"/>
        <v>1.1454000000000002</v>
      </c>
      <c r="AD205" s="349">
        <f t="shared" si="556"/>
        <v>193.01643899999999</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59786.511284373948</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103441.60928297501</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0</v>
      </c>
      <c r="Z212" s="328">
        <f>SUMPRODUCT(I38:I193,Z38:Z193)</f>
        <v>0</v>
      </c>
      <c r="AA212" s="328">
        <f>IF(AA36="kw",SUMPRODUCT(N38:N193,T38:T193,AA38:AA193),SUMPRODUCT(I38:I193,AA38:AA193))</f>
        <v>0</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598</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2" t="s">
        <v>528</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9" t="s">
        <v>212</v>
      </c>
      <c r="C217" s="811" t="s">
        <v>33</v>
      </c>
      <c r="D217" s="286" t="s">
        <v>424</v>
      </c>
      <c r="E217" s="813" t="s">
        <v>210</v>
      </c>
      <c r="F217" s="814"/>
      <c r="G217" s="814"/>
      <c r="H217" s="814"/>
      <c r="I217" s="814"/>
      <c r="J217" s="814"/>
      <c r="K217" s="814"/>
      <c r="L217" s="814"/>
      <c r="M217" s="815"/>
      <c r="N217" s="816" t="s">
        <v>214</v>
      </c>
      <c r="O217" s="286" t="s">
        <v>425</v>
      </c>
      <c r="P217" s="813" t="s">
        <v>213</v>
      </c>
      <c r="Q217" s="814"/>
      <c r="R217" s="814"/>
      <c r="S217" s="814"/>
      <c r="T217" s="814"/>
      <c r="U217" s="814"/>
      <c r="V217" s="814"/>
      <c r="W217" s="814"/>
      <c r="X217" s="815"/>
      <c r="Y217" s="806" t="s">
        <v>244</v>
      </c>
      <c r="Z217" s="807"/>
      <c r="AA217" s="807"/>
      <c r="AB217" s="807"/>
      <c r="AC217" s="807"/>
      <c r="AD217" s="807"/>
      <c r="AE217" s="807"/>
      <c r="AF217" s="807"/>
      <c r="AG217" s="807"/>
      <c r="AH217" s="807"/>
      <c r="AI217" s="807"/>
      <c r="AJ217" s="807"/>
      <c r="AK217" s="807"/>
      <c r="AL217" s="807"/>
      <c r="AM217" s="808"/>
    </row>
    <row r="218" spans="1:39" ht="60.75" customHeight="1">
      <c r="B218" s="810"/>
      <c r="C218" s="812"/>
      <c r="D218" s="287">
        <v>2016</v>
      </c>
      <c r="E218" s="287">
        <v>2017</v>
      </c>
      <c r="F218" s="287">
        <v>2018</v>
      </c>
      <c r="G218" s="287">
        <v>2019</v>
      </c>
      <c r="H218" s="287">
        <v>2020</v>
      </c>
      <c r="I218" s="287">
        <v>2021</v>
      </c>
      <c r="J218" s="287">
        <v>2022</v>
      </c>
      <c r="K218" s="287">
        <v>2023</v>
      </c>
      <c r="L218" s="287">
        <v>2024</v>
      </c>
      <c r="M218" s="287">
        <v>2025</v>
      </c>
      <c r="N218" s="817"/>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GS&gt;50-4999 kW</v>
      </c>
      <c r="AB218" s="287" t="str">
        <f>'1.  LRAMVA Summary'!G50</f>
        <v>USL</v>
      </c>
      <c r="AC218" s="287" t="str">
        <f>'1.  LRAMVA Summary'!H50</f>
        <v>Sentinel Lighting</v>
      </c>
      <c r="AD218" s="287" t="str">
        <f>'1.  LRAMVA Summary'!I50</f>
        <v>Street Lighting</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kWh</v>
      </c>
      <c r="AC219" s="293" t="str">
        <f>'1.  LRAMVA Summary'!H51</f>
        <v>kW</v>
      </c>
      <c r="AD219" s="293" t="str">
        <f>'1.  LRAMVA Summary'!I51</f>
        <v>kW</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v>271429</v>
      </c>
      <c r="E221" s="297">
        <v>271429</v>
      </c>
      <c r="F221" s="297">
        <v>271429</v>
      </c>
      <c r="G221" s="297">
        <v>271429</v>
      </c>
      <c r="H221" s="297">
        <v>271429</v>
      </c>
      <c r="I221" s="297">
        <v>271429</v>
      </c>
      <c r="J221" s="297">
        <v>271371</v>
      </c>
      <c r="K221" s="297">
        <v>271371</v>
      </c>
      <c r="L221" s="297">
        <v>271371</v>
      </c>
      <c r="M221" s="297">
        <v>249685</v>
      </c>
      <c r="N221" s="293"/>
      <c r="O221" s="297"/>
      <c r="P221" s="297"/>
      <c r="Q221" s="297"/>
      <c r="R221" s="297"/>
      <c r="S221" s="297"/>
      <c r="T221" s="297"/>
      <c r="U221" s="297"/>
      <c r="V221" s="297"/>
      <c r="W221" s="297"/>
      <c r="X221" s="297"/>
      <c r="Y221" s="412">
        <v>1</v>
      </c>
      <c r="Z221" s="412"/>
      <c r="AA221" s="412"/>
      <c r="AB221" s="412"/>
      <c r="AC221" s="412"/>
      <c r="AD221" s="412"/>
      <c r="AE221" s="412"/>
      <c r="AF221" s="412"/>
      <c r="AG221" s="412"/>
      <c r="AH221" s="412"/>
      <c r="AI221" s="412"/>
      <c r="AJ221" s="412"/>
      <c r="AK221" s="412"/>
      <c r="AL221" s="412"/>
      <c r="AM221" s="298">
        <f>SUM(Y221:AL221)</f>
        <v>1</v>
      </c>
    </row>
    <row r="222" spans="1:39" outlineLevel="1">
      <c r="B222" s="296" t="s">
        <v>290</v>
      </c>
      <c r="C222" s="293" t="s">
        <v>164</v>
      </c>
      <c r="D222" s="297">
        <v>48339</v>
      </c>
      <c r="E222" s="297">
        <v>48339</v>
      </c>
      <c r="F222" s="297">
        <v>48339</v>
      </c>
      <c r="G222" s="297">
        <v>48339</v>
      </c>
      <c r="H222" s="297">
        <v>48339</v>
      </c>
      <c r="I222" s="297">
        <v>48339</v>
      </c>
      <c r="J222" s="297">
        <v>48320</v>
      </c>
      <c r="K222" s="297">
        <v>48320</v>
      </c>
      <c r="L222" s="297">
        <v>48320</v>
      </c>
      <c r="M222" s="297">
        <v>46840</v>
      </c>
      <c r="N222" s="470"/>
      <c r="O222" s="297"/>
      <c r="P222" s="297"/>
      <c r="Q222" s="297"/>
      <c r="R222" s="297"/>
      <c r="S222" s="297"/>
      <c r="T222" s="297"/>
      <c r="U222" s="297"/>
      <c r="V222" s="297"/>
      <c r="W222" s="297"/>
      <c r="X222" s="297"/>
      <c r="Y222" s="413">
        <f>Y221</f>
        <v>1</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v>490485</v>
      </c>
      <c r="E224" s="297">
        <v>490485</v>
      </c>
      <c r="F224" s="297">
        <v>490485</v>
      </c>
      <c r="G224" s="297">
        <v>490485</v>
      </c>
      <c r="H224" s="297">
        <v>490485</v>
      </c>
      <c r="I224" s="297">
        <v>490485</v>
      </c>
      <c r="J224" s="297">
        <v>490228</v>
      </c>
      <c r="K224" s="297">
        <v>490228</v>
      </c>
      <c r="L224" s="297">
        <v>490228</v>
      </c>
      <c r="M224" s="297">
        <v>452061</v>
      </c>
      <c r="N224" s="293"/>
      <c r="O224" s="297"/>
      <c r="P224" s="297"/>
      <c r="Q224" s="297"/>
      <c r="R224" s="297"/>
      <c r="S224" s="297"/>
      <c r="T224" s="297"/>
      <c r="U224" s="297"/>
      <c r="V224" s="297"/>
      <c r="W224" s="297"/>
      <c r="X224" s="297"/>
      <c r="Y224" s="412">
        <v>1</v>
      </c>
      <c r="Z224" s="412"/>
      <c r="AA224" s="412"/>
      <c r="AB224" s="412"/>
      <c r="AC224" s="412"/>
      <c r="AD224" s="412"/>
      <c r="AE224" s="412"/>
      <c r="AF224" s="412"/>
      <c r="AG224" s="412"/>
      <c r="AH224" s="412"/>
      <c r="AI224" s="412"/>
      <c r="AJ224" s="412"/>
      <c r="AK224" s="412"/>
      <c r="AL224" s="412"/>
      <c r="AM224" s="298">
        <f>SUM(Y224:AL224)</f>
        <v>1</v>
      </c>
    </row>
    <row r="225" spans="1:39" outlineLevel="1">
      <c r="B225" s="296" t="s">
        <v>290</v>
      </c>
      <c r="C225" s="293" t="s">
        <v>164</v>
      </c>
      <c r="D225" s="297">
        <v>5105</v>
      </c>
      <c r="E225" s="297">
        <v>5105</v>
      </c>
      <c r="F225" s="297">
        <v>5105</v>
      </c>
      <c r="G225" s="297">
        <v>5105</v>
      </c>
      <c r="H225" s="297">
        <v>5105</v>
      </c>
      <c r="I225" s="297">
        <v>5105</v>
      </c>
      <c r="J225" s="297">
        <v>5092</v>
      </c>
      <c r="K225" s="297">
        <v>5092</v>
      </c>
      <c r="L225" s="297">
        <v>5092</v>
      </c>
      <c r="M225" s="297">
        <v>4318</v>
      </c>
      <c r="N225" s="470"/>
      <c r="O225" s="297"/>
      <c r="P225" s="297"/>
      <c r="Q225" s="297"/>
      <c r="R225" s="297"/>
      <c r="S225" s="297"/>
      <c r="T225" s="297"/>
      <c r="U225" s="297"/>
      <c r="V225" s="297"/>
      <c r="W225" s="297"/>
      <c r="X225" s="297"/>
      <c r="Y225" s="413">
        <f>Y224</f>
        <v>1</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v>104105</v>
      </c>
      <c r="E227" s="297">
        <v>104105</v>
      </c>
      <c r="F227" s="297">
        <v>103269</v>
      </c>
      <c r="G227" s="297">
        <v>52500</v>
      </c>
      <c r="H227" s="297">
        <v>0</v>
      </c>
      <c r="I227" s="297">
        <v>0</v>
      </c>
      <c r="J227" s="297">
        <v>0</v>
      </c>
      <c r="K227" s="297">
        <v>0</v>
      </c>
      <c r="L227" s="297">
        <v>0</v>
      </c>
      <c r="M227" s="297">
        <v>0</v>
      </c>
      <c r="N227" s="293"/>
      <c r="O227" s="297"/>
      <c r="P227" s="297"/>
      <c r="Q227" s="297"/>
      <c r="R227" s="297"/>
      <c r="S227" s="297"/>
      <c r="T227" s="297"/>
      <c r="U227" s="297"/>
      <c r="V227" s="297"/>
      <c r="W227" s="297"/>
      <c r="X227" s="297"/>
      <c r="Y227" s="412">
        <v>1</v>
      </c>
      <c r="Z227" s="412"/>
      <c r="AA227" s="412"/>
      <c r="AB227" s="412"/>
      <c r="AC227" s="412"/>
      <c r="AD227" s="412"/>
      <c r="AE227" s="412"/>
      <c r="AF227" s="412"/>
      <c r="AG227" s="412"/>
      <c r="AH227" s="412"/>
      <c r="AI227" s="412"/>
      <c r="AJ227" s="412"/>
      <c r="AK227" s="412"/>
      <c r="AL227" s="412"/>
      <c r="AM227" s="298">
        <f>SUM(Y227:AL227)</f>
        <v>1</v>
      </c>
    </row>
    <row r="228" spans="1:39" outlineLevel="1">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1</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v>111458</v>
      </c>
      <c r="E230" s="297">
        <v>111458</v>
      </c>
      <c r="F230" s="297">
        <v>111458</v>
      </c>
      <c r="G230" s="297">
        <v>111458</v>
      </c>
      <c r="H230" s="297">
        <v>111458</v>
      </c>
      <c r="I230" s="297">
        <v>111458</v>
      </c>
      <c r="J230" s="297">
        <v>111458</v>
      </c>
      <c r="K230" s="297">
        <v>111458</v>
      </c>
      <c r="L230" s="297">
        <v>111458</v>
      </c>
      <c r="M230" s="297">
        <v>111458</v>
      </c>
      <c r="N230" s="293"/>
      <c r="O230" s="297"/>
      <c r="P230" s="297"/>
      <c r="Q230" s="297"/>
      <c r="R230" s="297"/>
      <c r="S230" s="297"/>
      <c r="T230" s="297"/>
      <c r="U230" s="297"/>
      <c r="V230" s="297"/>
      <c r="W230" s="297"/>
      <c r="X230" s="297"/>
      <c r="Y230" s="412">
        <v>1</v>
      </c>
      <c r="Z230" s="412"/>
      <c r="AA230" s="412"/>
      <c r="AB230" s="412"/>
      <c r="AC230" s="412"/>
      <c r="AD230" s="412"/>
      <c r="AE230" s="412"/>
      <c r="AF230" s="412"/>
      <c r="AG230" s="412"/>
      <c r="AH230" s="412"/>
      <c r="AI230" s="412"/>
      <c r="AJ230" s="412"/>
      <c r="AK230" s="412"/>
      <c r="AL230" s="412"/>
      <c r="AM230" s="298">
        <f>SUM(Y230:AL230)</f>
        <v>1</v>
      </c>
    </row>
    <row r="231" spans="1:39" outlineLevel="1">
      <c r="B231" s="296" t="s">
        <v>290</v>
      </c>
      <c r="C231" s="293" t="s">
        <v>164</v>
      </c>
      <c r="D231" s="297">
        <v>5157</v>
      </c>
      <c r="E231" s="297">
        <v>5157</v>
      </c>
      <c r="F231" s="297">
        <v>5157</v>
      </c>
      <c r="G231" s="297">
        <v>5157</v>
      </c>
      <c r="H231" s="297">
        <v>5157</v>
      </c>
      <c r="I231" s="297">
        <v>5157</v>
      </c>
      <c r="J231" s="297">
        <v>5157</v>
      </c>
      <c r="K231" s="297">
        <v>5157</v>
      </c>
      <c r="L231" s="297">
        <v>5157</v>
      </c>
      <c r="M231" s="297">
        <v>5157</v>
      </c>
      <c r="N231" s="470"/>
      <c r="O231" s="297"/>
      <c r="P231" s="297"/>
      <c r="Q231" s="297"/>
      <c r="R231" s="297"/>
      <c r="S231" s="297"/>
      <c r="T231" s="297"/>
      <c r="U231" s="297"/>
      <c r="V231" s="297"/>
      <c r="W231" s="297"/>
      <c r="X231" s="297"/>
      <c r="Y231" s="413">
        <f>Y230</f>
        <v>1</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v>71271</v>
      </c>
      <c r="E237" s="297">
        <v>71271</v>
      </c>
      <c r="F237" s="297">
        <v>71271</v>
      </c>
      <c r="G237" s="297">
        <v>0</v>
      </c>
      <c r="H237" s="297">
        <v>0</v>
      </c>
      <c r="I237" s="297">
        <v>0</v>
      </c>
      <c r="J237" s="297">
        <v>0</v>
      </c>
      <c r="K237" s="297">
        <v>0</v>
      </c>
      <c r="L237" s="297">
        <v>0</v>
      </c>
      <c r="M237" s="297">
        <v>0</v>
      </c>
      <c r="N237" s="297">
        <v>12</v>
      </c>
      <c r="O237" s="297"/>
      <c r="P237" s="297"/>
      <c r="Q237" s="297"/>
      <c r="R237" s="297"/>
      <c r="S237" s="297"/>
      <c r="T237" s="297"/>
      <c r="U237" s="297"/>
      <c r="V237" s="297"/>
      <c r="W237" s="297"/>
      <c r="X237" s="297"/>
      <c r="Y237" s="417"/>
      <c r="Z237" s="412">
        <v>0</v>
      </c>
      <c r="AA237" s="412">
        <v>1</v>
      </c>
      <c r="AB237" s="412"/>
      <c r="AC237" s="412"/>
      <c r="AD237" s="412"/>
      <c r="AE237" s="412"/>
      <c r="AF237" s="417"/>
      <c r="AG237" s="417"/>
      <c r="AH237" s="417"/>
      <c r="AI237" s="417"/>
      <c r="AJ237" s="417"/>
      <c r="AK237" s="417"/>
      <c r="AL237" s="417"/>
      <c r="AM237" s="298">
        <f>SUM(Y237:AL237)</f>
        <v>1</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1</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v>3065740</v>
      </c>
      <c r="E240" s="297">
        <v>3055237</v>
      </c>
      <c r="F240" s="297">
        <v>3055237</v>
      </c>
      <c r="G240" s="297">
        <v>3055237</v>
      </c>
      <c r="H240" s="297">
        <v>3055237</v>
      </c>
      <c r="I240" s="297">
        <v>3027717</v>
      </c>
      <c r="J240" s="297">
        <v>3027717</v>
      </c>
      <c r="K240" s="297">
        <v>2953731</v>
      </c>
      <c r="L240" s="297">
        <v>2839953</v>
      </c>
      <c r="M240" s="297">
        <v>2387429</v>
      </c>
      <c r="N240" s="297">
        <v>12</v>
      </c>
      <c r="O240" s="297"/>
      <c r="P240" s="297"/>
      <c r="Q240" s="297"/>
      <c r="R240" s="297"/>
      <c r="S240" s="297"/>
      <c r="T240" s="297"/>
      <c r="U240" s="297"/>
      <c r="V240" s="297"/>
      <c r="W240" s="297"/>
      <c r="X240" s="297"/>
      <c r="Y240" s="417"/>
      <c r="Z240" s="412">
        <v>0.42699999999999999</v>
      </c>
      <c r="AA240" s="412">
        <v>0.57299999999999995</v>
      </c>
      <c r="AB240" s="412"/>
      <c r="AC240" s="412"/>
      <c r="AD240" s="412"/>
      <c r="AE240" s="412"/>
      <c r="AF240" s="417"/>
      <c r="AG240" s="417"/>
      <c r="AH240" s="417"/>
      <c r="AI240" s="417"/>
      <c r="AJ240" s="417"/>
      <c r="AK240" s="417"/>
      <c r="AL240" s="417"/>
      <c r="AM240" s="298">
        <f>SUM(Y240:AL240)</f>
        <v>1</v>
      </c>
    </row>
    <row r="241" spans="1:39" outlineLevel="1">
      <c r="B241" s="296" t="s">
        <v>290</v>
      </c>
      <c r="C241" s="293" t="s">
        <v>164</v>
      </c>
      <c r="D241" s="297">
        <v>4796</v>
      </c>
      <c r="E241" s="297">
        <v>4796</v>
      </c>
      <c r="F241" s="297">
        <v>4796</v>
      </c>
      <c r="G241" s="297">
        <v>76067</v>
      </c>
      <c r="H241" s="297">
        <v>76067</v>
      </c>
      <c r="I241" s="297">
        <v>76067</v>
      </c>
      <c r="J241" s="297">
        <v>76067</v>
      </c>
      <c r="K241" s="297">
        <v>76067</v>
      </c>
      <c r="L241" s="297">
        <v>76067</v>
      </c>
      <c r="M241" s="297">
        <v>76067</v>
      </c>
      <c r="N241" s="297">
        <f>N240</f>
        <v>12</v>
      </c>
      <c r="O241" s="297"/>
      <c r="P241" s="297"/>
      <c r="Q241" s="297"/>
      <c r="R241" s="297"/>
      <c r="S241" s="297"/>
      <c r="T241" s="297"/>
      <c r="U241" s="297"/>
      <c r="V241" s="297"/>
      <c r="W241" s="297"/>
      <c r="X241" s="297"/>
      <c r="Y241" s="413">
        <f>Y240</f>
        <v>0</v>
      </c>
      <c r="Z241" s="413">
        <f t="shared" ref="Z241" si="636">Z240</f>
        <v>0.42699999999999999</v>
      </c>
      <c r="AA241" s="413">
        <f t="shared" ref="AA241" si="637">AA240</f>
        <v>0.57299999999999995</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v>291061</v>
      </c>
      <c r="E243" s="297">
        <v>205707</v>
      </c>
      <c r="F243" s="297">
        <v>205707</v>
      </c>
      <c r="G243" s="297">
        <v>205707</v>
      </c>
      <c r="H243" s="297">
        <v>205707</v>
      </c>
      <c r="I243" s="297">
        <v>205707</v>
      </c>
      <c r="J243" s="297">
        <v>205707</v>
      </c>
      <c r="K243" s="297">
        <v>205707</v>
      </c>
      <c r="L243" s="297">
        <v>205707</v>
      </c>
      <c r="M243" s="297">
        <v>197230</v>
      </c>
      <c r="N243" s="297">
        <v>12</v>
      </c>
      <c r="O243" s="297"/>
      <c r="P243" s="297"/>
      <c r="Q243" s="297"/>
      <c r="R243" s="297"/>
      <c r="S243" s="297"/>
      <c r="T243" s="297"/>
      <c r="U243" s="297"/>
      <c r="V243" s="297"/>
      <c r="W243" s="297"/>
      <c r="X243" s="297"/>
      <c r="Y243" s="417"/>
      <c r="Z243" s="412">
        <v>1</v>
      </c>
      <c r="AA243" s="412"/>
      <c r="AB243" s="412"/>
      <c r="AC243" s="412"/>
      <c r="AD243" s="412"/>
      <c r="AE243" s="412"/>
      <c r="AF243" s="417"/>
      <c r="AG243" s="417"/>
      <c r="AH243" s="417"/>
      <c r="AI243" s="417"/>
      <c r="AJ243" s="417"/>
      <c r="AK243" s="417"/>
      <c r="AL243" s="417"/>
      <c r="AM243" s="298">
        <f>SUM(Y243:AL243)</f>
        <v>1</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1</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v>26381</v>
      </c>
      <c r="E246" s="297">
        <v>26381</v>
      </c>
      <c r="F246" s="297">
        <v>26381</v>
      </c>
      <c r="G246" s="297">
        <v>26381</v>
      </c>
      <c r="H246" s="297">
        <v>26381</v>
      </c>
      <c r="I246" s="297">
        <v>26381</v>
      </c>
      <c r="J246" s="297">
        <v>26381</v>
      </c>
      <c r="K246" s="297">
        <v>23518</v>
      </c>
      <c r="L246" s="297">
        <v>23518</v>
      </c>
      <c r="M246" s="297">
        <v>23518</v>
      </c>
      <c r="N246" s="297">
        <v>12</v>
      </c>
      <c r="O246" s="297"/>
      <c r="P246" s="297"/>
      <c r="Q246" s="297"/>
      <c r="R246" s="297"/>
      <c r="S246" s="297"/>
      <c r="T246" s="297"/>
      <c r="U246" s="297"/>
      <c r="V246" s="297"/>
      <c r="W246" s="297"/>
      <c r="X246" s="297"/>
      <c r="Y246" s="417"/>
      <c r="Z246" s="412">
        <v>1</v>
      </c>
      <c r="AA246" s="412"/>
      <c r="AB246" s="412"/>
      <c r="AC246" s="412"/>
      <c r="AD246" s="412"/>
      <c r="AE246" s="412"/>
      <c r="AF246" s="417"/>
      <c r="AG246" s="417"/>
      <c r="AH246" s="417"/>
      <c r="AI246" s="417"/>
      <c r="AJ246" s="417"/>
      <c r="AK246" s="417"/>
      <c r="AL246" s="417"/>
      <c r="AM246" s="298">
        <f>SUM(Y246:AL246)</f>
        <v>1</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1</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v>131153</v>
      </c>
      <c r="E263" s="297">
        <v>126591</v>
      </c>
      <c r="F263" s="297">
        <v>122258</v>
      </c>
      <c r="G263" s="297">
        <v>122258</v>
      </c>
      <c r="H263" s="297">
        <v>122258</v>
      </c>
      <c r="I263" s="297">
        <v>122258</v>
      </c>
      <c r="J263" s="297">
        <v>122258</v>
      </c>
      <c r="K263" s="297">
        <v>87706</v>
      </c>
      <c r="L263" s="297">
        <v>86502</v>
      </c>
      <c r="M263" s="297">
        <v>79912</v>
      </c>
      <c r="N263" s="297">
        <v>12</v>
      </c>
      <c r="O263" s="297"/>
      <c r="P263" s="297"/>
      <c r="Q263" s="297"/>
      <c r="R263" s="297"/>
      <c r="S263" s="297"/>
      <c r="T263" s="297"/>
      <c r="U263" s="297"/>
      <c r="V263" s="297"/>
      <c r="W263" s="297"/>
      <c r="X263" s="297"/>
      <c r="Y263" s="412">
        <v>1</v>
      </c>
      <c r="Z263" s="412"/>
      <c r="AA263" s="412"/>
      <c r="AB263" s="412"/>
      <c r="AC263" s="412"/>
      <c r="AD263" s="412"/>
      <c r="AE263" s="412"/>
      <c r="AF263" s="412"/>
      <c r="AG263" s="412"/>
      <c r="AH263" s="412"/>
      <c r="AI263" s="412"/>
      <c r="AJ263" s="412"/>
      <c r="AK263" s="412"/>
      <c r="AL263" s="412"/>
      <c r="AM263" s="298">
        <f>SUM(Y263:AL263)</f>
        <v>1</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1</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1604081</v>
      </c>
      <c r="E288" s="297">
        <v>1604081</v>
      </c>
      <c r="F288" s="297">
        <v>1604081</v>
      </c>
      <c r="G288" s="297">
        <v>1604081</v>
      </c>
      <c r="H288" s="297">
        <v>1604081</v>
      </c>
      <c r="I288" s="297">
        <v>1604081</v>
      </c>
      <c r="J288" s="297">
        <v>1604081</v>
      </c>
      <c r="K288" s="297">
        <v>1603853</v>
      </c>
      <c r="L288" s="297">
        <v>1603853</v>
      </c>
      <c r="M288" s="297">
        <v>1596409</v>
      </c>
      <c r="N288" s="293"/>
      <c r="O288" s="297"/>
      <c r="P288" s="297"/>
      <c r="Q288" s="297"/>
      <c r="R288" s="297"/>
      <c r="S288" s="297"/>
      <c r="T288" s="297"/>
      <c r="U288" s="297"/>
      <c r="V288" s="297"/>
      <c r="W288" s="297"/>
      <c r="X288" s="297"/>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233199</v>
      </c>
      <c r="E291" s="297">
        <v>233199</v>
      </c>
      <c r="F291" s="297">
        <v>233199</v>
      </c>
      <c r="G291" s="297">
        <v>233199</v>
      </c>
      <c r="H291" s="297">
        <v>233199</v>
      </c>
      <c r="I291" s="297">
        <v>233199</v>
      </c>
      <c r="J291" s="297">
        <v>233199</v>
      </c>
      <c r="K291" s="297">
        <v>233199</v>
      </c>
      <c r="L291" s="297">
        <v>233199</v>
      </c>
      <c r="M291" s="297">
        <v>233199</v>
      </c>
      <c r="N291" s="293"/>
      <c r="O291" s="297"/>
      <c r="P291" s="297"/>
      <c r="Q291" s="297"/>
      <c r="R291" s="297"/>
      <c r="S291" s="297"/>
      <c r="T291" s="297"/>
      <c r="U291" s="297"/>
      <c r="V291" s="297"/>
      <c r="W291" s="297"/>
      <c r="X291" s="297"/>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20069</v>
      </c>
      <c r="E297" s="297">
        <v>20069</v>
      </c>
      <c r="F297" s="297">
        <v>20069</v>
      </c>
      <c r="G297" s="297">
        <v>20069</v>
      </c>
      <c r="H297" s="297">
        <v>20069</v>
      </c>
      <c r="I297" s="297">
        <v>19884</v>
      </c>
      <c r="J297" s="297">
        <v>19884</v>
      </c>
      <c r="K297" s="297">
        <v>19884</v>
      </c>
      <c r="L297" s="297">
        <v>19884</v>
      </c>
      <c r="M297" s="297">
        <v>15232</v>
      </c>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v>65713</v>
      </c>
      <c r="E301" s="297">
        <v>65713</v>
      </c>
      <c r="F301" s="297">
        <v>65713</v>
      </c>
      <c r="G301" s="297">
        <v>65713</v>
      </c>
      <c r="H301" s="297">
        <v>65713</v>
      </c>
      <c r="I301" s="297">
        <v>65713</v>
      </c>
      <c r="J301" s="297">
        <v>65713</v>
      </c>
      <c r="K301" s="297">
        <v>65713</v>
      </c>
      <c r="L301" s="297">
        <v>65713</v>
      </c>
      <c r="M301" s="297">
        <v>65713</v>
      </c>
      <c r="N301" s="297">
        <v>12</v>
      </c>
      <c r="O301" s="297"/>
      <c r="P301" s="297"/>
      <c r="Q301" s="297"/>
      <c r="R301" s="297"/>
      <c r="S301" s="297"/>
      <c r="T301" s="297"/>
      <c r="U301" s="297"/>
      <c r="V301" s="297"/>
      <c r="W301" s="297"/>
      <c r="X301" s="297"/>
      <c r="Y301" s="428"/>
      <c r="Z301" s="412">
        <v>0</v>
      </c>
      <c r="AA301" s="412">
        <v>1</v>
      </c>
      <c r="AB301" s="412"/>
      <c r="AC301" s="412"/>
      <c r="AD301" s="412"/>
      <c r="AE301" s="412"/>
      <c r="AF301" s="412"/>
      <c r="AG301" s="417"/>
      <c r="AH301" s="417"/>
      <c r="AI301" s="417"/>
      <c r="AJ301" s="417"/>
      <c r="AK301" s="417"/>
      <c r="AL301" s="417"/>
      <c r="AM301" s="298">
        <f>SUM(Y301:AL301)</f>
        <v>1</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1</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695718</v>
      </c>
      <c r="E304" s="297">
        <v>688539</v>
      </c>
      <c r="F304" s="297">
        <v>688539</v>
      </c>
      <c r="G304" s="297">
        <v>688539</v>
      </c>
      <c r="H304" s="297">
        <v>688539</v>
      </c>
      <c r="I304" s="297">
        <v>688539</v>
      </c>
      <c r="J304" s="297">
        <v>688539</v>
      </c>
      <c r="K304" s="297">
        <v>688539</v>
      </c>
      <c r="L304" s="297">
        <v>686156</v>
      </c>
      <c r="M304" s="297">
        <v>686156</v>
      </c>
      <c r="N304" s="297">
        <v>12</v>
      </c>
      <c r="O304" s="297"/>
      <c r="P304" s="297"/>
      <c r="Q304" s="297"/>
      <c r="R304" s="297"/>
      <c r="S304" s="297"/>
      <c r="T304" s="297"/>
      <c r="U304" s="297"/>
      <c r="V304" s="297"/>
      <c r="W304" s="297"/>
      <c r="X304" s="297"/>
      <c r="Y304" s="428"/>
      <c r="Z304" s="412">
        <v>0.42699999999999999</v>
      </c>
      <c r="AA304" s="412">
        <v>0.57299999999999995</v>
      </c>
      <c r="AB304" s="412"/>
      <c r="AC304" s="412"/>
      <c r="AD304" s="412"/>
      <c r="AE304" s="412"/>
      <c r="AF304" s="412"/>
      <c r="AG304" s="417"/>
      <c r="AH304" s="417"/>
      <c r="AI304" s="417"/>
      <c r="AJ304" s="417"/>
      <c r="AK304" s="417"/>
      <c r="AL304" s="417"/>
      <c r="AM304" s="298">
        <f>SUM(Y304:AL304)</f>
        <v>1</v>
      </c>
    </row>
    <row r="305" spans="1:39" outlineLevel="1">
      <c r="B305" s="296" t="s">
        <v>290</v>
      </c>
      <c r="C305" s="293" t="s">
        <v>164</v>
      </c>
      <c r="D305" s="297">
        <v>1151175</v>
      </c>
      <c r="E305" s="297">
        <v>1151175</v>
      </c>
      <c r="F305" s="297">
        <v>1151175</v>
      </c>
      <c r="G305" s="297">
        <v>1151175</v>
      </c>
      <c r="H305" s="297">
        <v>1151175</v>
      </c>
      <c r="I305" s="297">
        <v>1141349</v>
      </c>
      <c r="J305" s="297">
        <v>1141349</v>
      </c>
      <c r="K305" s="297">
        <v>1141349</v>
      </c>
      <c r="L305" s="297">
        <v>1110319</v>
      </c>
      <c r="M305" s="297">
        <v>1036228</v>
      </c>
      <c r="N305" s="297">
        <f>N304</f>
        <v>12</v>
      </c>
      <c r="O305" s="297"/>
      <c r="P305" s="297"/>
      <c r="Q305" s="297"/>
      <c r="R305" s="297"/>
      <c r="S305" s="297"/>
      <c r="T305" s="297"/>
      <c r="U305" s="297"/>
      <c r="V305" s="297"/>
      <c r="W305" s="297"/>
      <c r="X305" s="297"/>
      <c r="Y305" s="413">
        <f>Y304</f>
        <v>0</v>
      </c>
      <c r="Z305" s="413">
        <f t="shared" ref="Z305" si="811">Z304</f>
        <v>0.42699999999999999</v>
      </c>
      <c r="AA305" s="413">
        <f t="shared" ref="AA305" si="812">AA304</f>
        <v>0.57299999999999995</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v>1</v>
      </c>
      <c r="AA307" s="412">
        <v>0</v>
      </c>
      <c r="AB307" s="412"/>
      <c r="AC307" s="412"/>
      <c r="AD307" s="412"/>
      <c r="AE307" s="412"/>
      <c r="AF307" s="412"/>
      <c r="AG307" s="417"/>
      <c r="AH307" s="417"/>
      <c r="AI307" s="417"/>
      <c r="AJ307" s="417"/>
      <c r="AK307" s="417"/>
      <c r="AL307" s="417"/>
      <c r="AM307" s="298">
        <f>SUM(Y307:AL307)</f>
        <v>1</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1</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v>45932</v>
      </c>
      <c r="E310" s="297">
        <v>45932</v>
      </c>
      <c r="F310" s="297">
        <v>45932</v>
      </c>
      <c r="G310" s="297">
        <v>45932</v>
      </c>
      <c r="H310" s="297">
        <v>45932</v>
      </c>
      <c r="I310" s="297">
        <v>45932</v>
      </c>
      <c r="J310" s="297">
        <v>45932</v>
      </c>
      <c r="K310" s="297">
        <v>45932</v>
      </c>
      <c r="L310" s="297">
        <v>45932</v>
      </c>
      <c r="M310" s="297">
        <v>45932</v>
      </c>
      <c r="N310" s="297">
        <v>12</v>
      </c>
      <c r="O310" s="297"/>
      <c r="P310" s="297"/>
      <c r="Q310" s="297"/>
      <c r="R310" s="297"/>
      <c r="S310" s="297"/>
      <c r="T310" s="297"/>
      <c r="U310" s="297"/>
      <c r="V310" s="297"/>
      <c r="W310" s="297"/>
      <c r="X310" s="297"/>
      <c r="Y310" s="428"/>
      <c r="Z310" s="412">
        <v>1</v>
      </c>
      <c r="AA310" s="412">
        <v>0</v>
      </c>
      <c r="AB310" s="412"/>
      <c r="AC310" s="412"/>
      <c r="AD310" s="412"/>
      <c r="AE310" s="412"/>
      <c r="AF310" s="412"/>
      <c r="AG310" s="417"/>
      <c r="AH310" s="417"/>
      <c r="AI310" s="417"/>
      <c r="AJ310" s="417"/>
      <c r="AK310" s="417"/>
      <c r="AL310" s="417"/>
      <c r="AM310" s="298">
        <f>SUM(Y310:AL310)</f>
        <v>1</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1</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v>413538</v>
      </c>
      <c r="E354" s="297">
        <v>413538</v>
      </c>
      <c r="F354" s="297">
        <v>413538</v>
      </c>
      <c r="G354" s="297">
        <v>413538</v>
      </c>
      <c r="H354" s="297">
        <v>413538</v>
      </c>
      <c r="I354" s="297">
        <v>413538</v>
      </c>
      <c r="J354" s="297">
        <v>413538</v>
      </c>
      <c r="K354" s="297">
        <v>393669</v>
      </c>
      <c r="L354" s="297">
        <v>337482</v>
      </c>
      <c r="M354" s="297">
        <v>337482</v>
      </c>
      <c r="N354" s="293"/>
      <c r="O354" s="297"/>
      <c r="P354" s="297"/>
      <c r="Q354" s="297"/>
      <c r="R354" s="297"/>
      <c r="S354" s="297"/>
      <c r="T354" s="297"/>
      <c r="U354" s="297"/>
      <c r="V354" s="297"/>
      <c r="W354" s="297"/>
      <c r="X354" s="297"/>
      <c r="Y354" s="412">
        <v>1</v>
      </c>
      <c r="Z354" s="412"/>
      <c r="AA354" s="412"/>
      <c r="AB354" s="412"/>
      <c r="AC354" s="412"/>
      <c r="AD354" s="412"/>
      <c r="AE354" s="412"/>
      <c r="AF354" s="412"/>
      <c r="AG354" s="417"/>
      <c r="AH354" s="417"/>
      <c r="AI354" s="417"/>
      <c r="AJ354" s="417"/>
      <c r="AK354" s="417"/>
      <c r="AL354" s="417"/>
      <c r="AM354" s="298">
        <f>SUM(Y354:AL354)</f>
        <v>1</v>
      </c>
    </row>
    <row r="355" spans="1:39" outlineLevel="1">
      <c r="B355" s="296" t="s">
        <v>290</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1</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275</v>
      </c>
      <c r="C378" s="331"/>
      <c r="D378" s="331">
        <f>SUM(D221:D376)</f>
        <v>8855905</v>
      </c>
      <c r="E378" s="331"/>
      <c r="F378" s="331"/>
      <c r="G378" s="331"/>
      <c r="H378" s="331"/>
      <c r="I378" s="331"/>
      <c r="J378" s="331"/>
      <c r="K378" s="331"/>
      <c r="L378" s="331"/>
      <c r="M378" s="331"/>
      <c r="N378" s="331"/>
      <c r="O378" s="331">
        <f>SUM(O221:O376)</f>
        <v>0</v>
      </c>
      <c r="P378" s="331"/>
      <c r="Q378" s="331"/>
      <c r="R378" s="331"/>
      <c r="S378" s="331"/>
      <c r="T378" s="331"/>
      <c r="U378" s="331"/>
      <c r="V378" s="331"/>
      <c r="W378" s="331"/>
      <c r="X378" s="331"/>
      <c r="Y378" s="331">
        <f>IF(Y219="kWh",SUMPRODUCT(D221:D376,Y221:Y376))</f>
        <v>3438118</v>
      </c>
      <c r="Z378" s="331">
        <f>IF(Z219="kWh",SUMPRODUCT(D221:D376,Z221:Z376))</f>
        <v>2463116.1830000002</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276</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2967510.0864586178</v>
      </c>
      <c r="Z379" s="394">
        <f>HLOOKUP(Z218,'2. LRAMVA Threshold'!$B$42:$Q$53,8,FALSE)</f>
        <v>943189.86180872004</v>
      </c>
      <c r="AA379" s="394">
        <f>HLOOKUP(AA218,'2. LRAMVA Threshold'!$B$42:$Q$53,8,FALSE)</f>
        <v>1253.27</v>
      </c>
      <c r="AB379" s="394">
        <f>HLOOKUP(AB218,'2. LRAMVA Threshold'!$B$42:$Q$53,8,FALSE)</f>
        <v>3964.4865764612568</v>
      </c>
      <c r="AC379" s="394">
        <f>HLOOKUP(AC218,'2. LRAMVA Threshold'!$B$42:$Q$53,8,FALSE)</f>
        <v>0.04</v>
      </c>
      <c r="AD379" s="394">
        <f>HLOOKUP(AD218,'2. LRAMVA Threshold'!$B$42:$Q$53,8,FALSE)</f>
        <v>39.69</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277</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1.3299999999999999E-2</v>
      </c>
      <c r="Z381" s="343">
        <f>HLOOKUP(Z$35,'3.  Distribution Rates'!$C$122:$P$133,8,FALSE)</f>
        <v>1.0999999999999999E-2</v>
      </c>
      <c r="AA381" s="343">
        <f>HLOOKUP(AA$35,'3.  Distribution Rates'!$C$122:$P$133,8,FALSE)</f>
        <v>2.1332</v>
      </c>
      <c r="AB381" s="343">
        <f>HLOOKUP(AB$35,'3.  Distribution Rates'!$C$122:$P$133,8,FALSE)</f>
        <v>2.3400000000000001E-2</v>
      </c>
      <c r="AC381" s="343">
        <f>HLOOKUP(AC$35,'3.  Distribution Rates'!$C$122:$P$133,8,FALSE)</f>
        <v>29.103100000000001</v>
      </c>
      <c r="AD381" s="343">
        <f>HLOOKUP(AD$35,'3.  Distribution Rates'!$C$122:$P$133,8,FALSE)</f>
        <v>4.9425999999999997</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278</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7746.7270195562105</v>
      </c>
      <c r="Z382" s="380">
        <f>'4.  2011-2014 LRAM'!Z139*Z381</f>
        <v>11323.821083658999</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19070.548103215209</v>
      </c>
    </row>
    <row r="383" spans="1:42">
      <c r="B383" s="326" t="s">
        <v>279</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4389.5607209302489</v>
      </c>
      <c r="Z383" s="380">
        <f>'4.  2011-2014 LRAM'!Z268*Z381</f>
        <v>18175.785600997748</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22565.346321927995</v>
      </c>
    </row>
    <row r="384" spans="1:42">
      <c r="B384" s="326" t="s">
        <v>280</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5758.8231544489427</v>
      </c>
      <c r="Z384" s="380">
        <f>'4.  2011-2014 LRAM'!Z397*Z381</f>
        <v>15624.206248942108</v>
      </c>
      <c r="AA384" s="380">
        <f>'4.  2011-2014 LRAM'!AA397*AA381</f>
        <v>112.79521063310159</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21495.824614024154</v>
      </c>
    </row>
    <row r="385" spans="2:39">
      <c r="B385" s="326" t="s">
        <v>281</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15426.508798503082</v>
      </c>
      <c r="Z385" s="380">
        <f>'4.  2011-2014 LRAM'!Z527*Z381</f>
        <v>18082.420307351946</v>
      </c>
      <c r="AA385" s="380">
        <f>'4.  2011-2014 LRAM'!AA527*AA381</f>
        <v>171.16082881956001</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33680.089934674586</v>
      </c>
    </row>
    <row r="386" spans="2:39">
      <c r="B386" s="326" t="s">
        <v>282</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0</v>
      </c>
      <c r="Z386" s="380">
        <f t="shared" si="1124"/>
        <v>0</v>
      </c>
      <c r="AA386" s="380">
        <f t="shared" si="1124"/>
        <v>0</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0</v>
      </c>
    </row>
    <row r="387" spans="2:39">
      <c r="B387" s="326" t="s">
        <v>291</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45726.969399999994</v>
      </c>
      <c r="Z387" s="380">
        <f t="shared" ref="Z387:AL387" si="1125">Z378*Z381</f>
        <v>27094.278012999999</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72821.24741299999</v>
      </c>
    </row>
    <row r="388" spans="2:39" ht="15.75">
      <c r="B388" s="351" t="s">
        <v>283</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79048.589093438481</v>
      </c>
      <c r="Z388" s="348">
        <f t="shared" ref="Z388:AE388" si="1126">SUM(Z382:Z387)</f>
        <v>90300.511253950797</v>
      </c>
      <c r="AA388" s="348">
        <f t="shared" si="1126"/>
        <v>283.95603945266157</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169633.05638684193</v>
      </c>
    </row>
    <row r="389" spans="2:39" ht="15.75">
      <c r="B389" s="351" t="s">
        <v>284</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39467.884149899612</v>
      </c>
      <c r="Z389" s="349">
        <f t="shared" ref="Z389:AE389" si="1128">Z379*Z381</f>
        <v>10375.08847989592</v>
      </c>
      <c r="AA389" s="349">
        <f t="shared" si="1128"/>
        <v>2673.4755639999998</v>
      </c>
      <c r="AB389" s="349">
        <f t="shared" si="1128"/>
        <v>92.768985889193416</v>
      </c>
      <c r="AC389" s="349">
        <f t="shared" si="1128"/>
        <v>1.1641240000000002</v>
      </c>
      <c r="AD389" s="349">
        <f t="shared" si="1128"/>
        <v>196.17179399999998</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52806.553097684729</v>
      </c>
    </row>
    <row r="390" spans="2:39" ht="15.75">
      <c r="B390" s="351" t="s">
        <v>285</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116826.5032891572</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286</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3433556</v>
      </c>
      <c r="Z392" s="293">
        <f>SUMPRODUCT(E221:E376,Z221:Z376)</f>
        <v>2370211.969</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287</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3428387</v>
      </c>
      <c r="Z393" s="293">
        <f>SUMPRODUCT(F221:F376,Z221:Z376)</f>
        <v>2370211.969</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288</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3377618</v>
      </c>
      <c r="Z394" s="293">
        <f>SUMPRODUCT(G221:G376,Z221:Z376)</f>
        <v>2400644.6859999998</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289</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3325118</v>
      </c>
      <c r="Z395" s="328">
        <f>SUMPRODUCT(H221:H376,Z221:Z376)</f>
        <v>2400644.6859999998</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598</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292</v>
      </c>
      <c r="C399" s="283"/>
      <c r="D399" s="592" t="s">
        <v>528</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9" t="s">
        <v>212</v>
      </c>
      <c r="C400" s="811" t="s">
        <v>33</v>
      </c>
      <c r="D400" s="286" t="s">
        <v>424</v>
      </c>
      <c r="E400" s="813" t="s">
        <v>210</v>
      </c>
      <c r="F400" s="814"/>
      <c r="G400" s="814"/>
      <c r="H400" s="814"/>
      <c r="I400" s="814"/>
      <c r="J400" s="814"/>
      <c r="K400" s="814"/>
      <c r="L400" s="814"/>
      <c r="M400" s="815"/>
      <c r="N400" s="816" t="s">
        <v>214</v>
      </c>
      <c r="O400" s="286" t="s">
        <v>425</v>
      </c>
      <c r="P400" s="813" t="s">
        <v>213</v>
      </c>
      <c r="Q400" s="814"/>
      <c r="R400" s="814"/>
      <c r="S400" s="814"/>
      <c r="T400" s="814"/>
      <c r="U400" s="814"/>
      <c r="V400" s="814"/>
      <c r="W400" s="814"/>
      <c r="X400" s="815"/>
      <c r="Y400" s="806" t="s">
        <v>244</v>
      </c>
      <c r="Z400" s="807"/>
      <c r="AA400" s="807"/>
      <c r="AB400" s="807"/>
      <c r="AC400" s="807"/>
      <c r="AD400" s="807"/>
      <c r="AE400" s="807"/>
      <c r="AF400" s="807"/>
      <c r="AG400" s="807"/>
      <c r="AH400" s="807"/>
      <c r="AI400" s="807"/>
      <c r="AJ400" s="807"/>
      <c r="AK400" s="807"/>
      <c r="AL400" s="807"/>
      <c r="AM400" s="808"/>
    </row>
    <row r="401" spans="1:39" ht="61.5" customHeight="1">
      <c r="B401" s="810"/>
      <c r="C401" s="812"/>
      <c r="D401" s="287">
        <v>2017</v>
      </c>
      <c r="E401" s="287">
        <v>2018</v>
      </c>
      <c r="F401" s="287">
        <v>2019</v>
      </c>
      <c r="G401" s="287">
        <v>2020</v>
      </c>
      <c r="H401" s="287">
        <v>2021</v>
      </c>
      <c r="I401" s="287">
        <v>2022</v>
      </c>
      <c r="J401" s="287">
        <v>2023</v>
      </c>
      <c r="K401" s="287">
        <v>2024</v>
      </c>
      <c r="L401" s="287">
        <v>2025</v>
      </c>
      <c r="M401" s="287">
        <v>2026</v>
      </c>
      <c r="N401" s="817"/>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GS&gt;50-4999 kW</v>
      </c>
      <c r="AB401" s="287" t="str">
        <f>'1.  LRAMVA Summary'!G50</f>
        <v>USL</v>
      </c>
      <c r="AC401" s="287" t="str">
        <f>'1.  LRAMVA Summary'!H50</f>
        <v>Sentinel Lighting</v>
      </c>
      <c r="AD401" s="287" t="str">
        <f>'1.  LRAMVA Summary'!I50</f>
        <v>Street Lighting</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kWh</v>
      </c>
      <c r="AC402" s="293" t="str">
        <f>'1.  LRAMVA Summary'!H51</f>
        <v>kW</v>
      </c>
      <c r="AD402" s="293" t="str">
        <f>'1.  LRAMVA Summary'!I51</f>
        <v>kW</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309</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309</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498</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309</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293</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294</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295</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9.4999999999999998E-3</v>
      </c>
      <c r="Z564" s="343">
        <f>HLOOKUP(Z$35,'3.  Distribution Rates'!$C$122:$P$133,9,FALSE)</f>
        <v>4.5999999999999999E-3</v>
      </c>
      <c r="AA564" s="343">
        <f>HLOOKUP(AA$35,'3.  Distribution Rates'!$C$122:$P$133,9,FALSE)</f>
        <v>2.1686999999999999</v>
      </c>
      <c r="AB564" s="343">
        <f>HLOOKUP(AB$35,'3.  Distribution Rates'!$C$122:$P$133,9,FALSE)</f>
        <v>2.3800000000000002E-2</v>
      </c>
      <c r="AC564" s="343">
        <f>HLOOKUP(AC$35,'3.  Distribution Rates'!$C$122:$P$133,9,FALSE)</f>
        <v>29.587900000000001</v>
      </c>
      <c r="AD564" s="343">
        <f>HLOOKUP(AD$35,'3.  Distribution Rates'!$C$122:$P$133,9,FALSE)</f>
        <v>5.0250000000000004</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296</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5044.9849791873958</v>
      </c>
      <c r="Z565" s="380">
        <f>'4.  2011-2014 LRAM'!Z140*Z564</f>
        <v>2992.1834242287446</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8037.1684034161408</v>
      </c>
    </row>
    <row r="566" spans="2:39">
      <c r="B566" s="326" t="s">
        <v>297</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2098.4825757624549</v>
      </c>
      <c r="Z566" s="380">
        <f>'4.  2011-2014 LRAM'!Z269*Z564</f>
        <v>5687.391691352108</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7785.8742671145628</v>
      </c>
    </row>
    <row r="567" spans="2:39">
      <c r="B567" s="326" t="s">
        <v>298</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3534.0508262717681</v>
      </c>
      <c r="Z567" s="380">
        <f>'4.  2011-2014 LRAM'!Z398*Z564</f>
        <v>5185.2015100278186</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8719.2523362995871</v>
      </c>
    </row>
    <row r="568" spans="2:39">
      <c r="B568" s="326" t="s">
        <v>299</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10964.419198223632</v>
      </c>
      <c r="Z568" s="380">
        <f>'4.  2011-2014 LRAM'!Z528*Z564</f>
        <v>6453.6437477979998</v>
      </c>
      <c r="AA568" s="380">
        <f>'4.  2011-2014 LRAM'!AA528*AA564</f>
        <v>173.933173312344</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17591.996119333973</v>
      </c>
    </row>
    <row r="569" spans="2:39">
      <c r="B569" s="326" t="s">
        <v>300</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0</v>
      </c>
      <c r="Z569" s="380">
        <f t="shared" si="1700"/>
        <v>0</v>
      </c>
      <c r="AA569" s="380">
        <f t="shared" si="1700"/>
        <v>0</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0</v>
      </c>
    </row>
    <row r="570" spans="2:39">
      <c r="B570" s="326" t="s">
        <v>301</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32618.781999999999</v>
      </c>
      <c r="Z570" s="380">
        <f t="shared" si="1701"/>
        <v>10902.975057400001</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43521.757057399998</v>
      </c>
    </row>
    <row r="571" spans="2:39">
      <c r="B571" s="326" t="s">
        <v>302</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303</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54260.719579445249</v>
      </c>
      <c r="Z572" s="348">
        <f>SUM(Z565:Z571)</f>
        <v>31221.395430806668</v>
      </c>
      <c r="AA572" s="348">
        <f t="shared" ref="AA572:AE572" si="1703">SUM(AA565:AA571)</f>
        <v>173.933173312344</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85656.048183564257</v>
      </c>
    </row>
    <row r="573" spans="2:39" ht="15.75">
      <c r="B573" s="351" t="s">
        <v>304</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305</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85656.048183564257</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306</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307</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308</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598</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310</v>
      </c>
      <c r="C582" s="283"/>
      <c r="D582" s="592" t="s">
        <v>528</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9" t="s">
        <v>212</v>
      </c>
      <c r="C583" s="811" t="s">
        <v>33</v>
      </c>
      <c r="D583" s="286" t="s">
        <v>424</v>
      </c>
      <c r="E583" s="813" t="s">
        <v>210</v>
      </c>
      <c r="F583" s="814"/>
      <c r="G583" s="814"/>
      <c r="H583" s="814"/>
      <c r="I583" s="814"/>
      <c r="J583" s="814"/>
      <c r="K583" s="814"/>
      <c r="L583" s="814"/>
      <c r="M583" s="815"/>
      <c r="N583" s="816" t="s">
        <v>214</v>
      </c>
      <c r="O583" s="286" t="s">
        <v>425</v>
      </c>
      <c r="P583" s="813" t="s">
        <v>213</v>
      </c>
      <c r="Q583" s="814"/>
      <c r="R583" s="814"/>
      <c r="S583" s="814"/>
      <c r="T583" s="814"/>
      <c r="U583" s="814"/>
      <c r="V583" s="814"/>
      <c r="W583" s="814"/>
      <c r="X583" s="815"/>
      <c r="Y583" s="806" t="s">
        <v>244</v>
      </c>
      <c r="Z583" s="807"/>
      <c r="AA583" s="807"/>
      <c r="AB583" s="807"/>
      <c r="AC583" s="807"/>
      <c r="AD583" s="807"/>
      <c r="AE583" s="807"/>
      <c r="AF583" s="807"/>
      <c r="AG583" s="807"/>
      <c r="AH583" s="807"/>
      <c r="AI583" s="807"/>
      <c r="AJ583" s="807"/>
      <c r="AK583" s="807"/>
      <c r="AL583" s="807"/>
      <c r="AM583" s="808"/>
    </row>
    <row r="584" spans="1:39" ht="68.25" customHeight="1">
      <c r="B584" s="810"/>
      <c r="C584" s="812"/>
      <c r="D584" s="287">
        <v>2018</v>
      </c>
      <c r="E584" s="287">
        <v>2019</v>
      </c>
      <c r="F584" s="287">
        <v>2020</v>
      </c>
      <c r="G584" s="287">
        <v>2021</v>
      </c>
      <c r="H584" s="287">
        <v>2022</v>
      </c>
      <c r="I584" s="287">
        <v>2023</v>
      </c>
      <c r="J584" s="287">
        <v>2024</v>
      </c>
      <c r="K584" s="287">
        <v>2025</v>
      </c>
      <c r="L584" s="287">
        <v>2026</v>
      </c>
      <c r="M584" s="287">
        <v>2027</v>
      </c>
      <c r="N584" s="817"/>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GS&gt;50-4999 kW</v>
      </c>
      <c r="AB584" s="287" t="str">
        <f>'1.  LRAMVA Summary'!G50</f>
        <v>USL</v>
      </c>
      <c r="AC584" s="287" t="str">
        <f>'1.  LRAMVA Summary'!H50</f>
        <v>Sentinel Lighting</v>
      </c>
      <c r="AD584" s="287" t="str">
        <f>'1.  LRAMVA Summary'!I50</f>
        <v>Street Lighting</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kWh</v>
      </c>
      <c r="AC585" s="293" t="str">
        <f>'1.  LRAMVA Summary'!H51</f>
        <v>kW</v>
      </c>
      <c r="AD585" s="293" t="str">
        <f>'1.  LRAMVA Summary'!I51</f>
        <v>kW</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311</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311</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498</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311</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312</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313</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314</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2.7000000000000001E-3</v>
      </c>
      <c r="Z747" s="343">
        <f>HLOOKUP(Z$35,'3.  Distribution Rates'!$C$122:$P$133,10,FALSE)</f>
        <v>4.0000000000000002E-4</v>
      </c>
      <c r="AA747" s="343">
        <f>HLOOKUP(AA$35,'3.  Distribution Rates'!$C$122:$P$133,10,FALSE)</f>
        <v>0.72670000000000001</v>
      </c>
      <c r="AB747" s="343">
        <f>HLOOKUP(AB$35,'3.  Distribution Rates'!$C$122:$P$133,10,FALSE)</f>
        <v>8.0000000000000002E-3</v>
      </c>
      <c r="AC747" s="343">
        <f>HLOOKUP(AC$35,'3.  Distribution Rates'!$C$122:$P$133,10,FALSE)</f>
        <v>9.9146999999999998</v>
      </c>
      <c r="AD747" s="343">
        <f>HLOOKUP(AD$35,'3.  Distribution Rates'!$C$122:$P$133,10,FALSE)</f>
        <v>1.6838</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315</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1431.7198752554489</v>
      </c>
      <c r="Z748" s="380">
        <f>'4.  2011-2014 LRAM'!Z141*Z747</f>
        <v>259.87642256195051</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1691.5962978173993</v>
      </c>
      <c r="AN748" s="445"/>
    </row>
    <row r="749" spans="1:40">
      <c r="B749" s="326" t="s">
        <v>316</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494.83586522135795</v>
      </c>
      <c r="Z749" s="380">
        <f>'4.  2011-2014 LRAM'!Z270*Z747</f>
        <v>491.08472404606329</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985.92058926742129</v>
      </c>
      <c r="AN749" s="445"/>
    </row>
    <row r="750" spans="1:40">
      <c r="B750" s="326" t="s">
        <v>317</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862.6737007463139</v>
      </c>
      <c r="Z750" s="380">
        <f>'4.  2011-2014 LRAM'!Z399*Z747</f>
        <v>441.59142659967915</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1304.2651273459931</v>
      </c>
      <c r="AN750" s="445"/>
    </row>
    <row r="751" spans="1:40">
      <c r="B751" s="326" t="s">
        <v>318</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2917.8833725014242</v>
      </c>
      <c r="Z751" s="380">
        <f>'4.  2011-2014 LRAM'!Z529*Z747</f>
        <v>548.13169884000001</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3466.0150713414241</v>
      </c>
      <c r="AN751" s="445"/>
    </row>
    <row r="752" spans="1:40">
      <c r="B752" s="326" t="s">
        <v>319</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320</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9256.6449000000011</v>
      </c>
      <c r="Z753" s="380">
        <f t="shared" si="2277"/>
        <v>948.08478760000003</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10204.729687600002</v>
      </c>
      <c r="AN753" s="445"/>
    </row>
    <row r="754" spans="1:40">
      <c r="B754" s="326" t="s">
        <v>321</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322</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323</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14963.757713724546</v>
      </c>
      <c r="Z756" s="348">
        <f t="shared" ref="Z756:AE756" si="2280">SUM(Z748:Z755)</f>
        <v>2688.7690596476932</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17652.526773372239</v>
      </c>
      <c r="AN756" s="445"/>
    </row>
    <row r="757" spans="1:40" ht="15.75">
      <c r="B757" s="351" t="s">
        <v>324</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325</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17652.526773372239</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326</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327</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598</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328</v>
      </c>
      <c r="C765" s="283"/>
      <c r="D765" s="592" t="s">
        <v>528</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9" t="s">
        <v>212</v>
      </c>
      <c r="C766" s="811" t="s">
        <v>33</v>
      </c>
      <c r="D766" s="286" t="s">
        <v>424</v>
      </c>
      <c r="E766" s="813" t="s">
        <v>210</v>
      </c>
      <c r="F766" s="814"/>
      <c r="G766" s="814"/>
      <c r="H766" s="814"/>
      <c r="I766" s="814"/>
      <c r="J766" s="814"/>
      <c r="K766" s="814"/>
      <c r="L766" s="814"/>
      <c r="M766" s="815"/>
      <c r="N766" s="816" t="s">
        <v>214</v>
      </c>
      <c r="O766" s="286" t="s">
        <v>425</v>
      </c>
      <c r="P766" s="813" t="s">
        <v>213</v>
      </c>
      <c r="Q766" s="814"/>
      <c r="R766" s="814"/>
      <c r="S766" s="814"/>
      <c r="T766" s="814"/>
      <c r="U766" s="814"/>
      <c r="V766" s="814"/>
      <c r="W766" s="814"/>
      <c r="X766" s="815"/>
      <c r="Y766" s="806" t="s">
        <v>244</v>
      </c>
      <c r="Z766" s="807"/>
      <c r="AA766" s="807"/>
      <c r="AB766" s="807"/>
      <c r="AC766" s="807"/>
      <c r="AD766" s="807"/>
      <c r="AE766" s="807"/>
      <c r="AF766" s="807"/>
      <c r="AG766" s="807"/>
      <c r="AH766" s="807"/>
      <c r="AI766" s="807"/>
      <c r="AJ766" s="807"/>
      <c r="AK766" s="807"/>
      <c r="AL766" s="807"/>
      <c r="AM766" s="808"/>
    </row>
    <row r="767" spans="1:40" ht="65.25" customHeight="1">
      <c r="B767" s="810"/>
      <c r="C767" s="812"/>
      <c r="D767" s="287">
        <v>2019</v>
      </c>
      <c r="E767" s="287">
        <v>2020</v>
      </c>
      <c r="F767" s="287">
        <v>2021</v>
      </c>
      <c r="G767" s="287">
        <v>2022</v>
      </c>
      <c r="H767" s="287">
        <v>2023</v>
      </c>
      <c r="I767" s="287">
        <v>2024</v>
      </c>
      <c r="J767" s="287">
        <v>2025</v>
      </c>
      <c r="K767" s="287">
        <v>2026</v>
      </c>
      <c r="L767" s="287">
        <v>2027</v>
      </c>
      <c r="M767" s="287">
        <v>2028</v>
      </c>
      <c r="N767" s="817"/>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GS&gt;50-4999 kW</v>
      </c>
      <c r="AB767" s="287" t="str">
        <f>'1.  LRAMVA Summary'!G50</f>
        <v>USL</v>
      </c>
      <c r="AC767" s="287" t="str">
        <f>'1.  LRAMVA Summary'!H50</f>
        <v>Sentinel Lighting</v>
      </c>
      <c r="AD767" s="287" t="str">
        <f>'1.  LRAMVA Summary'!I50</f>
        <v>Street Lighting</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kWh</v>
      </c>
      <c r="AC768" s="293" t="str">
        <f>'1.  LRAMVA Summary'!H51</f>
        <v>kW</v>
      </c>
      <c r="AD768" s="293" t="str">
        <f>'1.  LRAMVA Summary'!I51</f>
        <v>kW</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343</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343</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498</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343</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329</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330</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331</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332</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333</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334</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335</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336</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337</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338</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339</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340</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344</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345</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346</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341</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598</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342</v>
      </c>
      <c r="C948" s="283"/>
      <c r="D948" s="592" t="s">
        <v>528</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9" t="s">
        <v>212</v>
      </c>
      <c r="C949" s="811" t="s">
        <v>33</v>
      </c>
      <c r="D949" s="286" t="s">
        <v>424</v>
      </c>
      <c r="E949" s="813" t="s">
        <v>210</v>
      </c>
      <c r="F949" s="814"/>
      <c r="G949" s="814"/>
      <c r="H949" s="814"/>
      <c r="I949" s="814"/>
      <c r="J949" s="814"/>
      <c r="K949" s="814"/>
      <c r="L949" s="814"/>
      <c r="M949" s="815"/>
      <c r="N949" s="816" t="s">
        <v>214</v>
      </c>
      <c r="O949" s="286" t="s">
        <v>425</v>
      </c>
      <c r="P949" s="813" t="s">
        <v>213</v>
      </c>
      <c r="Q949" s="814"/>
      <c r="R949" s="814"/>
      <c r="S949" s="814"/>
      <c r="T949" s="814"/>
      <c r="U949" s="814"/>
      <c r="V949" s="814"/>
      <c r="W949" s="814"/>
      <c r="X949" s="815"/>
      <c r="Y949" s="806" t="s">
        <v>244</v>
      </c>
      <c r="Z949" s="807"/>
      <c r="AA949" s="807"/>
      <c r="AB949" s="807"/>
      <c r="AC949" s="807"/>
      <c r="AD949" s="807"/>
      <c r="AE949" s="807"/>
      <c r="AF949" s="807"/>
      <c r="AG949" s="807"/>
      <c r="AH949" s="807"/>
      <c r="AI949" s="807"/>
      <c r="AJ949" s="807"/>
      <c r="AK949" s="807"/>
      <c r="AL949" s="807"/>
      <c r="AM949" s="808"/>
    </row>
    <row r="950" spans="1:39" ht="65.25" customHeight="1">
      <c r="B950" s="810"/>
      <c r="C950" s="812"/>
      <c r="D950" s="287">
        <v>2020</v>
      </c>
      <c r="E950" s="287">
        <v>2021</v>
      </c>
      <c r="F950" s="287">
        <v>2022</v>
      </c>
      <c r="G950" s="287">
        <v>2023</v>
      </c>
      <c r="H950" s="287">
        <v>2024</v>
      </c>
      <c r="I950" s="287">
        <v>2025</v>
      </c>
      <c r="J950" s="287">
        <v>2026</v>
      </c>
      <c r="K950" s="287">
        <v>2027</v>
      </c>
      <c r="L950" s="287">
        <v>2028</v>
      </c>
      <c r="M950" s="287">
        <v>2029</v>
      </c>
      <c r="N950" s="817"/>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GS&gt;50-4999 kW</v>
      </c>
      <c r="AB950" s="287" t="str">
        <f>'1.  LRAMVA Summary'!G50</f>
        <v>USL</v>
      </c>
      <c r="AC950" s="287" t="str">
        <f>'1.  LRAMVA Summary'!H50</f>
        <v>Sentinel Lighting</v>
      </c>
      <c r="AD950" s="287" t="str">
        <f>'1.  LRAMVA Summary'!I50</f>
        <v>Street Lighting</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kWh</v>
      </c>
      <c r="AC951" s="293" t="str">
        <f>'1.  LRAMVA Summary'!H51</f>
        <v>kW</v>
      </c>
      <c r="AD951" s="293" t="str">
        <f>'1.  LRAMVA Summary'!I51</f>
        <v>kW</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347</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347</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498</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347</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348</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349</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350</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354</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355</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356</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357</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358</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359</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360</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361</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362</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363</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353</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352</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351</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598</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64" zoomScale="90" zoomScaleNormal="90" workbookViewId="0">
      <selection activeCell="E53" sqref="E5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22" t="s">
        <v>683</v>
      </c>
      <c r="D8" s="822"/>
      <c r="E8" s="822"/>
      <c r="F8" s="822"/>
      <c r="G8" s="822"/>
      <c r="H8" s="822"/>
      <c r="I8" s="822"/>
      <c r="J8" s="822"/>
      <c r="K8" s="822"/>
      <c r="L8" s="822"/>
      <c r="M8" s="822"/>
      <c r="N8" s="822"/>
      <c r="O8" s="822"/>
      <c r="P8" s="822"/>
      <c r="Q8" s="822"/>
      <c r="R8" s="822"/>
      <c r="S8" s="822"/>
      <c r="T8" s="107"/>
      <c r="U8" s="107"/>
      <c r="V8" s="107"/>
      <c r="W8" s="107"/>
    </row>
    <row r="9" spans="1:28" s="9" customFormat="1" ht="45" customHeight="1">
      <c r="B9" s="57"/>
      <c r="C9" s="822" t="s">
        <v>566</v>
      </c>
      <c r="D9" s="822"/>
      <c r="E9" s="822"/>
      <c r="F9" s="822"/>
      <c r="G9" s="822"/>
      <c r="H9" s="822"/>
      <c r="I9" s="822"/>
      <c r="J9" s="822"/>
      <c r="K9" s="822"/>
      <c r="L9" s="822"/>
      <c r="M9" s="822"/>
      <c r="N9" s="822"/>
      <c r="O9" s="822"/>
      <c r="P9" s="822"/>
      <c r="Q9" s="822"/>
      <c r="R9" s="822"/>
      <c r="S9" s="822"/>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1" t="s">
        <v>236</v>
      </c>
      <c r="C12" s="821"/>
      <c r="D12" s="183"/>
      <c r="E12" s="184" t="s">
        <v>237</v>
      </c>
      <c r="F12" s="52"/>
      <c r="G12" s="52"/>
      <c r="H12" s="45"/>
      <c r="I12" s="52"/>
      <c r="K12" s="59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GS&gt;50-4999 kW</v>
      </c>
      <c r="L14" s="206" t="str">
        <f>'1.  LRAMVA Summary'!G50</f>
        <v>USL</v>
      </c>
      <c r="M14" s="206" t="str">
        <f>'1.  LRAMVA Summary'!H50</f>
        <v>Sentinel Lighting</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-1.2416088476049443E-2</v>
      </c>
      <c r="J61" s="232">
        <f>(SUM('1.  LRAMVA Summary'!E$52:E$60)+SUM('1.  LRAMVA Summary'!E$61:E$62)*(MONTH($E61)-1)/12)*$H61</f>
        <v>3.811323846464413</v>
      </c>
      <c r="K61" s="232">
        <f>(SUM('1.  LRAMVA Summary'!F$52:F$60)+SUM('1.  LRAMVA Summary'!F$61:F$62)*(MONTH($E61)-1)/12)*$H61</f>
        <v>-0.15401696017325928</v>
      </c>
      <c r="L61" s="232">
        <f>(SUM('1.  LRAMVA Summary'!G$52:G$60)+SUM('1.  LRAMVA Summary'!G$61:G$62)*(MONTH($E61)-1)/12)*$H61</f>
        <v>-6.1515616711423837E-3</v>
      </c>
      <c r="M61" s="232">
        <f>(SUM('1.  LRAMVA Summary'!H$52:H$60)+SUM('1.  LRAMVA Summary'!H$61:H$62)*(MONTH($E61)-1)/12)*$H61</f>
        <v>-7.7280758333333322E-5</v>
      </c>
      <c r="N61" s="232">
        <f>(SUM('1.  LRAMVA Summary'!I$52:I$60)+SUM('1.  LRAMVA Summary'!I$61:I$62)*(MONTH($E61)-1)/12)*$H61</f>
        <v>-1.3022933962499999E-2</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3.6256390214231282</v>
      </c>
    </row>
    <row r="62" spans="1:23" s="9" customFormat="1">
      <c r="B62" s="68"/>
      <c r="E62" s="216">
        <v>41699</v>
      </c>
      <c r="F62" s="216" t="s">
        <v>181</v>
      </c>
      <c r="G62" s="217" t="s">
        <v>65</v>
      </c>
      <c r="H62" s="231">
        <f>C$27/12</f>
        <v>1.225E-3</v>
      </c>
      <c r="I62" s="232">
        <f>(SUM('1.  LRAMVA Summary'!D$52:D$60)+SUM('1.  LRAMVA Summary'!D$61:D$62)*(MONTH($E62)-1)/12)*$H62</f>
        <v>-2.4832176952098887E-2</v>
      </c>
      <c r="J62" s="232">
        <f>(SUM('1.  LRAMVA Summary'!E$52:E$60)+SUM('1.  LRAMVA Summary'!E$61:E$62)*(MONTH($E62)-1)/12)*$H62</f>
        <v>7.622647692928826</v>
      </c>
      <c r="K62" s="232">
        <f>(SUM('1.  LRAMVA Summary'!F$52:F$60)+SUM('1.  LRAMVA Summary'!F$61:F$62)*(MONTH($E62)-1)/12)*$H62</f>
        <v>-0.30803392034651855</v>
      </c>
      <c r="L62" s="232">
        <f>(SUM('1.  LRAMVA Summary'!G$52:G$60)+SUM('1.  LRAMVA Summary'!G$61:G$62)*(MONTH($E62)-1)/12)*$H62</f>
        <v>-1.2303123342284767E-2</v>
      </c>
      <c r="M62" s="232">
        <f>(SUM('1.  LRAMVA Summary'!H$52:H$60)+SUM('1.  LRAMVA Summary'!H$61:H$62)*(MONTH($E62)-1)/12)*$H62</f>
        <v>-1.5456151666666664E-4</v>
      </c>
      <c r="N62" s="232">
        <f>(SUM('1.  LRAMVA Summary'!I$52:I$60)+SUM('1.  LRAMVA Summary'!I$61:I$62)*(MONTH($E62)-1)/12)*$H62</f>
        <v>-2.6045867924999997E-2</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7.2512780428462564</v>
      </c>
    </row>
    <row r="63" spans="1:23" s="9" customFormat="1">
      <c r="B63" s="68"/>
      <c r="E63" s="216">
        <v>41730</v>
      </c>
      <c r="F63" s="216" t="s">
        <v>181</v>
      </c>
      <c r="G63" s="217" t="s">
        <v>66</v>
      </c>
      <c r="H63" s="234">
        <f>C$28/12</f>
        <v>1.225E-3</v>
      </c>
      <c r="I63" s="232">
        <f>(SUM('1.  LRAMVA Summary'!D$52:D$60)+SUM('1.  LRAMVA Summary'!D$61:D$62)*(MONTH($E63)-1)/12)*$H63</f>
        <v>-3.7248265428148325E-2</v>
      </c>
      <c r="J63" s="232">
        <f>(SUM('1.  LRAMVA Summary'!E$52:E$60)+SUM('1.  LRAMVA Summary'!E$61:E$62)*(MONTH($E63)-1)/12)*$H63</f>
        <v>11.433971539393239</v>
      </c>
      <c r="K63" s="232">
        <f>(SUM('1.  LRAMVA Summary'!F$52:F$60)+SUM('1.  LRAMVA Summary'!F$61:F$62)*(MONTH($E63)-1)/12)*$H63</f>
        <v>-0.46205088051977777</v>
      </c>
      <c r="L63" s="232">
        <f>(SUM('1.  LRAMVA Summary'!G$52:G$60)+SUM('1.  LRAMVA Summary'!G$61:G$62)*(MONTH($E63)-1)/12)*$H63</f>
        <v>-1.845468501342715E-2</v>
      </c>
      <c r="M63" s="232">
        <f>(SUM('1.  LRAMVA Summary'!H$52:H$60)+SUM('1.  LRAMVA Summary'!H$61:H$62)*(MONTH($E63)-1)/12)*$H63</f>
        <v>-2.3184227499999997E-4</v>
      </c>
      <c r="N63" s="232">
        <f>(SUM('1.  LRAMVA Summary'!I$52:I$60)+SUM('1.  LRAMVA Summary'!I$61:I$62)*(MONTH($E63)-1)/12)*$H63</f>
        <v>-3.9068801887499997E-2</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10.876917064269385</v>
      </c>
    </row>
    <row r="64" spans="1:23" s="9" customFormat="1">
      <c r="B64" s="68"/>
      <c r="E64" s="216">
        <v>41760</v>
      </c>
      <c r="F64" s="216" t="s">
        <v>181</v>
      </c>
      <c r="G64" s="217" t="s">
        <v>66</v>
      </c>
      <c r="H64" s="231">
        <f>C$28/12</f>
        <v>1.225E-3</v>
      </c>
      <c r="I64" s="232">
        <f>(SUM('1.  LRAMVA Summary'!D$52:D$60)+SUM('1.  LRAMVA Summary'!D$61:D$62)*(MONTH($E64)-1)/12)*$H64</f>
        <v>-4.9664353904197774E-2</v>
      </c>
      <c r="J64" s="232">
        <f>(SUM('1.  LRAMVA Summary'!E$52:E$60)+SUM('1.  LRAMVA Summary'!E$61:E$62)*(MONTH($E64)-1)/12)*$H64</f>
        <v>15.245295385857652</v>
      </c>
      <c r="K64" s="232">
        <f>(SUM('1.  LRAMVA Summary'!F$52:F$60)+SUM('1.  LRAMVA Summary'!F$61:F$62)*(MONTH($E64)-1)/12)*$H64</f>
        <v>-0.61606784069303711</v>
      </c>
      <c r="L64" s="232">
        <f>(SUM('1.  LRAMVA Summary'!G$52:G$60)+SUM('1.  LRAMVA Summary'!G$61:G$62)*(MONTH($E64)-1)/12)*$H64</f>
        <v>-2.4606246684569535E-2</v>
      </c>
      <c r="M64" s="232">
        <f>(SUM('1.  LRAMVA Summary'!H$52:H$60)+SUM('1.  LRAMVA Summary'!H$61:H$62)*(MONTH($E64)-1)/12)*$H64</f>
        <v>-3.0912303333333329E-4</v>
      </c>
      <c r="N64" s="232">
        <f>(SUM('1.  LRAMVA Summary'!I$52:I$60)+SUM('1.  LRAMVA Summary'!I$61:I$62)*(MONTH($E64)-1)/12)*$H64</f>
        <v>-5.2091735849999994E-2</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14.502556085692513</v>
      </c>
    </row>
    <row r="65" spans="2:23" s="9" customFormat="1">
      <c r="B65" s="68"/>
      <c r="E65" s="216">
        <v>41791</v>
      </c>
      <c r="F65" s="216" t="s">
        <v>181</v>
      </c>
      <c r="G65" s="217" t="s">
        <v>66</v>
      </c>
      <c r="H65" s="231">
        <f>C$28/12</f>
        <v>1.225E-3</v>
      </c>
      <c r="I65" s="232">
        <f>(SUM('1.  LRAMVA Summary'!D$52:D$60)+SUM('1.  LRAMVA Summary'!D$61:D$62)*(MONTH($E65)-1)/12)*$H65</f>
        <v>-6.2080442380247208E-2</v>
      </c>
      <c r="J65" s="232">
        <f>(SUM('1.  LRAMVA Summary'!E$52:E$60)+SUM('1.  LRAMVA Summary'!E$61:E$62)*(MONTH($E65)-1)/12)*$H65</f>
        <v>19.056619232322063</v>
      </c>
      <c r="K65" s="232">
        <f>(SUM('1.  LRAMVA Summary'!F$52:F$60)+SUM('1.  LRAMVA Summary'!F$61:F$62)*(MONTH($E65)-1)/12)*$H65</f>
        <v>-0.77008480086629649</v>
      </c>
      <c r="L65" s="232">
        <f>(SUM('1.  LRAMVA Summary'!G$52:G$60)+SUM('1.  LRAMVA Summary'!G$61:G$62)*(MONTH($E65)-1)/12)*$H65</f>
        <v>-3.0757808355711916E-2</v>
      </c>
      <c r="M65" s="232">
        <f>(SUM('1.  LRAMVA Summary'!H$52:H$60)+SUM('1.  LRAMVA Summary'!H$61:H$62)*(MONTH($E65)-1)/12)*$H65</f>
        <v>-3.8640379166666658E-4</v>
      </c>
      <c r="N65" s="232">
        <f>(SUM('1.  LRAMVA Summary'!I$52:I$60)+SUM('1.  LRAMVA Summary'!I$61:I$62)*(MONTH($E65)-1)/12)*$H65</f>
        <v>-6.5114669812499998E-2</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18.128195107115644</v>
      </c>
    </row>
    <row r="66" spans="2:23" s="9" customFormat="1">
      <c r="B66" s="68"/>
      <c r="E66" s="216">
        <v>41821</v>
      </c>
      <c r="F66" s="216" t="s">
        <v>181</v>
      </c>
      <c r="G66" s="217" t="s">
        <v>68</v>
      </c>
      <c r="H66" s="234">
        <f>C$29/12</f>
        <v>1.225E-3</v>
      </c>
      <c r="I66" s="232">
        <f>(SUM('1.  LRAMVA Summary'!D$52:D$60)+SUM('1.  LRAMVA Summary'!D$61:D$62)*(MONTH($E66)-1)/12)*$H66</f>
        <v>-7.449653085629665E-2</v>
      </c>
      <c r="J66" s="232">
        <f>(SUM('1.  LRAMVA Summary'!E$52:E$60)+SUM('1.  LRAMVA Summary'!E$61:E$62)*(MONTH($E66)-1)/12)*$H66</f>
        <v>22.867943078786478</v>
      </c>
      <c r="K66" s="232">
        <f>(SUM('1.  LRAMVA Summary'!F$52:F$60)+SUM('1.  LRAMVA Summary'!F$61:F$62)*(MONTH($E66)-1)/12)*$H66</f>
        <v>-0.92410176103955555</v>
      </c>
      <c r="L66" s="232">
        <f>(SUM('1.  LRAMVA Summary'!G$52:G$60)+SUM('1.  LRAMVA Summary'!G$61:G$62)*(MONTH($E66)-1)/12)*$H66</f>
        <v>-3.69093700268543E-2</v>
      </c>
      <c r="M66" s="232">
        <f>(SUM('1.  LRAMVA Summary'!H$52:H$60)+SUM('1.  LRAMVA Summary'!H$61:H$62)*(MONTH($E66)-1)/12)*$H66</f>
        <v>-4.6368454999999993E-4</v>
      </c>
      <c r="N66" s="232">
        <f>(SUM('1.  LRAMVA Summary'!I$52:I$60)+SUM('1.  LRAMVA Summary'!I$61:I$62)*(MONTH($E66)-1)/12)*$H66</f>
        <v>-7.8137603774999995E-2</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21.75383412853877</v>
      </c>
    </row>
    <row r="67" spans="2:23" s="9" customFormat="1">
      <c r="B67" s="68"/>
      <c r="E67" s="216">
        <v>41852</v>
      </c>
      <c r="F67" s="216" t="s">
        <v>181</v>
      </c>
      <c r="G67" s="217" t="s">
        <v>68</v>
      </c>
      <c r="H67" s="231">
        <f>C$29/12</f>
        <v>1.225E-3</v>
      </c>
      <c r="I67" s="232">
        <f>(SUM('1.  LRAMVA Summary'!D$52:D$60)+SUM('1.  LRAMVA Summary'!D$61:D$62)*(MONTH($E67)-1)/12)*$H67</f>
        <v>-8.6912619332346092E-2</v>
      </c>
      <c r="J67" s="232">
        <f>(SUM('1.  LRAMVA Summary'!E$52:E$60)+SUM('1.  LRAMVA Summary'!E$61:E$62)*(MONTH($E67)-1)/12)*$H67</f>
        <v>26.679266925250889</v>
      </c>
      <c r="K67" s="232">
        <f>(SUM('1.  LRAMVA Summary'!F$52:F$60)+SUM('1.  LRAMVA Summary'!F$61:F$62)*(MONTH($E67)-1)/12)*$H67</f>
        <v>-1.0781187212128149</v>
      </c>
      <c r="L67" s="232">
        <f>(SUM('1.  LRAMVA Summary'!G$52:G$60)+SUM('1.  LRAMVA Summary'!G$61:G$62)*(MONTH($E67)-1)/12)*$H67</f>
        <v>-4.3060931697996685E-2</v>
      </c>
      <c r="M67" s="232">
        <f>(SUM('1.  LRAMVA Summary'!H$52:H$60)+SUM('1.  LRAMVA Summary'!H$61:H$62)*(MONTH($E67)-1)/12)*$H67</f>
        <v>-5.4096530833333328E-4</v>
      </c>
      <c r="N67" s="232">
        <f>(SUM('1.  LRAMVA Summary'!I$52:I$60)+SUM('1.  LRAMVA Summary'!I$61:I$62)*(MONTH($E67)-1)/12)*$H67</f>
        <v>-9.1160537737499991E-2</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25.3794731499619</v>
      </c>
    </row>
    <row r="68" spans="2:23" s="9" customFormat="1">
      <c r="B68" s="68"/>
      <c r="E68" s="216">
        <v>41883</v>
      </c>
      <c r="F68" s="216" t="s">
        <v>181</v>
      </c>
      <c r="G68" s="217" t="s">
        <v>68</v>
      </c>
      <c r="H68" s="231">
        <f>C$29/12</f>
        <v>1.225E-3</v>
      </c>
      <c r="I68" s="232">
        <f>(SUM('1.  LRAMVA Summary'!D$52:D$60)+SUM('1.  LRAMVA Summary'!D$61:D$62)*(MONTH($E68)-1)/12)*$H68</f>
        <v>-9.9328707808395547E-2</v>
      </c>
      <c r="J68" s="232">
        <f>(SUM('1.  LRAMVA Summary'!E$52:E$60)+SUM('1.  LRAMVA Summary'!E$61:E$62)*(MONTH($E68)-1)/12)*$H68</f>
        <v>30.490590771715304</v>
      </c>
      <c r="K68" s="232">
        <f>(SUM('1.  LRAMVA Summary'!F$52:F$60)+SUM('1.  LRAMVA Summary'!F$61:F$62)*(MONTH($E68)-1)/12)*$H68</f>
        <v>-1.2321356813860742</v>
      </c>
      <c r="L68" s="232">
        <f>(SUM('1.  LRAMVA Summary'!G$52:G$60)+SUM('1.  LRAMVA Summary'!G$61:G$62)*(MONTH($E68)-1)/12)*$H68</f>
        <v>-4.921249336913907E-2</v>
      </c>
      <c r="M68" s="232">
        <f>(SUM('1.  LRAMVA Summary'!H$52:H$60)+SUM('1.  LRAMVA Summary'!H$61:H$62)*(MONTH($E68)-1)/12)*$H68</f>
        <v>-6.1824606666666657E-4</v>
      </c>
      <c r="N68" s="232">
        <f>(SUM('1.  LRAMVA Summary'!I$52:I$60)+SUM('1.  LRAMVA Summary'!I$61:I$62)*(MONTH($E68)-1)/12)*$H68</f>
        <v>-0.10418347169999999</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29.005112171385026</v>
      </c>
    </row>
    <row r="69" spans="2:23" s="9" customFormat="1">
      <c r="B69" s="68"/>
      <c r="E69" s="216">
        <v>41913</v>
      </c>
      <c r="F69" s="216" t="s">
        <v>181</v>
      </c>
      <c r="G69" s="217" t="s">
        <v>69</v>
      </c>
      <c r="H69" s="234">
        <f>C$30/12</f>
        <v>1.225E-3</v>
      </c>
      <c r="I69" s="232">
        <f>(SUM('1.  LRAMVA Summary'!D$52:D$60)+SUM('1.  LRAMVA Summary'!D$61:D$62)*(MONTH($E69)-1)/12)*$H69</f>
        <v>-0.11174479628444499</v>
      </c>
      <c r="J69" s="232">
        <f>(SUM('1.  LRAMVA Summary'!E$52:E$60)+SUM('1.  LRAMVA Summary'!E$61:E$62)*(MONTH($E69)-1)/12)*$H69</f>
        <v>34.301914618179715</v>
      </c>
      <c r="K69" s="232">
        <f>(SUM('1.  LRAMVA Summary'!F$52:F$60)+SUM('1.  LRAMVA Summary'!F$61:F$62)*(MONTH($E69)-1)/12)*$H69</f>
        <v>-1.3861526415593337</v>
      </c>
      <c r="L69" s="232">
        <f>(SUM('1.  LRAMVA Summary'!G$52:G$60)+SUM('1.  LRAMVA Summary'!G$61:G$62)*(MONTH($E69)-1)/12)*$H69</f>
        <v>-5.5364055040281447E-2</v>
      </c>
      <c r="M69" s="232">
        <f>(SUM('1.  LRAMVA Summary'!H$52:H$60)+SUM('1.  LRAMVA Summary'!H$61:H$62)*(MONTH($E69)-1)/12)*$H69</f>
        <v>-6.9552682499999998E-4</v>
      </c>
      <c r="N69" s="232">
        <f>(SUM('1.  LRAMVA Summary'!I$52:I$60)+SUM('1.  LRAMVA Summary'!I$61:I$62)*(MONTH($E69)-1)/12)*$H69</f>
        <v>-0.11720640566249999</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32.630751192808155</v>
      </c>
    </row>
    <row r="70" spans="2:23" s="9" customFormat="1">
      <c r="B70" s="68"/>
      <c r="E70" s="216">
        <v>41944</v>
      </c>
      <c r="F70" s="216" t="s">
        <v>181</v>
      </c>
      <c r="G70" s="217" t="s">
        <v>69</v>
      </c>
      <c r="H70" s="231">
        <f>C$30/12</f>
        <v>1.225E-3</v>
      </c>
      <c r="I70" s="232">
        <f>(SUM('1.  LRAMVA Summary'!D$52:D$60)+SUM('1.  LRAMVA Summary'!D$61:D$62)*(MONTH($E70)-1)/12)*$H70</f>
        <v>-0.12416088476049442</v>
      </c>
      <c r="J70" s="232">
        <f>(SUM('1.  LRAMVA Summary'!E$52:E$60)+SUM('1.  LRAMVA Summary'!E$61:E$62)*(MONTH($E70)-1)/12)*$H70</f>
        <v>38.113238464644127</v>
      </c>
      <c r="K70" s="232">
        <f>(SUM('1.  LRAMVA Summary'!F$52:F$60)+SUM('1.  LRAMVA Summary'!F$61:F$62)*(MONTH($E70)-1)/12)*$H70</f>
        <v>-1.540169601732593</v>
      </c>
      <c r="L70" s="232">
        <f>(SUM('1.  LRAMVA Summary'!G$52:G$60)+SUM('1.  LRAMVA Summary'!G$61:G$62)*(MONTH($E70)-1)/12)*$H70</f>
        <v>-6.1515616711423832E-2</v>
      </c>
      <c r="M70" s="232">
        <f>(SUM('1.  LRAMVA Summary'!H$52:H$60)+SUM('1.  LRAMVA Summary'!H$61:H$62)*(MONTH($E70)-1)/12)*$H70</f>
        <v>-7.7280758333333316E-4</v>
      </c>
      <c r="N70" s="232">
        <f>(SUM('1.  LRAMVA Summary'!I$52:I$60)+SUM('1.  LRAMVA Summary'!I$61:I$62)*(MONTH($E70)-1)/12)*$H70</f>
        <v>-0.130229339625</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36.256390214231288</v>
      </c>
    </row>
    <row r="71" spans="2:23" s="9" customFormat="1">
      <c r="B71" s="68"/>
      <c r="E71" s="216">
        <v>41974</v>
      </c>
      <c r="F71" s="216" t="s">
        <v>181</v>
      </c>
      <c r="G71" s="217" t="s">
        <v>69</v>
      </c>
      <c r="H71" s="231">
        <f>C$30/12</f>
        <v>1.225E-3</v>
      </c>
      <c r="I71" s="232">
        <f>(SUM('1.  LRAMVA Summary'!D$52:D$60)+SUM('1.  LRAMVA Summary'!D$61:D$62)*(MONTH($E71)-1)/12)*$H71</f>
        <v>-0.13657697323654389</v>
      </c>
      <c r="J71" s="232">
        <f>(SUM('1.  LRAMVA Summary'!E$52:E$60)+SUM('1.  LRAMVA Summary'!E$61:E$62)*(MONTH($E71)-1)/12)*$H71</f>
        <v>41.924562311108545</v>
      </c>
      <c r="K71" s="232">
        <f>(SUM('1.  LRAMVA Summary'!F$52:F$60)+SUM('1.  LRAMVA Summary'!F$61:F$62)*(MONTH($E71)-1)/12)*$H71</f>
        <v>-1.6941865619058523</v>
      </c>
      <c r="L71" s="232">
        <f>(SUM('1.  LRAMVA Summary'!G$52:G$60)+SUM('1.  LRAMVA Summary'!G$61:G$62)*(MONTH($E71)-1)/12)*$H71</f>
        <v>-6.7667178382566223E-2</v>
      </c>
      <c r="M71" s="232">
        <f>(SUM('1.  LRAMVA Summary'!H$52:H$60)+SUM('1.  LRAMVA Summary'!H$61:H$62)*(MONTH($E71)-1)/12)*$H71</f>
        <v>-8.5008834166666657E-4</v>
      </c>
      <c r="N71" s="232">
        <f>(SUM('1.  LRAMVA Summary'!I$52:I$60)+SUM('1.  LRAMVA Summary'!I$61:I$62)*(MONTH($E71)-1)/12)*$H71</f>
        <v>-0.14325227358749998</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39.882029235654421</v>
      </c>
    </row>
    <row r="72" spans="2:23" s="9" customFormat="1" ht="15.75" thickBot="1">
      <c r="B72" s="68"/>
      <c r="E72" s="218" t="s">
        <v>466</v>
      </c>
      <c r="F72" s="218"/>
      <c r="G72" s="219"/>
      <c r="H72" s="220"/>
      <c r="I72" s="221">
        <f>SUM(I59:I71)</f>
        <v>-0.8194618394192632</v>
      </c>
      <c r="J72" s="221">
        <f t="shared" ref="J72:V72" si="16">SUM(J59:J71)</f>
        <v>251.54737386665124</v>
      </c>
      <c r="K72" s="221">
        <f t="shared" si="16"/>
        <v>-10.165119371435113</v>
      </c>
      <c r="L72" s="221">
        <f t="shared" si="16"/>
        <v>-0.40600307029539728</v>
      </c>
      <c r="M72" s="221">
        <f t="shared" si="16"/>
        <v>-5.1005300499999996E-3</v>
      </c>
      <c r="N72" s="221">
        <f t="shared" si="16"/>
        <v>-0.85951364152499976</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239.29217541392649</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-0.8194618394192632</v>
      </c>
      <c r="J74" s="230">
        <f t="shared" si="17"/>
        <v>251.54737386665124</v>
      </c>
      <c r="K74" s="230">
        <f t="shared" si="17"/>
        <v>-10.165119371435113</v>
      </c>
      <c r="L74" s="230">
        <f t="shared" si="17"/>
        <v>-0.40600307029539728</v>
      </c>
      <c r="M74" s="230">
        <f t="shared" si="17"/>
        <v>-5.1005300499999996E-3</v>
      </c>
      <c r="N74" s="230">
        <f t="shared" si="17"/>
        <v>-0.85951364152499976</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239.29217541392649</v>
      </c>
    </row>
    <row r="75" spans="2:23" s="9" customFormat="1">
      <c r="B75" s="68"/>
      <c r="E75" s="216">
        <v>42005</v>
      </c>
      <c r="F75" s="216" t="s">
        <v>182</v>
      </c>
      <c r="G75" s="217" t="s">
        <v>65</v>
      </c>
      <c r="H75" s="231">
        <f>C$31/12</f>
        <v>1.225E-3</v>
      </c>
      <c r="I75" s="232">
        <f>(SUM('1.  LRAMVA Summary'!D$52:D$63)+SUM('1.  LRAMVA Summary'!D$64:D$65)*(MONTH($E75)-1)/12)*$H75</f>
        <v>-0.1489930617125933</v>
      </c>
      <c r="J75" s="232">
        <f>(SUM('1.  LRAMVA Summary'!E$52:E$63)+SUM('1.  LRAMVA Summary'!E$64:E$65)*(MONTH($E75)-1)/12)*$H75</f>
        <v>45.735886157572956</v>
      </c>
      <c r="K75" s="232">
        <f>(SUM('1.  LRAMVA Summary'!F$52:F$63)+SUM('1.  LRAMVA Summary'!F$64:F$65)*(MONTH($E75)-1)/12)*$H75</f>
        <v>-1.8482035220791115</v>
      </c>
      <c r="L75" s="232">
        <f>(SUM('1.  LRAMVA Summary'!G$52:G$63)+SUM('1.  LRAMVA Summary'!G$64:G$65)*(MONTH($E75)-1)/12)*$H75</f>
        <v>-7.3818740053708601E-2</v>
      </c>
      <c r="M75" s="232">
        <f>(SUM('1.  LRAMVA Summary'!H$52:H$63)+SUM('1.  LRAMVA Summary'!H$64:H$65)*(MONTH($E75)-1)/12)*$H75</f>
        <v>-9.2736909999999986E-4</v>
      </c>
      <c r="N75" s="232">
        <f>(SUM('1.  LRAMVA Summary'!I$52:I$63)+SUM('1.  LRAMVA Summary'!I$64:I$65)*(MONTH($E75)-1)/12)*$H75</f>
        <v>-0.15627520754999999</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43.50766825707754</v>
      </c>
    </row>
    <row r="76" spans="2:23" s="240" customFormat="1">
      <c r="B76" s="239"/>
      <c r="E76" s="216">
        <v>42036</v>
      </c>
      <c r="F76" s="216" t="s">
        <v>182</v>
      </c>
      <c r="G76" s="217" t="s">
        <v>65</v>
      </c>
      <c r="H76" s="231">
        <f t="shared" ref="H76:H77" si="19">C$31/12</f>
        <v>1.225E-3</v>
      </c>
      <c r="I76" s="232">
        <f>(SUM('1.  LRAMVA Summary'!D$52:D$63)+SUM('1.  LRAMVA Summary'!D$64:D$65)*(MONTH($E76)-1)/12)*$H76</f>
        <v>1.3959906834760925</v>
      </c>
      <c r="J76" s="232">
        <f>(SUM('1.  LRAMVA Summary'!E$52:E$63)+SUM('1.  LRAMVA Summary'!E$64:E$65)*(MONTH($E76)-1)/12)*$H76</f>
        <v>54.960141341518955</v>
      </c>
      <c r="K76" s="232">
        <f>(SUM('1.  LRAMVA Summary'!F$52:F$63)+SUM('1.  LRAMVA Summary'!F$64:F$65)*(MONTH($E76)-1)/12)*$H76</f>
        <v>-2.0286491984045374</v>
      </c>
      <c r="L76" s="232">
        <f>(SUM('1.  LRAMVA Summary'!G$52:G$63)+SUM('1.  LRAMVA Summary'!G$64:G$65)*(MONTH($E76)-1)/12)*$H76</f>
        <v>-8.3127024161358268E-2</v>
      </c>
      <c r="M76" s="232">
        <f>(SUM('1.  LRAMVA Summary'!H$52:H$63)+SUM('1.  LRAMVA Summary'!H$64:H$65)*(MONTH($E76)-1)/12)*$H76</f>
        <v>-1.0442953499999999E-3</v>
      </c>
      <c r="N76" s="232">
        <f>(SUM('1.  LRAMVA Summary'!I$52:I$63)+SUM('1.  LRAMVA Summary'!I$64:I$65)*(MONTH($E76)-1)/12)*$H76</f>
        <v>-0.17597896903124999</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54.067332538047907</v>
      </c>
    </row>
    <row r="77" spans="2:23" s="9" customFormat="1">
      <c r="B77" s="68"/>
      <c r="E77" s="216">
        <v>42064</v>
      </c>
      <c r="F77" s="216" t="s">
        <v>182</v>
      </c>
      <c r="G77" s="217" t="s">
        <v>65</v>
      </c>
      <c r="H77" s="231">
        <f t="shared" si="19"/>
        <v>1.225E-3</v>
      </c>
      <c r="I77" s="232">
        <f>(SUM('1.  LRAMVA Summary'!D$52:D$63)+SUM('1.  LRAMVA Summary'!D$64:D$65)*(MONTH($E77)-1)/12)*$H77</f>
        <v>2.9409744286647781</v>
      </c>
      <c r="J77" s="232">
        <f>(SUM('1.  LRAMVA Summary'!E$52:E$63)+SUM('1.  LRAMVA Summary'!E$64:E$65)*(MONTH($E77)-1)/12)*$H77</f>
        <v>64.184396525464962</v>
      </c>
      <c r="K77" s="232">
        <f>(SUM('1.  LRAMVA Summary'!F$52:F$63)+SUM('1.  LRAMVA Summary'!F$64:F$65)*(MONTH($E77)-1)/12)*$H77</f>
        <v>-2.2090948747299635</v>
      </c>
      <c r="L77" s="232">
        <f>(SUM('1.  LRAMVA Summary'!G$52:G$63)+SUM('1.  LRAMVA Summary'!G$64:G$65)*(MONTH($E77)-1)/12)*$H77</f>
        <v>-9.2435308269007921E-2</v>
      </c>
      <c r="M77" s="232">
        <f>(SUM('1.  LRAMVA Summary'!H$52:H$63)+SUM('1.  LRAMVA Summary'!H$64:H$65)*(MONTH($E77)-1)/12)*$H77</f>
        <v>-1.1612216E-3</v>
      </c>
      <c r="N77" s="232">
        <f>(SUM('1.  LRAMVA Summary'!I$52:I$63)+SUM('1.  LRAMVA Summary'!I$64:I$65)*(MONTH($E77)-1)/12)*$H77</f>
        <v>-0.19568273051249999</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64.626996819018274</v>
      </c>
    </row>
    <row r="78" spans="2:23" s="9" customFormat="1">
      <c r="B78" s="68"/>
      <c r="E78" s="216">
        <v>42095</v>
      </c>
      <c r="F78" s="216" t="s">
        <v>182</v>
      </c>
      <c r="G78" s="217" t="s">
        <v>66</v>
      </c>
      <c r="H78" s="231">
        <f>C$32/12</f>
        <v>9.1666666666666665E-4</v>
      </c>
      <c r="I78" s="232">
        <f>(SUM('1.  LRAMVA Summary'!D$52:D$63)+SUM('1.  LRAMVA Summary'!D$64:D$65)*(MONTH($E78)-1)/12)*$H78</f>
        <v>3.3568394498223197</v>
      </c>
      <c r="J78" s="232">
        <f>(SUM('1.  LRAMVA Summary'!E$52:E$63)+SUM('1.  LRAMVA Summary'!E$64:E$65)*(MONTH($E78)-1)/12)*$H78</f>
        <v>54.931644136293919</v>
      </c>
      <c r="K78" s="232">
        <f>(SUM('1.  LRAMVA Summary'!F$52:F$63)+SUM('1.  LRAMVA Summary'!F$64:F$65)*(MONTH($E78)-1)/12)*$H78</f>
        <v>-1.7880915688169581</v>
      </c>
      <c r="L78" s="232">
        <f>(SUM('1.  LRAMVA Summary'!G$52:G$63)+SUM('1.  LRAMVA Summary'!G$64:G$65)*(MONTH($E78)-1)/12)*$H78</f>
        <v>-7.613466096212472E-2</v>
      </c>
      <c r="M78" s="232">
        <f>(SUM('1.  LRAMVA Summary'!H$52:H$63)+SUM('1.  LRAMVA Summary'!H$64:H$65)*(MONTH($E78)-1)/12)*$H78</f>
        <v>-9.5643716666666656E-4</v>
      </c>
      <c r="N78" s="232">
        <f>(SUM('1.  LRAMVA Summary'!I$52:I$63)+SUM('1.  LRAMVA Summary'!I$64:I$65)*(MONTH($E78)-1)/12)*$H78</f>
        <v>-0.1611735654375</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56.262127353732986</v>
      </c>
    </row>
    <row r="79" spans="2:23" s="9" customFormat="1">
      <c r="B79" s="68"/>
      <c r="E79" s="216">
        <v>42125</v>
      </c>
      <c r="F79" s="216" t="s">
        <v>182</v>
      </c>
      <c r="G79" s="217" t="s">
        <v>66</v>
      </c>
      <c r="H79" s="231">
        <f t="shared" ref="H79:H80" si="21">C$32/12</f>
        <v>9.1666666666666665E-4</v>
      </c>
      <c r="I79" s="232">
        <f>(SUM('1.  LRAMVA Summary'!D$52:D$63)+SUM('1.  LRAMVA Summary'!D$64:D$65)*(MONTH($E79)-1)/12)*$H79</f>
        <v>4.5129497353376626</v>
      </c>
      <c r="J79" s="232">
        <f>(SUM('1.  LRAMVA Summary'!E$52:E$63)+SUM('1.  LRAMVA Summary'!E$64:E$65)*(MONTH($E79)-1)/12)*$H79</f>
        <v>61.834148015437187</v>
      </c>
      <c r="K79" s="232">
        <f>(SUM('1.  LRAMVA Summary'!F$52:F$63)+SUM('1.  LRAMVA Summary'!F$64:F$65)*(MONTH($E79)-1)/12)*$H79</f>
        <v>-1.9231189456591133</v>
      </c>
      <c r="L79" s="232">
        <f>(SUM('1.  LRAMVA Summary'!G$52:G$63)+SUM('1.  LRAMVA Summary'!G$64:G$65)*(MONTH($E79)-1)/12)*$H79</f>
        <v>-8.3100043627712894E-2</v>
      </c>
      <c r="M79" s="232">
        <f>(SUM('1.  LRAMVA Summary'!H$52:H$63)+SUM('1.  LRAMVA Summary'!H$64:H$65)*(MONTH($E79)-1)/12)*$H79</f>
        <v>-1.0439329999999999E-3</v>
      </c>
      <c r="N79" s="232">
        <f>(SUM('1.  LRAMVA Summary'!I$52:I$63)+SUM('1.  LRAMVA Summary'!I$64:I$65)*(MONTH($E79)-1)/12)*$H79</f>
        <v>-0.17591787675000001</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64.163916951738017</v>
      </c>
    </row>
    <row r="80" spans="2:23" s="9" customFormat="1">
      <c r="B80" s="68"/>
      <c r="E80" s="216">
        <v>42156</v>
      </c>
      <c r="F80" s="216" t="s">
        <v>182</v>
      </c>
      <c r="G80" s="217" t="s">
        <v>66</v>
      </c>
      <c r="H80" s="231">
        <f t="shared" si="21"/>
        <v>9.1666666666666665E-4</v>
      </c>
      <c r="I80" s="232">
        <f>(SUM('1.  LRAMVA Summary'!D$52:D$63)+SUM('1.  LRAMVA Summary'!D$64:D$65)*(MONTH($E80)-1)/12)*$H80</f>
        <v>5.6690600208530064</v>
      </c>
      <c r="J80" s="232">
        <f>(SUM('1.  LRAMVA Summary'!E$52:E$63)+SUM('1.  LRAMVA Summary'!E$64:E$65)*(MONTH($E80)-1)/12)*$H80</f>
        <v>68.736651894580461</v>
      </c>
      <c r="K80" s="232">
        <f>(SUM('1.  LRAMVA Summary'!F$52:F$63)+SUM('1.  LRAMVA Summary'!F$64:F$65)*(MONTH($E80)-1)/12)*$H80</f>
        <v>-2.0581463225012691</v>
      </c>
      <c r="L80" s="232">
        <f>(SUM('1.  LRAMVA Summary'!G$52:G$63)+SUM('1.  LRAMVA Summary'!G$64:G$65)*(MONTH($E80)-1)/12)*$H80</f>
        <v>-9.0065426293301068E-2</v>
      </c>
      <c r="M80" s="232">
        <f>(SUM('1.  LRAMVA Summary'!H$52:H$63)+SUM('1.  LRAMVA Summary'!H$64:H$65)*(MONTH($E80)-1)/12)*$H80</f>
        <v>-1.1314288333333334E-3</v>
      </c>
      <c r="N80" s="232">
        <f>(SUM('1.  LRAMVA Summary'!I$52:I$63)+SUM('1.  LRAMVA Summary'!I$64:I$65)*(MONTH($E80)-1)/12)*$H80</f>
        <v>-0.19066218806249996</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72.065706549743055</v>
      </c>
    </row>
    <row r="81" spans="2:23" s="9" customFormat="1">
      <c r="B81" s="68"/>
      <c r="E81" s="216">
        <v>42186</v>
      </c>
      <c r="F81" s="216" t="s">
        <v>182</v>
      </c>
      <c r="G81" s="217" t="s">
        <v>68</v>
      </c>
      <c r="H81" s="231">
        <f>C$33/12</f>
        <v>9.1666666666666665E-4</v>
      </c>
      <c r="I81" s="232">
        <f>(SUM('1.  LRAMVA Summary'!D$52:D$63)+SUM('1.  LRAMVA Summary'!D$64:D$65)*(MONTH($E81)-1)/12)*$H81</f>
        <v>6.8251703063683493</v>
      </c>
      <c r="J81" s="232">
        <f>(SUM('1.  LRAMVA Summary'!E$52:E$63)+SUM('1.  LRAMVA Summary'!E$64:E$65)*(MONTH($E81)-1)/12)*$H81</f>
        <v>75.639155773723743</v>
      </c>
      <c r="K81" s="232">
        <f>(SUM('1.  LRAMVA Summary'!F$52:F$63)+SUM('1.  LRAMVA Summary'!F$64:F$65)*(MONTH($E81)-1)/12)*$H81</f>
        <v>-2.1931736993434248</v>
      </c>
      <c r="L81" s="232">
        <f>(SUM('1.  LRAMVA Summary'!G$52:G$63)+SUM('1.  LRAMVA Summary'!G$64:G$65)*(MONTH($E81)-1)/12)*$H81</f>
        <v>-9.703080895888927E-2</v>
      </c>
      <c r="M81" s="232">
        <f>(SUM('1.  LRAMVA Summary'!H$52:H$63)+SUM('1.  LRAMVA Summary'!H$64:H$65)*(MONTH($E81)-1)/12)*$H81</f>
        <v>-1.2189246666666667E-3</v>
      </c>
      <c r="N81" s="232">
        <f>(SUM('1.  LRAMVA Summary'!I$52:I$63)+SUM('1.  LRAMVA Summary'!I$64:I$65)*(MONTH($E81)-1)/12)*$H81</f>
        <v>-0.205406499375</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79.967496147748108</v>
      </c>
    </row>
    <row r="82" spans="2:23" s="9" customFormat="1">
      <c r="B82" s="68"/>
      <c r="E82" s="216">
        <v>42217</v>
      </c>
      <c r="F82" s="216" t="s">
        <v>182</v>
      </c>
      <c r="G82" s="217" t="s">
        <v>68</v>
      </c>
      <c r="H82" s="231">
        <f t="shared" ref="H82:H83" si="22">C$33/12</f>
        <v>9.1666666666666665E-4</v>
      </c>
      <c r="I82" s="232">
        <f>(SUM('1.  LRAMVA Summary'!D$52:D$63)+SUM('1.  LRAMVA Summary'!D$64:D$65)*(MONTH($E82)-1)/12)*$H82</f>
        <v>7.9812805918836922</v>
      </c>
      <c r="J82" s="232">
        <f>(SUM('1.  LRAMVA Summary'!E$52:E$63)+SUM('1.  LRAMVA Summary'!E$64:E$65)*(MONTH($E82)-1)/12)*$H82</f>
        <v>82.541659652866997</v>
      </c>
      <c r="K82" s="232">
        <f>(SUM('1.  LRAMVA Summary'!F$52:F$63)+SUM('1.  LRAMVA Summary'!F$64:F$65)*(MONTH($E82)-1)/12)*$H82</f>
        <v>-2.32820107618558</v>
      </c>
      <c r="L82" s="232">
        <f>(SUM('1.  LRAMVA Summary'!G$52:G$63)+SUM('1.  LRAMVA Summary'!G$64:G$65)*(MONTH($E82)-1)/12)*$H82</f>
        <v>-0.10399619162447744</v>
      </c>
      <c r="M82" s="232">
        <f>(SUM('1.  LRAMVA Summary'!H$52:H$63)+SUM('1.  LRAMVA Summary'!H$64:H$65)*(MONTH($E82)-1)/12)*$H82</f>
        <v>-1.3064204999999999E-3</v>
      </c>
      <c r="N82" s="232">
        <f>(SUM('1.  LRAMVA Summary'!I$52:I$63)+SUM('1.  LRAMVA Summary'!I$64:I$65)*(MONTH($E82)-1)/12)*$H82</f>
        <v>-0.2201508106875</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87.869285745753132</v>
      </c>
    </row>
    <row r="83" spans="2:23" s="9" customFormat="1">
      <c r="B83" s="68"/>
      <c r="E83" s="216">
        <v>42248</v>
      </c>
      <c r="F83" s="216" t="s">
        <v>182</v>
      </c>
      <c r="G83" s="217" t="s">
        <v>68</v>
      </c>
      <c r="H83" s="231">
        <f t="shared" si="22"/>
        <v>9.1666666666666665E-4</v>
      </c>
      <c r="I83" s="232">
        <f>(SUM('1.  LRAMVA Summary'!D$52:D$63)+SUM('1.  LRAMVA Summary'!D$64:D$65)*(MONTH($E83)-1)/12)*$H83</f>
        <v>9.1373908773990351</v>
      </c>
      <c r="J83" s="232">
        <f>(SUM('1.  LRAMVA Summary'!E$52:E$63)+SUM('1.  LRAMVA Summary'!E$64:E$65)*(MONTH($E83)-1)/12)*$H83</f>
        <v>89.444163532010279</v>
      </c>
      <c r="K83" s="232">
        <f>(SUM('1.  LRAMVA Summary'!F$52:F$63)+SUM('1.  LRAMVA Summary'!F$64:F$65)*(MONTH($E83)-1)/12)*$H83</f>
        <v>-2.4632284530277353</v>
      </c>
      <c r="L83" s="232">
        <f>(SUM('1.  LRAMVA Summary'!G$52:G$63)+SUM('1.  LRAMVA Summary'!G$64:G$65)*(MONTH($E83)-1)/12)*$H83</f>
        <v>-0.11096157429006562</v>
      </c>
      <c r="M83" s="232">
        <f>(SUM('1.  LRAMVA Summary'!H$52:H$63)+SUM('1.  LRAMVA Summary'!H$64:H$65)*(MONTH($E83)-1)/12)*$H83</f>
        <v>-1.3939163333333334E-3</v>
      </c>
      <c r="N83" s="232">
        <f>(SUM('1.  LRAMVA Summary'!I$52:I$63)+SUM('1.  LRAMVA Summary'!I$64:I$65)*(MONTH($E83)-1)/12)*$H83</f>
        <v>-0.23489512200000001</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95.771075343758184</v>
      </c>
    </row>
    <row r="84" spans="2:23" s="9" customFormat="1">
      <c r="B84" s="68"/>
      <c r="E84" s="216">
        <v>42278</v>
      </c>
      <c r="F84" s="216" t="s">
        <v>182</v>
      </c>
      <c r="G84" s="217" t="s">
        <v>69</v>
      </c>
      <c r="H84" s="231">
        <f>C$34/12</f>
        <v>9.1666666666666665E-4</v>
      </c>
      <c r="I84" s="232">
        <f>(SUM('1.  LRAMVA Summary'!D$52:D$63)+SUM('1.  LRAMVA Summary'!D$64:D$65)*(MONTH($E84)-1)/12)*$H84</f>
        <v>10.293501162914376</v>
      </c>
      <c r="J84" s="232">
        <f>(SUM('1.  LRAMVA Summary'!E$52:E$63)+SUM('1.  LRAMVA Summary'!E$64:E$65)*(MONTH($E84)-1)/12)*$H84</f>
        <v>96.346667411153547</v>
      </c>
      <c r="K84" s="232">
        <f>(SUM('1.  LRAMVA Summary'!F$52:F$63)+SUM('1.  LRAMVA Summary'!F$64:F$65)*(MONTH($E84)-1)/12)*$H84</f>
        <v>-2.5982558298698906</v>
      </c>
      <c r="L84" s="232">
        <f>(SUM('1.  LRAMVA Summary'!G$52:G$63)+SUM('1.  LRAMVA Summary'!G$64:G$65)*(MONTH($E84)-1)/12)*$H84</f>
        <v>-0.11792695695565379</v>
      </c>
      <c r="M84" s="232">
        <f>(SUM('1.  LRAMVA Summary'!H$52:H$63)+SUM('1.  LRAMVA Summary'!H$64:H$65)*(MONTH($E84)-1)/12)*$H84</f>
        <v>-1.4814121666666667E-3</v>
      </c>
      <c r="N84" s="232">
        <f>(SUM('1.  LRAMVA Summary'!I$52:I$63)+SUM('1.  LRAMVA Summary'!I$64:I$65)*(MONTH($E84)-1)/12)*$H84</f>
        <v>-0.24963943331249999</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103.67286494176322</v>
      </c>
    </row>
    <row r="85" spans="2:23" s="9" customFormat="1">
      <c r="B85" s="68"/>
      <c r="E85" s="216">
        <v>42309</v>
      </c>
      <c r="F85" s="216" t="s">
        <v>182</v>
      </c>
      <c r="G85" s="217" t="s">
        <v>69</v>
      </c>
      <c r="H85" s="231">
        <f t="shared" ref="H85:H86" si="23">C$34/12</f>
        <v>9.1666666666666665E-4</v>
      </c>
      <c r="I85" s="232">
        <f>(SUM('1.  LRAMVA Summary'!D$52:D$63)+SUM('1.  LRAMVA Summary'!D$64:D$65)*(MONTH($E85)-1)/12)*$H85</f>
        <v>11.449611448429721</v>
      </c>
      <c r="J85" s="232">
        <f>(SUM('1.  LRAMVA Summary'!E$52:E$63)+SUM('1.  LRAMVA Summary'!E$64:E$65)*(MONTH($E85)-1)/12)*$H85</f>
        <v>103.24917129029681</v>
      </c>
      <c r="K85" s="232">
        <f>(SUM('1.  LRAMVA Summary'!F$52:F$63)+SUM('1.  LRAMVA Summary'!F$64:F$65)*(MONTH($E85)-1)/12)*$H85</f>
        <v>-2.7332832067120458</v>
      </c>
      <c r="L85" s="232">
        <f>(SUM('1.  LRAMVA Summary'!G$52:G$63)+SUM('1.  LRAMVA Summary'!G$64:G$65)*(MONTH($E85)-1)/12)*$H85</f>
        <v>-0.12489233962124198</v>
      </c>
      <c r="M85" s="232">
        <f>(SUM('1.  LRAMVA Summary'!H$52:H$63)+SUM('1.  LRAMVA Summary'!H$64:H$65)*(MONTH($E85)-1)/12)*$H85</f>
        <v>-1.5689080000000002E-3</v>
      </c>
      <c r="N85" s="232">
        <f>(SUM('1.  LRAMVA Summary'!I$52:I$63)+SUM('1.  LRAMVA Summary'!I$64:I$65)*(MONTH($E85)-1)/12)*$H85</f>
        <v>-0.26438374462499997</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111.57465453976826</v>
      </c>
    </row>
    <row r="86" spans="2:23" s="9" customFormat="1">
      <c r="B86" s="68"/>
      <c r="E86" s="216">
        <v>42339</v>
      </c>
      <c r="F86" s="216" t="s">
        <v>182</v>
      </c>
      <c r="G86" s="217" t="s">
        <v>69</v>
      </c>
      <c r="H86" s="231">
        <f t="shared" si="23"/>
        <v>9.1666666666666665E-4</v>
      </c>
      <c r="I86" s="232">
        <f>(SUM('1.  LRAMVA Summary'!D$52:D$63)+SUM('1.  LRAMVA Summary'!D$64:D$65)*(MONTH($E86)-1)/12)*$H86</f>
        <v>12.605721733945066</v>
      </c>
      <c r="J86" s="232">
        <f>(SUM('1.  LRAMVA Summary'!E$52:E$63)+SUM('1.  LRAMVA Summary'!E$64:E$65)*(MONTH($E86)-1)/12)*$H86</f>
        <v>110.15167516944008</v>
      </c>
      <c r="K86" s="232">
        <f>(SUM('1.  LRAMVA Summary'!F$52:F$63)+SUM('1.  LRAMVA Summary'!F$64:F$65)*(MONTH($E86)-1)/12)*$H86</f>
        <v>-2.8683105835542015</v>
      </c>
      <c r="L86" s="232">
        <f>(SUM('1.  LRAMVA Summary'!G$52:G$63)+SUM('1.  LRAMVA Summary'!G$64:G$65)*(MONTH($E86)-1)/12)*$H86</f>
        <v>-0.13185772228683015</v>
      </c>
      <c r="M86" s="232">
        <f>(SUM('1.  LRAMVA Summary'!H$52:H$63)+SUM('1.  LRAMVA Summary'!H$64:H$65)*(MONTH($E86)-1)/12)*$H86</f>
        <v>-1.6564038333333334E-3</v>
      </c>
      <c r="N86" s="232">
        <f>(SUM('1.  LRAMVA Summary'!I$52:I$63)+SUM('1.  LRAMVA Summary'!I$64:I$65)*(MONTH($E86)-1)/12)*$H86</f>
        <v>-0.27912805593750001</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119.47644413777327</v>
      </c>
    </row>
    <row r="87" spans="2:23" s="9" customFormat="1" ht="15.75" thickBot="1">
      <c r="B87" s="68"/>
      <c r="E87" s="218" t="s">
        <v>467</v>
      </c>
      <c r="F87" s="218"/>
      <c r="G87" s="219"/>
      <c r="H87" s="220"/>
      <c r="I87" s="221">
        <f>SUM(I74:I86)</f>
        <v>75.200035537962236</v>
      </c>
      <c r="J87" s="221">
        <f>SUM(J74:J86)</f>
        <v>1159.3027347670111</v>
      </c>
      <c r="K87" s="221">
        <f t="shared" ref="K87:O87" si="24">SUM(K74:K86)</f>
        <v>-37.204876652318944</v>
      </c>
      <c r="L87" s="221">
        <f t="shared" si="24"/>
        <v>-1.591349867399769</v>
      </c>
      <c r="M87" s="221">
        <f t="shared" si="24"/>
        <v>-1.9991200600000002E-2</v>
      </c>
      <c r="N87" s="221">
        <f t="shared" si="24"/>
        <v>-3.3688078448062497</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1192.3177447398484</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75.200035537962236</v>
      </c>
      <c r="J89" s="230">
        <f t="shared" ref="J89" si="26">J87+J88</f>
        <v>1159.3027347670111</v>
      </c>
      <c r="K89" s="230">
        <f t="shared" ref="K89" si="27">K87+K88</f>
        <v>-37.204876652318944</v>
      </c>
      <c r="L89" s="230">
        <f t="shared" ref="L89" si="28">L87+L88</f>
        <v>-1.591349867399769</v>
      </c>
      <c r="M89" s="230">
        <f t="shared" ref="M89" si="29">M87+M88</f>
        <v>-1.9991200600000002E-2</v>
      </c>
      <c r="N89" s="230">
        <f t="shared" ref="N89" si="30">N87+N88</f>
        <v>-3.3688078448062497</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1192.3177447398484</v>
      </c>
    </row>
    <row r="90" spans="2:23" s="9" customFormat="1">
      <c r="B90" s="68"/>
      <c r="E90" s="216">
        <v>42370</v>
      </c>
      <c r="F90" s="216" t="s">
        <v>184</v>
      </c>
      <c r="G90" s="217" t="s">
        <v>65</v>
      </c>
      <c r="H90" s="231">
        <f>$C$35/12</f>
        <v>9.1666666666666665E-4</v>
      </c>
      <c r="I90" s="232">
        <f>(SUM('1.  LRAMVA Summary'!D$52:D$66)+SUM('1.  LRAMVA Summary'!D$67:D$68)*(MONTH($E90)-1)/12)*$H90</f>
        <v>13.76183201946041</v>
      </c>
      <c r="J90" s="232">
        <f>(SUM('1.  LRAMVA Summary'!E$52:E$66)+SUM('1.  LRAMVA Summary'!E$67:E$68)*(MONTH($E90)-1)/12)*$H90</f>
        <v>117.05417904858335</v>
      </c>
      <c r="K90" s="232">
        <f>(SUM('1.  LRAMVA Summary'!F$52:F$66)+SUM('1.  LRAMVA Summary'!F$67:F$68)*(MONTH($E90)-1)/12)*$H90</f>
        <v>-3.0033379603963573</v>
      </c>
      <c r="L90" s="232">
        <f>(SUM('1.  LRAMVA Summary'!G$52:G$66)+SUM('1.  LRAMVA Summary'!G$67:G$68)*(MONTH($E90)-1)/12)*$H90</f>
        <v>-0.13882310495241834</v>
      </c>
      <c r="M90" s="232">
        <f>(SUM('1.  LRAMVA Summary'!H$52:H$66)+SUM('1.  LRAMVA Summary'!H$67:H$68)*(MONTH($E90)-1)/12)*$H90</f>
        <v>-1.7438996666666669E-3</v>
      </c>
      <c r="N90" s="232">
        <f>(SUM('1.  LRAMVA Summary'!I$52:I$66)+SUM('1.  LRAMVA Summary'!I$67:I$68)*(MONTH($E90)-1)/12)*$H90</f>
        <v>-0.29387236724999999</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127.37823373577832</v>
      </c>
    </row>
    <row r="91" spans="2:23" s="9" customFormat="1">
      <c r="B91" s="68"/>
      <c r="E91" s="216">
        <v>42401</v>
      </c>
      <c r="F91" s="216" t="s">
        <v>184</v>
      </c>
      <c r="G91" s="217" t="s">
        <v>65</v>
      </c>
      <c r="H91" s="231">
        <f t="shared" ref="H91:H92" si="34">$C$35/12</f>
        <v>9.1666666666666665E-4</v>
      </c>
      <c r="I91" s="232">
        <f>(SUM('1.  LRAMVA Summary'!D$52:D$66)+SUM('1.  LRAMVA Summary'!D$67:D$68)*(MONTH($E91)-1)/12)*$H91</f>
        <v>16.785358091536299</v>
      </c>
      <c r="J91" s="232">
        <f>(SUM('1.  LRAMVA Summary'!E$52:E$66)+SUM('1.  LRAMVA Summary'!E$67:E$68)*(MONTH($E91)-1)/12)*$H91</f>
        <v>123.15959328826811</v>
      </c>
      <c r="K91" s="232">
        <f>(SUM('1.  LRAMVA Summary'!F$52:F$66)+SUM('1.  LRAMVA Summary'!F$67:F$68)*(MONTH($E91)-1)/12)*$H91</f>
        <v>-3.1858707018548347</v>
      </c>
      <c r="L91" s="232">
        <f>(SUM('1.  LRAMVA Summary'!G$52:G$66)+SUM('1.  LRAMVA Summary'!G$67:G$68)*(MONTH($E91)-1)/12)*$H91</f>
        <v>-0.14590962470784283</v>
      </c>
      <c r="M91" s="232">
        <f>(SUM('1.  LRAMVA Summary'!H$52:H$66)+SUM('1.  LRAMVA Summary'!H$67:H$68)*(MONTH($E91)-1)/12)*$H91</f>
        <v>-1.8328258055555558E-3</v>
      </c>
      <c r="N91" s="232">
        <f>(SUM('1.  LRAMVA Summary'!I$52:I$66)+SUM('1.  LRAMVA Summary'!I$67:I$68)*(MONTH($E91)-1)/12)*$H91</f>
        <v>-0.30885771262499995</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136.30248051481115</v>
      </c>
    </row>
    <row r="92" spans="2:23" s="9" customFormat="1" ht="14.25" customHeight="1">
      <c r="B92" s="68"/>
      <c r="E92" s="216">
        <v>42430</v>
      </c>
      <c r="F92" s="216" t="s">
        <v>184</v>
      </c>
      <c r="G92" s="217" t="s">
        <v>65</v>
      </c>
      <c r="H92" s="231">
        <f t="shared" si="34"/>
        <v>9.1666666666666665E-4</v>
      </c>
      <c r="I92" s="232">
        <f>(SUM('1.  LRAMVA Summary'!D$52:D$66)+SUM('1.  LRAMVA Summary'!D$67:D$68)*(MONTH($E92)-1)/12)*$H92</f>
        <v>19.808884163612184</v>
      </c>
      <c r="J92" s="232">
        <f>(SUM('1.  LRAMVA Summary'!E$52:E$66)+SUM('1.  LRAMVA Summary'!E$67:E$68)*(MONTH($E92)-1)/12)*$H92</f>
        <v>129.26500752795283</v>
      </c>
      <c r="K92" s="232">
        <f>(SUM('1.  LRAMVA Summary'!F$52:F$66)+SUM('1.  LRAMVA Summary'!F$67:F$68)*(MONTH($E92)-1)/12)*$H92</f>
        <v>-3.3684034433133117</v>
      </c>
      <c r="L92" s="232">
        <f>(SUM('1.  LRAMVA Summary'!G$52:G$66)+SUM('1.  LRAMVA Summary'!G$67:G$68)*(MONTH($E92)-1)/12)*$H92</f>
        <v>-0.15299614446326731</v>
      </c>
      <c r="M92" s="232">
        <f>(SUM('1.  LRAMVA Summary'!H$52:H$66)+SUM('1.  LRAMVA Summary'!H$67:H$68)*(MONTH($E92)-1)/12)*$H92</f>
        <v>-1.9217519444444447E-3</v>
      </c>
      <c r="N92" s="232">
        <f>(SUM('1.  LRAMVA Summary'!I$52:I$66)+SUM('1.  LRAMVA Summary'!I$67:I$68)*(MONTH($E92)-1)/12)*$H92</f>
        <v>-0.32384305799999996</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145.22672729384402</v>
      </c>
    </row>
    <row r="93" spans="2:23" s="8" customFormat="1">
      <c r="B93" s="241"/>
      <c r="D93" s="9"/>
      <c r="E93" s="216">
        <v>42461</v>
      </c>
      <c r="F93" s="216" t="s">
        <v>184</v>
      </c>
      <c r="G93" s="217" t="s">
        <v>66</v>
      </c>
      <c r="H93" s="231">
        <f>$C$36/12</f>
        <v>9.1666666666666665E-4</v>
      </c>
      <c r="I93" s="232">
        <f>(SUM('1.  LRAMVA Summary'!D$52:D$66)+SUM('1.  LRAMVA Summary'!D$67:D$68)*(MONTH($E93)-1)/12)*$H93</f>
        <v>22.832410235688069</v>
      </c>
      <c r="J93" s="232">
        <f>(SUM('1.  LRAMVA Summary'!E$52:E$66)+SUM('1.  LRAMVA Summary'!E$67:E$68)*(MONTH($E93)-1)/12)*$H93</f>
        <v>135.37042176763759</v>
      </c>
      <c r="K93" s="232">
        <f>(SUM('1.  LRAMVA Summary'!F$52:F$66)+SUM('1.  LRAMVA Summary'!F$67:F$68)*(MONTH($E93)-1)/12)*$H93</f>
        <v>-3.5509361847717891</v>
      </c>
      <c r="L93" s="232">
        <f>(SUM('1.  LRAMVA Summary'!G$52:G$66)+SUM('1.  LRAMVA Summary'!G$67:G$68)*(MONTH($E93)-1)/12)*$H93</f>
        <v>-0.16008266421869183</v>
      </c>
      <c r="M93" s="232">
        <f>(SUM('1.  LRAMVA Summary'!H$52:H$66)+SUM('1.  LRAMVA Summary'!H$67:H$68)*(MONTH($E93)-1)/12)*$H93</f>
        <v>-2.0106780833333334E-3</v>
      </c>
      <c r="N93" s="232">
        <f>(SUM('1.  LRAMVA Summary'!I$52:I$66)+SUM('1.  LRAMVA Summary'!I$67:I$68)*(MONTH($E93)-1)/12)*$H93</f>
        <v>-0.33882840337499998</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154.15097407287683</v>
      </c>
    </row>
    <row r="94" spans="2:23" s="9" customFormat="1">
      <c r="B94" s="68"/>
      <c r="E94" s="216">
        <v>42491</v>
      </c>
      <c r="F94" s="216" t="s">
        <v>184</v>
      </c>
      <c r="G94" s="217" t="s">
        <v>66</v>
      </c>
      <c r="H94" s="231">
        <f t="shared" ref="H94:H95" si="36">$C$36/12</f>
        <v>9.1666666666666665E-4</v>
      </c>
      <c r="I94" s="232">
        <f>(SUM('1.  LRAMVA Summary'!D$52:D$66)+SUM('1.  LRAMVA Summary'!D$67:D$68)*(MONTH($E94)-1)/12)*$H94</f>
        <v>25.855936307763955</v>
      </c>
      <c r="J94" s="232">
        <f>(SUM('1.  LRAMVA Summary'!E$52:E$66)+SUM('1.  LRAMVA Summary'!E$67:E$68)*(MONTH($E94)-1)/12)*$H94</f>
        <v>141.47583600732233</v>
      </c>
      <c r="K94" s="232">
        <f>(SUM('1.  LRAMVA Summary'!F$52:F$66)+SUM('1.  LRAMVA Summary'!F$67:F$68)*(MONTH($E94)-1)/12)*$H94</f>
        <v>-3.733468926230266</v>
      </c>
      <c r="L94" s="232">
        <f>(SUM('1.  LRAMVA Summary'!G$52:G$66)+SUM('1.  LRAMVA Summary'!G$67:G$68)*(MONTH($E94)-1)/12)*$H94</f>
        <v>-0.16716918397411631</v>
      </c>
      <c r="M94" s="232">
        <f>(SUM('1.  LRAMVA Summary'!H$52:H$66)+SUM('1.  LRAMVA Summary'!H$67:H$68)*(MONTH($E94)-1)/12)*$H94</f>
        <v>-2.0996042222222221E-3</v>
      </c>
      <c r="N94" s="232">
        <f>(SUM('1.  LRAMVA Summary'!I$52:I$66)+SUM('1.  LRAMVA Summary'!I$67:I$68)*(MONTH($E94)-1)/12)*$H94</f>
        <v>-0.35381374874999999</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163.07522085190965</v>
      </c>
    </row>
    <row r="95" spans="2:23" s="240" customFormat="1">
      <c r="B95" s="239"/>
      <c r="D95" s="9"/>
      <c r="E95" s="216">
        <v>42522</v>
      </c>
      <c r="F95" s="216" t="s">
        <v>184</v>
      </c>
      <c r="G95" s="217" t="s">
        <v>66</v>
      </c>
      <c r="H95" s="231">
        <f t="shared" si="36"/>
        <v>9.1666666666666665E-4</v>
      </c>
      <c r="I95" s="232">
        <f>(SUM('1.  LRAMVA Summary'!D$52:D$66)+SUM('1.  LRAMVA Summary'!D$67:D$68)*(MONTH($E95)-1)/12)*$H95</f>
        <v>28.87946237983984</v>
      </c>
      <c r="J95" s="232">
        <f>(SUM('1.  LRAMVA Summary'!E$52:E$66)+SUM('1.  LRAMVA Summary'!E$67:E$68)*(MONTH($E95)-1)/12)*$H95</f>
        <v>147.58125024700709</v>
      </c>
      <c r="K95" s="232">
        <f>(SUM('1.  LRAMVA Summary'!F$52:F$66)+SUM('1.  LRAMVA Summary'!F$67:F$68)*(MONTH($E95)-1)/12)*$H95</f>
        <v>-3.9160016676887435</v>
      </c>
      <c r="L95" s="232">
        <f>(SUM('1.  LRAMVA Summary'!G$52:G$66)+SUM('1.  LRAMVA Summary'!G$67:G$68)*(MONTH($E95)-1)/12)*$H95</f>
        <v>-0.17425570372954083</v>
      </c>
      <c r="M95" s="232">
        <f>(SUM('1.  LRAMVA Summary'!H$52:H$66)+SUM('1.  LRAMVA Summary'!H$67:H$68)*(MONTH($E95)-1)/12)*$H95</f>
        <v>-2.1885303611111112E-3</v>
      </c>
      <c r="N95" s="232">
        <f>(SUM('1.  LRAMVA Summary'!I$52:I$66)+SUM('1.  LRAMVA Summary'!I$67:I$68)*(MONTH($E95)-1)/12)*$H95</f>
        <v>-0.368799094125</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171.99946763094258</v>
      </c>
    </row>
    <row r="96" spans="2:23" s="9" customFormat="1">
      <c r="B96" s="68"/>
      <c r="E96" s="216">
        <v>42552</v>
      </c>
      <c r="F96" s="216" t="s">
        <v>184</v>
      </c>
      <c r="G96" s="217" t="s">
        <v>68</v>
      </c>
      <c r="H96" s="231">
        <f>$C$37/12</f>
        <v>9.1666666666666665E-4</v>
      </c>
      <c r="I96" s="232">
        <f>(SUM('1.  LRAMVA Summary'!D$52:D$66)+SUM('1.  LRAMVA Summary'!D$67:D$68)*(MONTH($E96)-1)/12)*$H96</f>
        <v>31.902988451915721</v>
      </c>
      <c r="J96" s="232">
        <f>(SUM('1.  LRAMVA Summary'!E$52:E$66)+SUM('1.  LRAMVA Summary'!E$67:E$68)*(MONTH($E96)-1)/12)*$H96</f>
        <v>153.68666448669183</v>
      </c>
      <c r="K96" s="232">
        <f>(SUM('1.  LRAMVA Summary'!F$52:F$66)+SUM('1.  LRAMVA Summary'!F$67:F$68)*(MONTH($E96)-1)/12)*$H96</f>
        <v>-4.0985344091472209</v>
      </c>
      <c r="L96" s="232">
        <f>(SUM('1.  LRAMVA Summary'!G$52:G$66)+SUM('1.  LRAMVA Summary'!G$67:G$68)*(MONTH($E96)-1)/12)*$H96</f>
        <v>-0.18134222348496531</v>
      </c>
      <c r="M96" s="232">
        <f>(SUM('1.  LRAMVA Summary'!H$52:H$66)+SUM('1.  LRAMVA Summary'!H$67:H$68)*(MONTH($E96)-1)/12)*$H96</f>
        <v>-2.2774565000000004E-3</v>
      </c>
      <c r="N96" s="232">
        <f>(SUM('1.  LRAMVA Summary'!I$52:I$66)+SUM('1.  LRAMVA Summary'!I$67:I$68)*(MONTH($E96)-1)/12)*$H96</f>
        <v>-0.38378443949999996</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180.92371440997536</v>
      </c>
    </row>
    <row r="97" spans="2:23" s="9" customFormat="1">
      <c r="B97" s="68"/>
      <c r="E97" s="216">
        <v>42583</v>
      </c>
      <c r="F97" s="216" t="s">
        <v>184</v>
      </c>
      <c r="G97" s="217" t="s">
        <v>68</v>
      </c>
      <c r="H97" s="231">
        <f t="shared" ref="H97:H98" si="37">$C$37/12</f>
        <v>9.1666666666666665E-4</v>
      </c>
      <c r="I97" s="232">
        <f>(SUM('1.  LRAMVA Summary'!D$52:D$66)+SUM('1.  LRAMVA Summary'!D$67:D$68)*(MONTH($E97)-1)/12)*$H97</f>
        <v>34.926514523991607</v>
      </c>
      <c r="J97" s="232">
        <f>(SUM('1.  LRAMVA Summary'!E$52:E$66)+SUM('1.  LRAMVA Summary'!E$67:E$68)*(MONTH($E97)-1)/12)*$H97</f>
        <v>159.79207872637659</v>
      </c>
      <c r="K97" s="232">
        <f>(SUM('1.  LRAMVA Summary'!F$52:F$66)+SUM('1.  LRAMVA Summary'!F$67:F$68)*(MONTH($E97)-1)/12)*$H97</f>
        <v>-4.2810671506056979</v>
      </c>
      <c r="L97" s="232">
        <f>(SUM('1.  LRAMVA Summary'!G$52:G$66)+SUM('1.  LRAMVA Summary'!G$67:G$68)*(MONTH($E97)-1)/12)*$H97</f>
        <v>-0.18842874324038983</v>
      </c>
      <c r="M97" s="232">
        <f>(SUM('1.  LRAMVA Summary'!H$52:H$66)+SUM('1.  LRAMVA Summary'!H$67:H$68)*(MONTH($E97)-1)/12)*$H97</f>
        <v>-2.366382638888889E-3</v>
      </c>
      <c r="N97" s="232">
        <f>(SUM('1.  LRAMVA Summary'!I$52:I$66)+SUM('1.  LRAMVA Summary'!I$67:I$68)*(MONTH($E97)-1)/12)*$H97</f>
        <v>-0.39876978487499998</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189.84796118900823</v>
      </c>
    </row>
    <row r="98" spans="2:23" s="9" customFormat="1">
      <c r="B98" s="68"/>
      <c r="E98" s="216">
        <v>42614</v>
      </c>
      <c r="F98" s="216" t="s">
        <v>184</v>
      </c>
      <c r="G98" s="217" t="s">
        <v>68</v>
      </c>
      <c r="H98" s="231">
        <f t="shared" si="37"/>
        <v>9.1666666666666665E-4</v>
      </c>
      <c r="I98" s="232">
        <f>(SUM('1.  LRAMVA Summary'!D$52:D$66)+SUM('1.  LRAMVA Summary'!D$67:D$68)*(MONTH($E98)-1)/12)*$H98</f>
        <v>37.950040596067495</v>
      </c>
      <c r="J98" s="232">
        <f>(SUM('1.  LRAMVA Summary'!E$52:E$66)+SUM('1.  LRAMVA Summary'!E$67:E$68)*(MONTH($E98)-1)/12)*$H98</f>
        <v>165.89749296606132</v>
      </c>
      <c r="K98" s="232">
        <f>(SUM('1.  LRAMVA Summary'!F$52:F$66)+SUM('1.  LRAMVA Summary'!F$67:F$68)*(MONTH($E98)-1)/12)*$H98</f>
        <v>-4.4635998920641748</v>
      </c>
      <c r="L98" s="232">
        <f>(SUM('1.  LRAMVA Summary'!G$52:G$66)+SUM('1.  LRAMVA Summary'!G$67:G$68)*(MONTH($E98)-1)/12)*$H98</f>
        <v>-0.19551526299581429</v>
      </c>
      <c r="M98" s="232">
        <f>(SUM('1.  LRAMVA Summary'!H$52:H$66)+SUM('1.  LRAMVA Summary'!H$67:H$68)*(MONTH($E98)-1)/12)*$H98</f>
        <v>-2.4553087777777782E-3</v>
      </c>
      <c r="N98" s="232">
        <f>(SUM('1.  LRAMVA Summary'!I$52:I$66)+SUM('1.  LRAMVA Summary'!I$67:I$68)*(MONTH($E98)-1)/12)*$H98</f>
        <v>-0.41375513024999999</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198.77220796804107</v>
      </c>
    </row>
    <row r="99" spans="2:23" s="9" customFormat="1">
      <c r="B99" s="68"/>
      <c r="E99" s="216">
        <v>42644</v>
      </c>
      <c r="F99" s="216" t="s">
        <v>184</v>
      </c>
      <c r="G99" s="217" t="s">
        <v>69</v>
      </c>
      <c r="H99" s="212">
        <f>$C$38/12</f>
        <v>9.1666666666666665E-4</v>
      </c>
      <c r="I99" s="232">
        <f>(SUM('1.  LRAMVA Summary'!D$52:D$66)+SUM('1.  LRAMVA Summary'!D$67:D$68)*(MONTH($E99)-1)/12)*$H99</f>
        <v>40.973566668143384</v>
      </c>
      <c r="J99" s="232">
        <f>(SUM('1.  LRAMVA Summary'!E$52:E$66)+SUM('1.  LRAMVA Summary'!E$67:E$68)*(MONTH($E99)-1)/12)*$H99</f>
        <v>172.00290720574608</v>
      </c>
      <c r="K99" s="232">
        <f>(SUM('1.  LRAMVA Summary'!F$52:F$66)+SUM('1.  LRAMVA Summary'!F$67:F$68)*(MONTH($E99)-1)/12)*$H99</f>
        <v>-4.6461326335226518</v>
      </c>
      <c r="L99" s="232">
        <f>(SUM('1.  LRAMVA Summary'!G$52:G$66)+SUM('1.  LRAMVA Summary'!G$67:G$68)*(MONTH($E99)-1)/12)*$H99</f>
        <v>-0.2026017827512388</v>
      </c>
      <c r="M99" s="232">
        <f>(SUM('1.  LRAMVA Summary'!H$52:H$66)+SUM('1.  LRAMVA Summary'!H$67:H$68)*(MONTH($E99)-1)/12)*$H99</f>
        <v>-2.5442349166666673E-3</v>
      </c>
      <c r="N99" s="232">
        <f>(SUM('1.  LRAMVA Summary'!I$52:I$66)+SUM('1.  LRAMVA Summary'!I$67:I$68)*(MONTH($E99)-1)/12)*$H99</f>
        <v>-0.42874047562500001</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207.69645474707391</v>
      </c>
    </row>
    <row r="100" spans="2:23" s="9" customFormat="1">
      <c r="B100" s="68"/>
      <c r="E100" s="216">
        <v>42675</v>
      </c>
      <c r="F100" s="216" t="s">
        <v>184</v>
      </c>
      <c r="G100" s="217" t="s">
        <v>69</v>
      </c>
      <c r="H100" s="212">
        <f t="shared" ref="H100:H101" si="38">$C$38/12</f>
        <v>9.1666666666666665E-4</v>
      </c>
      <c r="I100" s="232">
        <f>(SUM('1.  LRAMVA Summary'!D$52:D$66)+SUM('1.  LRAMVA Summary'!D$67:D$68)*(MONTH($E100)-1)/12)*$H100</f>
        <v>43.997092740219266</v>
      </c>
      <c r="J100" s="232">
        <f>(SUM('1.  LRAMVA Summary'!E$52:E$66)+SUM('1.  LRAMVA Summary'!E$67:E$68)*(MONTH($E100)-1)/12)*$H100</f>
        <v>178.10832144543082</v>
      </c>
      <c r="K100" s="232">
        <f>(SUM('1.  LRAMVA Summary'!F$52:F$66)+SUM('1.  LRAMVA Summary'!F$67:F$68)*(MONTH($E100)-1)/12)*$H100</f>
        <v>-4.8286653749811297</v>
      </c>
      <c r="L100" s="232">
        <f>(SUM('1.  LRAMVA Summary'!G$52:G$66)+SUM('1.  LRAMVA Summary'!G$67:G$68)*(MONTH($E100)-1)/12)*$H100</f>
        <v>-0.20968830250666332</v>
      </c>
      <c r="M100" s="232">
        <f>(SUM('1.  LRAMVA Summary'!H$52:H$66)+SUM('1.  LRAMVA Summary'!H$67:H$68)*(MONTH($E100)-1)/12)*$H100</f>
        <v>-2.6331610555555556E-3</v>
      </c>
      <c r="N100" s="232">
        <f>(SUM('1.  LRAMVA Summary'!I$52:I$66)+SUM('1.  LRAMVA Summary'!I$67:I$68)*(MONTH($E100)-1)/12)*$H100</f>
        <v>-0.44372582099999996</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216.62070152610676</v>
      </c>
    </row>
    <row r="101" spans="2:23" s="9" customFormat="1">
      <c r="B101" s="68"/>
      <c r="E101" s="216">
        <v>42705</v>
      </c>
      <c r="F101" s="216" t="s">
        <v>184</v>
      </c>
      <c r="G101" s="217" t="s">
        <v>69</v>
      </c>
      <c r="H101" s="212">
        <f t="shared" si="38"/>
        <v>9.1666666666666665E-4</v>
      </c>
      <c r="I101" s="232">
        <f>(SUM('1.  LRAMVA Summary'!D$52:D$66)+SUM('1.  LRAMVA Summary'!D$67:D$68)*(MONTH($E101)-1)/12)*$H101</f>
        <v>47.020618812295154</v>
      </c>
      <c r="J101" s="232">
        <f>(SUM('1.  LRAMVA Summary'!E$52:E$66)+SUM('1.  LRAMVA Summary'!E$67:E$68)*(MONTH($E101)-1)/12)*$H101</f>
        <v>184.21373568511558</v>
      </c>
      <c r="K101" s="232">
        <f>(SUM('1.  LRAMVA Summary'!F$52:F$66)+SUM('1.  LRAMVA Summary'!F$67:F$68)*(MONTH($E101)-1)/12)*$H101</f>
        <v>-5.0111981164396058</v>
      </c>
      <c r="L101" s="232">
        <f>(SUM('1.  LRAMVA Summary'!G$52:G$66)+SUM('1.  LRAMVA Summary'!G$67:G$68)*(MONTH($E101)-1)/12)*$H101</f>
        <v>-0.2167748222620878</v>
      </c>
      <c r="M101" s="232">
        <f>(SUM('1.  LRAMVA Summary'!H$52:H$66)+SUM('1.  LRAMVA Summary'!H$67:H$68)*(MONTH($E101)-1)/12)*$H101</f>
        <v>-2.7220871944444447E-3</v>
      </c>
      <c r="N101" s="232">
        <f>(SUM('1.  LRAMVA Summary'!I$52:I$66)+SUM('1.  LRAMVA Summary'!I$67:I$68)*(MONTH($E101)-1)/12)*$H101</f>
        <v>-0.45871116637499998</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225.54494830513957</v>
      </c>
    </row>
    <row r="102" spans="2:23" s="9" customFormat="1" ht="15.75" thickBot="1">
      <c r="B102" s="68"/>
      <c r="E102" s="218" t="s">
        <v>468</v>
      </c>
      <c r="F102" s="218"/>
      <c r="G102" s="219"/>
      <c r="H102" s="220"/>
      <c r="I102" s="221">
        <f>SUM(I89:I101)</f>
        <v>439.89474052849562</v>
      </c>
      <c r="J102" s="221">
        <f>SUM(J89:J101)</f>
        <v>2966.9102231692041</v>
      </c>
      <c r="K102" s="221">
        <f t="shared" ref="K102:O102" si="39">SUM(K89:K101)</f>
        <v>-85.29209311333473</v>
      </c>
      <c r="L102" s="221">
        <f t="shared" si="39"/>
        <v>-3.7249374306868055</v>
      </c>
      <c r="M102" s="221">
        <f t="shared" si="39"/>
        <v>-4.6787121766666662E-2</v>
      </c>
      <c r="N102" s="221">
        <f t="shared" si="39"/>
        <v>-7.8843090465562522</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3309.856836985356</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439.89474052849562</v>
      </c>
      <c r="J104" s="230">
        <f t="shared" ref="J104" si="41">J102+J103</f>
        <v>2966.9102231692041</v>
      </c>
      <c r="K104" s="230">
        <f t="shared" ref="K104" si="42">K102+K103</f>
        <v>-85.29209311333473</v>
      </c>
      <c r="L104" s="230">
        <f t="shared" ref="L104" si="43">L102+L103</f>
        <v>-3.7249374306868055</v>
      </c>
      <c r="M104" s="230">
        <f t="shared" ref="M104" si="44">M102+M103</f>
        <v>-4.6787121766666662E-2</v>
      </c>
      <c r="N104" s="230">
        <f t="shared" ref="N104" si="45">N102+N103</f>
        <v>-7.8843090465562522</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3309.856836985356</v>
      </c>
    </row>
    <row r="105" spans="2:23" s="9" customFormat="1" hidden="1">
      <c r="B105" s="68"/>
      <c r="E105" s="216">
        <v>42736</v>
      </c>
      <c r="F105" s="216" t="s">
        <v>185</v>
      </c>
      <c r="G105" s="217" t="s">
        <v>65</v>
      </c>
      <c r="H105" s="242">
        <f>$C$39/12</f>
        <v>9.1666666666666665E-4</v>
      </c>
      <c r="I105" s="232">
        <f>(SUM('1.  LRAMVA Summary'!D$52:D$69)+SUM('1.  LRAMVA Summary'!D$70:D$71)*(MONTH($E105)-1)/12)*$H105</f>
        <v>50.04414488437105</v>
      </c>
      <c r="J105" s="232">
        <f>(SUM('1.  LRAMVA Summary'!E$52:E$69)+SUM('1.  LRAMVA Summary'!E$70:E$71)*(MONTH($E105)-1)/12)*$H105</f>
        <v>190.31914992480031</v>
      </c>
      <c r="K105" s="232">
        <f>(SUM('1.  LRAMVA Summary'!F$52:F$69)+SUM('1.  LRAMVA Summary'!F$70:F$71)*(MONTH($E105)-1)/12)*$H105</f>
        <v>-5.1937308578980845</v>
      </c>
      <c r="L105" s="232">
        <f>(SUM('1.  LRAMVA Summary'!G$52:G$69)+SUM('1.  LRAMVA Summary'!G$70:G$71)*(MONTH($E105)-1)/12)*$H105</f>
        <v>-0.22386134201751229</v>
      </c>
      <c r="M105" s="232">
        <f>(SUM('1.  LRAMVA Summary'!H$52:H$69)+SUM('1.  LRAMVA Summary'!H$70:H$71)*(MONTH($E105)-1)/12)*$H105</f>
        <v>-2.8110133333333338E-3</v>
      </c>
      <c r="N105" s="232">
        <f>(SUM('1.  LRAMVA Summary'!I$52:I$69)+SUM('1.  LRAMVA Summary'!I$70:I$71)*(MONTH($E105)-1)/12)*$H105</f>
        <v>-0.47369651174999994</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234.46919508417241</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54.189060963356454</v>
      </c>
      <c r="J106" s="232">
        <f>(SUM('1.  LRAMVA Summary'!E$52:E$69)+SUM('1.  LRAMVA Summary'!E$70:E$71)*(MONTH($E106)-1)/12)*$H106</f>
        <v>192.70411763132026</v>
      </c>
      <c r="K106" s="232">
        <f>(SUM('1.  LRAMVA Summary'!F$52:F$69)+SUM('1.  LRAMVA Summary'!F$70:F$71)*(MONTH($E106)-1)/12)*$H106</f>
        <v>-5.1804442960478356</v>
      </c>
      <c r="L106" s="232">
        <f>(SUM('1.  LRAMVA Summary'!G$52:G$69)+SUM('1.  LRAMVA Summary'!G$70:G$71)*(MONTH($E106)-1)/12)*$H106</f>
        <v>-0.22386134201751229</v>
      </c>
      <c r="M106" s="232">
        <f>(SUM('1.  LRAMVA Summary'!H$52:H$69)+SUM('1.  LRAMVA Summary'!H$70:H$71)*(MONTH($E106)-1)/12)*$H106</f>
        <v>-2.8110133333333338E-3</v>
      </c>
      <c r="N106" s="232">
        <f>(SUM('1.  LRAMVA Summary'!I$52:I$69)+SUM('1.  LRAMVA Summary'!I$70:I$71)*(MONTH($E106)-1)/12)*$H106</f>
        <v>-0.47369651174999994</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241.01236543152805</v>
      </c>
    </row>
    <row r="107" spans="2:23" s="9" customFormat="1" hidden="1">
      <c r="B107" s="68"/>
      <c r="E107" s="216">
        <v>42795</v>
      </c>
      <c r="F107" s="216" t="s">
        <v>185</v>
      </c>
      <c r="G107" s="217" t="s">
        <v>65</v>
      </c>
      <c r="H107" s="242">
        <f t="shared" si="48"/>
        <v>9.1666666666666665E-4</v>
      </c>
      <c r="I107" s="232">
        <f>(SUM('1.  LRAMVA Summary'!D$52:D$69)+SUM('1.  LRAMVA Summary'!D$70:D$71)*(MONTH($E107)-1)/12)*$H107</f>
        <v>58.33397704234185</v>
      </c>
      <c r="J107" s="232">
        <f>(SUM('1.  LRAMVA Summary'!E$52:E$69)+SUM('1.  LRAMVA Summary'!E$70:E$71)*(MONTH($E107)-1)/12)*$H107</f>
        <v>195.08908533784023</v>
      </c>
      <c r="K107" s="232">
        <f>(SUM('1.  LRAMVA Summary'!F$52:F$69)+SUM('1.  LRAMVA Summary'!F$70:F$71)*(MONTH($E107)-1)/12)*$H107</f>
        <v>-5.1671577341975876</v>
      </c>
      <c r="L107" s="232">
        <f>(SUM('1.  LRAMVA Summary'!G$52:G$69)+SUM('1.  LRAMVA Summary'!G$70:G$71)*(MONTH($E107)-1)/12)*$H107</f>
        <v>-0.22386134201751229</v>
      </c>
      <c r="M107" s="232">
        <f>(SUM('1.  LRAMVA Summary'!H$52:H$69)+SUM('1.  LRAMVA Summary'!H$70:H$71)*(MONTH($E107)-1)/12)*$H107</f>
        <v>-2.8110133333333338E-3</v>
      </c>
      <c r="N107" s="232">
        <f>(SUM('1.  LRAMVA Summary'!I$52:I$69)+SUM('1.  LRAMVA Summary'!I$70:I$71)*(MONTH($E107)-1)/12)*$H107</f>
        <v>-0.47369651174999994</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247.55553577888364</v>
      </c>
    </row>
    <row r="108" spans="2:23" s="8" customFormat="1" hidden="1">
      <c r="B108" s="241"/>
      <c r="E108" s="216">
        <v>42826</v>
      </c>
      <c r="F108" s="216" t="s">
        <v>185</v>
      </c>
      <c r="G108" s="217" t="s">
        <v>66</v>
      </c>
      <c r="H108" s="242">
        <f>$C$40/12</f>
        <v>9.1666666666666665E-4</v>
      </c>
      <c r="I108" s="232">
        <f>(SUM('1.  LRAMVA Summary'!D$52:D$69)+SUM('1.  LRAMVA Summary'!D$70:D$71)*(MONTH($E108)-1)/12)*$H108</f>
        <v>62.478893121327246</v>
      </c>
      <c r="J108" s="232">
        <f>(SUM('1.  LRAMVA Summary'!E$52:E$69)+SUM('1.  LRAMVA Summary'!E$70:E$71)*(MONTH($E108)-1)/12)*$H108</f>
        <v>197.47405304436018</v>
      </c>
      <c r="K108" s="232">
        <f>(SUM('1.  LRAMVA Summary'!F$52:F$69)+SUM('1.  LRAMVA Summary'!F$70:F$71)*(MONTH($E108)-1)/12)*$H108</f>
        <v>-5.1538711723473387</v>
      </c>
      <c r="L108" s="232">
        <f>(SUM('1.  LRAMVA Summary'!G$52:G$69)+SUM('1.  LRAMVA Summary'!G$70:G$71)*(MONTH($E108)-1)/12)*$H108</f>
        <v>-0.22386134201751229</v>
      </c>
      <c r="M108" s="232">
        <f>(SUM('1.  LRAMVA Summary'!H$52:H$69)+SUM('1.  LRAMVA Summary'!H$70:H$71)*(MONTH($E108)-1)/12)*$H108</f>
        <v>-2.8110133333333338E-3</v>
      </c>
      <c r="N108" s="232">
        <f>(SUM('1.  LRAMVA Summary'!I$52:I$69)+SUM('1.  LRAMVA Summary'!I$70:I$71)*(MONTH($E108)-1)/12)*$H108</f>
        <v>-0.47369651174999994</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254.09870612623922</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66.62380920031265</v>
      </c>
      <c r="J109" s="232">
        <f>(SUM('1.  LRAMVA Summary'!E$52:E$69)+SUM('1.  LRAMVA Summary'!E$70:E$71)*(MONTH($E109)-1)/12)*$H109</f>
        <v>199.85902075088012</v>
      </c>
      <c r="K109" s="232">
        <f>(SUM('1.  LRAMVA Summary'!F$52:F$69)+SUM('1.  LRAMVA Summary'!F$70:F$71)*(MONTH($E109)-1)/12)*$H109</f>
        <v>-5.1405846104970898</v>
      </c>
      <c r="L109" s="232">
        <f>(SUM('1.  LRAMVA Summary'!G$52:G$69)+SUM('1.  LRAMVA Summary'!G$70:G$71)*(MONTH($E109)-1)/12)*$H109</f>
        <v>-0.22386134201751229</v>
      </c>
      <c r="M109" s="232">
        <f>(SUM('1.  LRAMVA Summary'!H$52:H$69)+SUM('1.  LRAMVA Summary'!H$70:H$71)*(MONTH($E109)-1)/12)*$H109</f>
        <v>-2.8110133333333338E-3</v>
      </c>
      <c r="N109" s="232">
        <f>(SUM('1.  LRAMVA Summary'!I$52:I$69)+SUM('1.  LRAMVA Summary'!I$70:I$71)*(MONTH($E109)-1)/12)*$H109</f>
        <v>-0.47369651174999994</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260.64187647359483</v>
      </c>
    </row>
    <row r="110" spans="2:23" s="240" customFormat="1" hidden="1">
      <c r="B110" s="239"/>
      <c r="E110" s="216">
        <v>42887</v>
      </c>
      <c r="F110" s="216" t="s">
        <v>185</v>
      </c>
      <c r="G110" s="217" t="s">
        <v>66</v>
      </c>
      <c r="H110" s="242">
        <f t="shared" si="50"/>
        <v>9.1666666666666665E-4</v>
      </c>
      <c r="I110" s="232">
        <f>(SUM('1.  LRAMVA Summary'!D$52:D$69)+SUM('1.  LRAMVA Summary'!D$70:D$71)*(MONTH($E110)-1)/12)*$H110</f>
        <v>70.768725279298053</v>
      </c>
      <c r="J110" s="232">
        <f>(SUM('1.  LRAMVA Summary'!E$52:E$69)+SUM('1.  LRAMVA Summary'!E$70:E$71)*(MONTH($E110)-1)/12)*$H110</f>
        <v>202.24398845740009</v>
      </c>
      <c r="K110" s="232">
        <f>(SUM('1.  LRAMVA Summary'!F$52:F$69)+SUM('1.  LRAMVA Summary'!F$70:F$71)*(MONTH($E110)-1)/12)*$H110</f>
        <v>-5.1272980486468418</v>
      </c>
      <c r="L110" s="232">
        <f>(SUM('1.  LRAMVA Summary'!G$52:G$69)+SUM('1.  LRAMVA Summary'!G$70:G$71)*(MONTH($E110)-1)/12)*$H110</f>
        <v>-0.22386134201751229</v>
      </c>
      <c r="M110" s="232">
        <f>(SUM('1.  LRAMVA Summary'!H$52:H$69)+SUM('1.  LRAMVA Summary'!H$70:H$71)*(MONTH($E110)-1)/12)*$H110</f>
        <v>-2.8110133333333338E-3</v>
      </c>
      <c r="N110" s="232">
        <f>(SUM('1.  LRAMVA Summary'!I$52:I$69)+SUM('1.  LRAMVA Summary'!I$70:I$71)*(MONTH($E110)-1)/12)*$H110</f>
        <v>-0.47369651174999994</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267.1850468209505</v>
      </c>
    </row>
    <row r="111" spans="2:23" s="9" customFormat="1" hidden="1">
      <c r="B111" s="68"/>
      <c r="E111" s="216">
        <v>42917</v>
      </c>
      <c r="F111" s="216" t="s">
        <v>185</v>
      </c>
      <c r="G111" s="217" t="s">
        <v>68</v>
      </c>
      <c r="H111" s="242">
        <f>$C$41/12</f>
        <v>0</v>
      </c>
      <c r="I111" s="232">
        <f>(SUM('1.  LRAMVA Summary'!D$52:D$69)+SUM('1.  LRAMVA Summary'!D$70:D$71)*(MONTH($E111)-1)/12)*$H111</f>
        <v>0</v>
      </c>
      <c r="J111" s="232">
        <f>(SUM('1.  LRAMVA Summary'!E$52:E$69)+SUM('1.  LRAMVA Summary'!E$70:E$71)*(MONTH($E111)-1)/12)*$H111</f>
        <v>0</v>
      </c>
      <c r="K111" s="232">
        <f>(SUM('1.  LRAMVA Summary'!F$52:F$69)+SUM('1.  LRAMVA Summary'!F$70:F$71)*(MONTH($E111)-1)/12)*$H111</f>
        <v>0</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0</v>
      </c>
    </row>
    <row r="112" spans="2:23" s="9" customFormat="1" hidden="1">
      <c r="B112" s="68"/>
      <c r="E112" s="216">
        <v>42948</v>
      </c>
      <c r="F112" s="216" t="s">
        <v>185</v>
      </c>
      <c r="G112" s="217" t="s">
        <v>68</v>
      </c>
      <c r="H112" s="242">
        <f t="shared" ref="H112:H113" si="51">$C$41/12</f>
        <v>0</v>
      </c>
      <c r="I112" s="232">
        <f>(SUM('1.  LRAMVA Summary'!D$52:D$69)+SUM('1.  LRAMVA Summary'!D$70:D$71)*(MONTH($E112)-1)/12)*$H112</f>
        <v>0</v>
      </c>
      <c r="J112" s="232">
        <f>(SUM('1.  LRAMVA Summary'!E$52:E$69)+SUM('1.  LRAMVA Summary'!E$70:E$71)*(MONTH($E112)-1)/12)*$H112</f>
        <v>0</v>
      </c>
      <c r="K112" s="232">
        <f>(SUM('1.  LRAMVA Summary'!F$52:F$69)+SUM('1.  LRAMVA Summary'!F$70:F$71)*(MONTH($E112)-1)/12)*$H112</f>
        <v>0</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0</v>
      </c>
    </row>
    <row r="113" spans="2:23" s="9" customFormat="1" hidden="1">
      <c r="B113" s="68"/>
      <c r="E113" s="216">
        <v>42979</v>
      </c>
      <c r="F113" s="216" t="s">
        <v>185</v>
      </c>
      <c r="G113" s="217" t="s">
        <v>68</v>
      </c>
      <c r="H113" s="242">
        <f t="shared" si="51"/>
        <v>0</v>
      </c>
      <c r="I113" s="232">
        <f>(SUM('1.  LRAMVA Summary'!D$52:D$69)+SUM('1.  LRAMVA Summary'!D$70:D$71)*(MONTH($E113)-1)/12)*$H113</f>
        <v>0</v>
      </c>
      <c r="J113" s="232">
        <f>(SUM('1.  LRAMVA Summary'!E$52:E$69)+SUM('1.  LRAMVA Summary'!E$70:E$71)*(MONTH($E113)-1)/12)*$H113</f>
        <v>0</v>
      </c>
      <c r="K113" s="232">
        <f>(SUM('1.  LRAMVA Summary'!F$52:F$69)+SUM('1.  LRAMVA Summary'!F$70:F$71)*(MONTH($E113)-1)/12)*$H113</f>
        <v>0</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0</v>
      </c>
    </row>
    <row r="114" spans="2:23" s="9" customFormat="1" hidden="1">
      <c r="B114" s="68"/>
      <c r="E114" s="216">
        <v>43009</v>
      </c>
      <c r="F114" s="216" t="s">
        <v>185</v>
      </c>
      <c r="G114" s="217" t="s">
        <v>69</v>
      </c>
      <c r="H114" s="242">
        <f>$C$42/12</f>
        <v>0</v>
      </c>
      <c r="I114" s="232">
        <f>(SUM('1.  LRAMVA Summary'!D$52:D$69)+SUM('1.  LRAMVA Summary'!D$70:D$71)*(MONTH($E114)-1)/12)*$H114</f>
        <v>0</v>
      </c>
      <c r="J114" s="232">
        <f>(SUM('1.  LRAMVA Summary'!E$52:E$69)+SUM('1.  LRAMVA Summary'!E$70:E$71)*(MONTH($E114)-1)/12)*$H114</f>
        <v>0</v>
      </c>
      <c r="K114" s="232">
        <f>(SUM('1.  LRAMVA Summary'!F$52:F$69)+SUM('1.  LRAMVA Summary'!F$70:F$71)*(MONTH($E114)-1)/12)*$H114</f>
        <v>0</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0</v>
      </c>
    </row>
    <row r="115" spans="2:23" s="9" customFormat="1" hidden="1">
      <c r="B115" s="68"/>
      <c r="E115" s="216">
        <v>43040</v>
      </c>
      <c r="F115" s="216" t="s">
        <v>185</v>
      </c>
      <c r="G115" s="217" t="s">
        <v>69</v>
      </c>
      <c r="H115" s="242">
        <f t="shared" ref="H115:H116" si="52">$C$42/12</f>
        <v>0</v>
      </c>
      <c r="I115" s="232">
        <f>(SUM('1.  LRAMVA Summary'!D$52:D$69)+SUM('1.  LRAMVA Summary'!D$70:D$71)*(MONTH($E115)-1)/12)*$H115</f>
        <v>0</v>
      </c>
      <c r="J115" s="232">
        <f>(SUM('1.  LRAMVA Summary'!E$52:E$69)+SUM('1.  LRAMVA Summary'!E$70:E$71)*(MONTH($E115)-1)/12)*$H115</f>
        <v>0</v>
      </c>
      <c r="K115" s="232">
        <f>(SUM('1.  LRAMVA Summary'!F$52:F$69)+SUM('1.  LRAMVA Summary'!F$70:F$71)*(MONTH($E115)-1)/12)*$H115</f>
        <v>0</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0</v>
      </c>
    </row>
    <row r="116" spans="2:23" s="9" customFormat="1" hidden="1">
      <c r="B116" s="68"/>
      <c r="E116" s="216">
        <v>43070</v>
      </c>
      <c r="F116" s="216" t="s">
        <v>185</v>
      </c>
      <c r="G116" s="217" t="s">
        <v>69</v>
      </c>
      <c r="H116" s="242">
        <f t="shared" si="52"/>
        <v>0</v>
      </c>
      <c r="I116" s="232">
        <f>(SUM('1.  LRAMVA Summary'!D$52:D$69)+SUM('1.  LRAMVA Summary'!D$70:D$71)*(MONTH($E116)-1)/12)*$H116</f>
        <v>0</v>
      </c>
      <c r="J116" s="232">
        <f>(SUM('1.  LRAMVA Summary'!E$52:E$69)+SUM('1.  LRAMVA Summary'!E$70:E$71)*(MONTH($E116)-1)/12)*$H116</f>
        <v>0</v>
      </c>
      <c r="K116" s="232">
        <f>(SUM('1.  LRAMVA Summary'!F$52:F$69)+SUM('1.  LRAMVA Summary'!F$70:F$71)*(MONTH($E116)-1)/12)*$H116</f>
        <v>0</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0</v>
      </c>
    </row>
    <row r="117" spans="2:23" s="9" customFormat="1" ht="15.75" hidden="1" thickBot="1">
      <c r="B117" s="68"/>
      <c r="E117" s="218" t="s">
        <v>469</v>
      </c>
      <c r="F117" s="218"/>
      <c r="G117" s="219"/>
      <c r="H117" s="220"/>
      <c r="I117" s="221">
        <f>SUM(I104:I116)</f>
        <v>802.33335101950297</v>
      </c>
      <c r="J117" s="221">
        <f>SUM(J104:J116)</f>
        <v>4144.5996383158054</v>
      </c>
      <c r="K117" s="221">
        <f t="shared" ref="K117:O117" si="53">SUM(K104:K116)</f>
        <v>-116.2551798329695</v>
      </c>
      <c r="L117" s="221">
        <f t="shared" si="53"/>
        <v>-5.0681054827918794</v>
      </c>
      <c r="M117" s="221">
        <f t="shared" si="53"/>
        <v>-6.3653201766666667E-2</v>
      </c>
      <c r="N117" s="221">
        <f t="shared" si="53"/>
        <v>-10.726488117056247</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4814.8195627007244</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802.33335101950297</v>
      </c>
      <c r="J119" s="230">
        <f t="shared" ref="J119" si="55">J117+J118</f>
        <v>4144.5996383158054</v>
      </c>
      <c r="K119" s="230">
        <f t="shared" ref="K119" si="56">K117+K118</f>
        <v>-116.2551798329695</v>
      </c>
      <c r="L119" s="230">
        <f t="shared" ref="L119" si="57">L117+L118</f>
        <v>-5.0681054827918794</v>
      </c>
      <c r="M119" s="230">
        <f t="shared" ref="M119" si="58">M117+M118</f>
        <v>-6.3653201766666667E-2</v>
      </c>
      <c r="N119" s="230">
        <f t="shared" ref="N119" si="59">N117+N118</f>
        <v>-10.726488117056247</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4814.8195627007244</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hidden="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802.33335101950297</v>
      </c>
      <c r="J132" s="221">
        <f>SUM(J119:J131)</f>
        <v>4144.5996383158054</v>
      </c>
      <c r="K132" s="221">
        <f t="shared" ref="K132:O132" si="67">SUM(K119:K131)</f>
        <v>-116.2551798329695</v>
      </c>
      <c r="L132" s="221">
        <f t="shared" si="67"/>
        <v>-5.0681054827918794</v>
      </c>
      <c r="M132" s="221">
        <f t="shared" si="67"/>
        <v>-6.3653201766666667E-2</v>
      </c>
      <c r="N132" s="221">
        <f t="shared" si="67"/>
        <v>-10.726488117056247</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4814.8195627007244</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802.33335101950297</v>
      </c>
      <c r="J134" s="230">
        <f t="shared" ref="J134" si="69">J132+J133</f>
        <v>4144.5996383158054</v>
      </c>
      <c r="K134" s="230">
        <f t="shared" ref="K134" si="70">K132+K133</f>
        <v>-116.2551798329695</v>
      </c>
      <c r="L134" s="230">
        <f t="shared" ref="L134" si="71">L132+L133</f>
        <v>-5.0681054827918794</v>
      </c>
      <c r="M134" s="230">
        <f t="shared" ref="M134" si="72">M132+M133</f>
        <v>-6.3653201766666667E-2</v>
      </c>
      <c r="N134" s="230">
        <f t="shared" ref="N134" si="73">N132+N133</f>
        <v>-10.726488117056247</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4814.8195627007244</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802.33335101950297</v>
      </c>
      <c r="J147" s="221">
        <f>SUM(J134:J146)</f>
        <v>4144.5996383158054</v>
      </c>
      <c r="K147" s="221">
        <f t="shared" ref="K147:O147" si="80">SUM(K134:K146)</f>
        <v>-116.2551798329695</v>
      </c>
      <c r="L147" s="221">
        <f t="shared" si="80"/>
        <v>-5.0681054827918794</v>
      </c>
      <c r="M147" s="221">
        <f t="shared" si="80"/>
        <v>-6.3653201766666667E-2</v>
      </c>
      <c r="N147" s="221">
        <f t="shared" si="80"/>
        <v>-10.726488117056247</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4814.8195627007244</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802.33335101950297</v>
      </c>
      <c r="J149" s="230">
        <f t="shared" ref="J149" si="82">J147+J148</f>
        <v>4144.5996383158054</v>
      </c>
      <c r="K149" s="230">
        <f t="shared" ref="K149" si="83">K147+K148</f>
        <v>-116.2551798329695</v>
      </c>
      <c r="L149" s="230">
        <f t="shared" ref="L149" si="84">L147+L148</f>
        <v>-5.0681054827918794</v>
      </c>
      <c r="M149" s="230">
        <f t="shared" ref="M149" si="85">M147+M148</f>
        <v>-6.3653201766666667E-2</v>
      </c>
      <c r="N149" s="230">
        <f t="shared" ref="N149" si="86">N147+N148</f>
        <v>-10.726488117056247</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4814.8195627007244</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802.33335101950297</v>
      </c>
      <c r="J162" s="221">
        <f>SUM(J149:J161)</f>
        <v>4144.5996383158054</v>
      </c>
      <c r="K162" s="221">
        <f t="shared" ref="K162:O162" si="93">SUM(K149:K161)</f>
        <v>-116.2551798329695</v>
      </c>
      <c r="L162" s="221">
        <f t="shared" si="93"/>
        <v>-5.0681054827918794</v>
      </c>
      <c r="M162" s="221">
        <f t="shared" si="93"/>
        <v>-6.3653201766666667E-2</v>
      </c>
      <c r="N162" s="221">
        <f t="shared" si="93"/>
        <v>-10.726488117056247</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4814.8195627007244</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528</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6" zoomScale="90" zoomScaleNormal="90" workbookViewId="0">
      <selection activeCell="C18" sqref="C18"/>
    </sheetView>
  </sheetViews>
  <sheetFormatPr defaultColWidth="9.140625" defaultRowHeight="15" outlineLevelRow="1"/>
  <cols>
    <col min="1" max="1" width="5.85546875" style="12" customWidth="1"/>
    <col min="2" max="2" width="24.28515625" style="12" customWidth="1"/>
    <col min="3" max="3" width="71.5703125" style="12" bestFit="1" customWidth="1"/>
    <col min="4" max="4" width="37.7109375" style="12" customWidth="1"/>
    <col min="5" max="5" width="35.140625" style="12"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ustomWidth="1"/>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408</v>
      </c>
      <c r="E13" s="17"/>
      <c r="F13" s="179"/>
      <c r="G13" s="180"/>
      <c r="H13" s="181"/>
      <c r="K13" s="181"/>
      <c r="L13" s="179"/>
      <c r="M13" s="179"/>
      <c r="N13" s="179"/>
      <c r="O13" s="179"/>
      <c r="P13" s="179"/>
      <c r="Q13" s="182"/>
    </row>
    <row r="14" spans="2:73" ht="30" customHeight="1" outlineLevel="1" thickBot="1">
      <c r="B14" s="92"/>
      <c r="D14" s="612" t="s">
        <v>553</v>
      </c>
      <c r="I14" s="12"/>
      <c r="J14" s="12"/>
      <c r="BU14" s="12"/>
    </row>
    <row r="15" spans="2:73" ht="26.25" customHeight="1" outlineLevel="1">
      <c r="C15" s="92"/>
      <c r="I15" s="12"/>
      <c r="J15" s="12"/>
    </row>
    <row r="16" spans="2:73" ht="23.25" customHeight="1" outlineLevel="1">
      <c r="B16" s="118" t="s">
        <v>507</v>
      </c>
      <c r="C16" s="92"/>
      <c r="D16" s="617" t="s">
        <v>625</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619</v>
      </c>
      <c r="C17" s="92"/>
      <c r="D17" s="613" t="s">
        <v>597</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634</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633</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635</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647</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602</v>
      </c>
      <c r="H23" s="10"/>
      <c r="I23" s="10"/>
      <c r="J23" s="10"/>
    </row>
    <row r="24" spans="2:73" s="672" customFormat="1" ht="21" customHeight="1">
      <c r="B24" s="704" t="s">
        <v>606</v>
      </c>
      <c r="C24" s="823" t="s">
        <v>607</v>
      </c>
      <c r="D24" s="823"/>
      <c r="E24" s="823"/>
      <c r="F24" s="823"/>
      <c r="G24" s="823"/>
      <c r="H24" s="680" t="s">
        <v>604</v>
      </c>
      <c r="I24" s="680" t="s">
        <v>603</v>
      </c>
      <c r="J24" s="680" t="s">
        <v>605</v>
      </c>
      <c r="K24" s="671"/>
      <c r="L24" s="672" t="s">
        <v>607</v>
      </c>
      <c r="AQ24" s="672" t="s">
        <v>607</v>
      </c>
      <c r="BU24" s="671"/>
    </row>
    <row r="25" spans="2:73" s="252" customFormat="1" ht="49.5" customHeight="1">
      <c r="B25" s="247" t="s">
        <v>475</v>
      </c>
      <c r="C25" s="247" t="s">
        <v>212</v>
      </c>
      <c r="D25" s="630" t="s">
        <v>476</v>
      </c>
      <c r="E25" s="247" t="s">
        <v>209</v>
      </c>
      <c r="F25" s="247" t="s">
        <v>477</v>
      </c>
      <c r="G25" s="247" t="s">
        <v>478</v>
      </c>
      <c r="H25" s="630" t="s">
        <v>479</v>
      </c>
      <c r="I25" s="638" t="s">
        <v>595</v>
      </c>
      <c r="J25" s="645" t="s">
        <v>596</v>
      </c>
      <c r="K25" s="64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c r="C27" s="694"/>
      <c r="D27" s="694"/>
      <c r="E27" s="694"/>
      <c r="F27" s="694"/>
      <c r="G27" s="694"/>
      <c r="H27" s="694"/>
      <c r="I27" s="646"/>
      <c r="J27" s="646"/>
      <c r="K27" s="635"/>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699"/>
      <c r="AK27" s="699"/>
      <c r="AL27" s="699"/>
      <c r="AM27" s="699"/>
      <c r="AN27" s="699"/>
      <c r="AO27" s="700"/>
      <c r="AP27" s="635"/>
      <c r="AQ27" s="705"/>
      <c r="AR27" s="706"/>
      <c r="AS27" s="707"/>
      <c r="AT27" s="706"/>
      <c r="AU27" s="707"/>
      <c r="AV27" s="706"/>
      <c r="AW27" s="707"/>
      <c r="AX27" s="706"/>
      <c r="AY27" s="707"/>
      <c r="AZ27" s="706"/>
      <c r="BA27" s="707"/>
      <c r="BB27" s="706"/>
      <c r="BC27" s="707"/>
      <c r="BD27" s="706"/>
      <c r="BE27" s="707"/>
      <c r="BF27" s="706"/>
      <c r="BG27" s="707"/>
      <c r="BH27" s="706"/>
      <c r="BI27" s="707"/>
      <c r="BJ27" s="706"/>
      <c r="BK27" s="707"/>
      <c r="BL27" s="706"/>
      <c r="BM27" s="707"/>
      <c r="BN27" s="706"/>
      <c r="BO27" s="707"/>
      <c r="BP27" s="706"/>
      <c r="BQ27" s="707"/>
      <c r="BR27" s="706"/>
      <c r="BS27" s="707"/>
      <c r="BT27" s="708"/>
      <c r="BU27" s="16"/>
    </row>
    <row r="28" spans="2:73" s="17" customFormat="1" ht="15.75">
      <c r="B28" s="694"/>
      <c r="C28" s="694"/>
      <c r="D28" s="694"/>
      <c r="E28" s="694"/>
      <c r="F28" s="694"/>
      <c r="G28" s="694"/>
      <c r="H28" s="694"/>
      <c r="I28" s="646"/>
      <c r="J28" s="646"/>
      <c r="K28" s="635"/>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699"/>
      <c r="AK28" s="699"/>
      <c r="AL28" s="699"/>
      <c r="AM28" s="699"/>
      <c r="AN28" s="699"/>
      <c r="AO28" s="700"/>
      <c r="AP28" s="635"/>
      <c r="AQ28" s="709"/>
      <c r="AR28" s="710"/>
      <c r="AS28" s="711"/>
      <c r="AT28" s="710"/>
      <c r="AU28" s="711"/>
      <c r="AV28" s="710"/>
      <c r="AW28" s="711"/>
      <c r="AX28" s="710"/>
      <c r="AY28" s="711"/>
      <c r="AZ28" s="710"/>
      <c r="BA28" s="711"/>
      <c r="BB28" s="710"/>
      <c r="BC28" s="711"/>
      <c r="BD28" s="710"/>
      <c r="BE28" s="711"/>
      <c r="BF28" s="710"/>
      <c r="BG28" s="711"/>
      <c r="BH28" s="710"/>
      <c r="BI28" s="711"/>
      <c r="BJ28" s="710"/>
      <c r="BK28" s="711"/>
      <c r="BL28" s="710"/>
      <c r="BM28" s="711"/>
      <c r="BN28" s="710"/>
      <c r="BO28" s="711"/>
      <c r="BP28" s="710"/>
      <c r="BQ28" s="711"/>
      <c r="BR28" s="710"/>
      <c r="BS28" s="711"/>
      <c r="BT28" s="712"/>
      <c r="BU28" s="16"/>
    </row>
    <row r="29" spans="2:73" s="17" customFormat="1" ht="16.5" customHeight="1">
      <c r="B29" s="694"/>
      <c r="C29" s="694"/>
      <c r="D29" s="694"/>
      <c r="E29" s="694"/>
      <c r="F29" s="694"/>
      <c r="G29" s="694"/>
      <c r="H29" s="694"/>
      <c r="I29" s="646"/>
      <c r="J29" s="646"/>
      <c r="K29" s="635"/>
      <c r="L29" s="748"/>
      <c r="M29" s="748"/>
      <c r="N29" s="748"/>
      <c r="O29" s="748"/>
      <c r="P29" s="748"/>
      <c r="Q29" s="748"/>
      <c r="R29" s="748"/>
      <c r="S29" s="748"/>
      <c r="T29" s="748"/>
      <c r="U29" s="748"/>
      <c r="V29" s="748"/>
      <c r="W29" s="748"/>
      <c r="X29" s="748"/>
      <c r="Y29" s="748"/>
      <c r="Z29" s="748"/>
      <c r="AA29" s="748"/>
      <c r="AB29" s="748"/>
      <c r="AC29" s="748"/>
      <c r="AD29" s="748"/>
      <c r="AE29" s="748"/>
      <c r="AF29" s="748"/>
      <c r="AG29" s="748"/>
      <c r="AH29" s="748"/>
      <c r="AI29" s="748"/>
      <c r="AJ29" s="699"/>
      <c r="AK29" s="699"/>
      <c r="AL29" s="699"/>
      <c r="AM29" s="699"/>
      <c r="AN29" s="699"/>
      <c r="AO29" s="700"/>
      <c r="AP29" s="635"/>
      <c r="AQ29" s="713"/>
      <c r="AR29" s="714"/>
      <c r="AS29" s="715"/>
      <c r="AT29" s="714"/>
      <c r="AU29" s="715"/>
      <c r="AV29" s="714"/>
      <c r="AW29" s="715"/>
      <c r="AX29" s="714"/>
      <c r="AY29" s="715"/>
      <c r="AZ29" s="714"/>
      <c r="BA29" s="715"/>
      <c r="BB29" s="714"/>
      <c r="BC29" s="715"/>
      <c r="BD29" s="714"/>
      <c r="BE29" s="715"/>
      <c r="BF29" s="714"/>
      <c r="BG29" s="715"/>
      <c r="BH29" s="714"/>
      <c r="BI29" s="715"/>
      <c r="BJ29" s="714"/>
      <c r="BK29" s="715"/>
      <c r="BL29" s="714"/>
      <c r="BM29" s="715"/>
      <c r="BN29" s="714"/>
      <c r="BO29" s="715"/>
      <c r="BP29" s="714"/>
      <c r="BQ29" s="715"/>
      <c r="BR29" s="714"/>
      <c r="BS29" s="715"/>
      <c r="BT29" s="716"/>
      <c r="BU29" s="16"/>
    </row>
    <row r="30" spans="2:73" s="17" customFormat="1" ht="15.75">
      <c r="B30" s="694"/>
      <c r="C30" s="694"/>
      <c r="D30" s="694"/>
      <c r="E30" s="694"/>
      <c r="F30" s="694"/>
      <c r="G30" s="694"/>
      <c r="H30" s="694"/>
      <c r="I30" s="646"/>
      <c r="J30" s="646"/>
      <c r="K30" s="635"/>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699"/>
      <c r="AK30" s="699"/>
      <c r="AL30" s="699"/>
      <c r="AM30" s="699"/>
      <c r="AN30" s="699"/>
      <c r="AO30" s="700"/>
      <c r="AP30" s="635"/>
      <c r="AQ30" s="709"/>
      <c r="AR30" s="710"/>
      <c r="AS30" s="711"/>
      <c r="AT30" s="710"/>
      <c r="AU30" s="711"/>
      <c r="AV30" s="710"/>
      <c r="AW30" s="711"/>
      <c r="AX30" s="710"/>
      <c r="AY30" s="711"/>
      <c r="AZ30" s="710"/>
      <c r="BA30" s="711"/>
      <c r="BB30" s="710"/>
      <c r="BC30" s="711"/>
      <c r="BD30" s="710"/>
      <c r="BE30" s="711"/>
      <c r="BF30" s="710"/>
      <c r="BG30" s="711"/>
      <c r="BH30" s="710"/>
      <c r="BI30" s="711"/>
      <c r="BJ30" s="710"/>
      <c r="BK30" s="711"/>
      <c r="BL30" s="710"/>
      <c r="BM30" s="711"/>
      <c r="BN30" s="710"/>
      <c r="BO30" s="711"/>
      <c r="BP30" s="710"/>
      <c r="BQ30" s="711"/>
      <c r="BR30" s="710"/>
      <c r="BS30" s="711"/>
      <c r="BT30" s="712"/>
      <c r="BU30" s="16"/>
    </row>
    <row r="31" spans="2:73" s="17" customFormat="1" ht="15.75">
      <c r="B31" s="694"/>
      <c r="C31" s="694"/>
      <c r="D31" s="694"/>
      <c r="E31" s="694"/>
      <c r="F31" s="694"/>
      <c r="G31" s="694"/>
      <c r="H31" s="694"/>
      <c r="I31" s="646"/>
      <c r="J31" s="646"/>
      <c r="K31" s="635"/>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699"/>
      <c r="AK31" s="699"/>
      <c r="AL31" s="699"/>
      <c r="AM31" s="699"/>
      <c r="AN31" s="699"/>
      <c r="AO31" s="700"/>
      <c r="AP31" s="635"/>
      <c r="AQ31" s="713"/>
      <c r="AR31" s="714"/>
      <c r="AS31" s="715"/>
      <c r="AT31" s="714"/>
      <c r="AU31" s="715"/>
      <c r="AV31" s="714"/>
      <c r="AW31" s="715"/>
      <c r="AX31" s="714"/>
      <c r="AY31" s="715"/>
      <c r="AZ31" s="714"/>
      <c r="BA31" s="715"/>
      <c r="BB31" s="714"/>
      <c r="BC31" s="715"/>
      <c r="BD31" s="714"/>
      <c r="BE31" s="715"/>
      <c r="BF31" s="714"/>
      <c r="BG31" s="715"/>
      <c r="BH31" s="714"/>
      <c r="BI31" s="715"/>
      <c r="BJ31" s="714"/>
      <c r="BK31" s="715"/>
      <c r="BL31" s="714"/>
      <c r="BM31" s="715"/>
      <c r="BN31" s="714"/>
      <c r="BO31" s="715"/>
      <c r="BP31" s="714"/>
      <c r="BQ31" s="715"/>
      <c r="BR31" s="714"/>
      <c r="BS31" s="715"/>
      <c r="BT31" s="716"/>
      <c r="BU31" s="16"/>
    </row>
    <row r="32" spans="2:73" s="17" customFormat="1" ht="15.75">
      <c r="B32" s="694"/>
      <c r="C32" s="694"/>
      <c r="D32" s="694"/>
      <c r="E32" s="694"/>
      <c r="F32" s="694"/>
      <c r="G32" s="694"/>
      <c r="H32" s="694"/>
      <c r="I32" s="646"/>
      <c r="J32" s="646"/>
      <c r="K32" s="635"/>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699"/>
      <c r="AK32" s="699"/>
      <c r="AL32" s="699"/>
      <c r="AM32" s="699"/>
      <c r="AN32" s="699"/>
      <c r="AO32" s="700"/>
      <c r="AP32" s="635"/>
      <c r="AQ32" s="717"/>
      <c r="AR32" s="718"/>
      <c r="AS32" s="719"/>
      <c r="AT32" s="718"/>
      <c r="AU32" s="719"/>
      <c r="AV32" s="718"/>
      <c r="AW32" s="719"/>
      <c r="AX32" s="718"/>
      <c r="AY32" s="719"/>
      <c r="AZ32" s="718"/>
      <c r="BA32" s="719"/>
      <c r="BB32" s="718"/>
      <c r="BC32" s="719"/>
      <c r="BD32" s="718"/>
      <c r="BE32" s="719"/>
      <c r="BF32" s="718"/>
      <c r="BG32" s="719"/>
      <c r="BH32" s="718"/>
      <c r="BI32" s="719"/>
      <c r="BJ32" s="718"/>
      <c r="BK32" s="719"/>
      <c r="BL32" s="718"/>
      <c r="BM32" s="719"/>
      <c r="BN32" s="718"/>
      <c r="BO32" s="719"/>
      <c r="BP32" s="718"/>
      <c r="BQ32" s="719"/>
      <c r="BR32" s="718"/>
      <c r="BS32" s="719"/>
      <c r="BT32" s="720"/>
      <c r="BU32" s="16"/>
    </row>
    <row r="33" spans="2:73" s="17" customFormat="1" ht="15.75">
      <c r="B33" s="694"/>
      <c r="C33" s="694"/>
      <c r="D33" s="694"/>
      <c r="E33" s="694"/>
      <c r="F33" s="694"/>
      <c r="G33" s="694"/>
      <c r="H33" s="694"/>
      <c r="I33" s="646"/>
      <c r="J33" s="646"/>
      <c r="K33" s="635"/>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699"/>
      <c r="AK33" s="699"/>
      <c r="AL33" s="699"/>
      <c r="AM33" s="699"/>
      <c r="AN33" s="699"/>
      <c r="AO33" s="700"/>
      <c r="AP33" s="635"/>
      <c r="AQ33" s="705"/>
      <c r="AR33" s="706"/>
      <c r="AS33" s="707"/>
      <c r="AT33" s="706"/>
      <c r="AU33" s="707"/>
      <c r="AV33" s="706"/>
      <c r="AW33" s="707"/>
      <c r="AX33" s="706"/>
      <c r="AY33" s="707"/>
      <c r="AZ33" s="706"/>
      <c r="BA33" s="707"/>
      <c r="BB33" s="706"/>
      <c r="BC33" s="707"/>
      <c r="BD33" s="706"/>
      <c r="BE33" s="707"/>
      <c r="BF33" s="706"/>
      <c r="BG33" s="707"/>
      <c r="BH33" s="706"/>
      <c r="BI33" s="707"/>
      <c r="BJ33" s="706"/>
      <c r="BK33" s="707"/>
      <c r="BL33" s="706"/>
      <c r="BM33" s="707"/>
      <c r="BN33" s="706"/>
      <c r="BO33" s="707"/>
      <c r="BP33" s="706"/>
      <c r="BQ33" s="707"/>
      <c r="BR33" s="706"/>
      <c r="BS33" s="707"/>
      <c r="BT33" s="708"/>
      <c r="BU33" s="16"/>
    </row>
    <row r="34" spans="2:73" s="17" customFormat="1" ht="15.75">
      <c r="B34" s="694"/>
      <c r="C34" s="694"/>
      <c r="D34" s="694"/>
      <c r="E34" s="694"/>
      <c r="F34" s="694"/>
      <c r="G34" s="694"/>
      <c r="H34" s="694"/>
      <c r="I34" s="646"/>
      <c r="J34" s="646"/>
      <c r="K34" s="635"/>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699"/>
      <c r="AK34" s="699"/>
      <c r="AL34" s="699"/>
      <c r="AM34" s="699"/>
      <c r="AN34" s="699"/>
      <c r="AO34" s="700"/>
      <c r="AP34" s="635"/>
      <c r="AQ34" s="709"/>
      <c r="AR34" s="710"/>
      <c r="AS34" s="711"/>
      <c r="AT34" s="710"/>
      <c r="AU34" s="711"/>
      <c r="AV34" s="710"/>
      <c r="AW34" s="711"/>
      <c r="AX34" s="710"/>
      <c r="AY34" s="711"/>
      <c r="AZ34" s="710"/>
      <c r="BA34" s="711"/>
      <c r="BB34" s="710"/>
      <c r="BC34" s="711"/>
      <c r="BD34" s="710"/>
      <c r="BE34" s="711"/>
      <c r="BF34" s="710"/>
      <c r="BG34" s="711"/>
      <c r="BH34" s="710"/>
      <c r="BI34" s="711"/>
      <c r="BJ34" s="710"/>
      <c r="BK34" s="711"/>
      <c r="BL34" s="710"/>
      <c r="BM34" s="711"/>
      <c r="BN34" s="710"/>
      <c r="BO34" s="711"/>
      <c r="BP34" s="710"/>
      <c r="BQ34" s="711"/>
      <c r="BR34" s="710"/>
      <c r="BS34" s="711"/>
      <c r="BT34" s="712"/>
      <c r="BU34" s="16"/>
    </row>
    <row r="35" spans="2:73" s="17" customFormat="1" ht="15.75">
      <c r="B35" s="694"/>
      <c r="C35" s="694"/>
      <c r="D35" s="694"/>
      <c r="E35" s="694"/>
      <c r="F35" s="694"/>
      <c r="G35" s="694"/>
      <c r="H35" s="694"/>
      <c r="I35" s="646"/>
      <c r="J35" s="646"/>
      <c r="K35" s="635"/>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699"/>
      <c r="AK35" s="699"/>
      <c r="AL35" s="699"/>
      <c r="AM35" s="699"/>
      <c r="AN35" s="699"/>
      <c r="AO35" s="700"/>
      <c r="AP35" s="635"/>
      <c r="AQ35" s="713"/>
      <c r="AR35" s="714"/>
      <c r="AS35" s="715"/>
      <c r="AT35" s="714"/>
      <c r="AU35" s="715"/>
      <c r="AV35" s="714"/>
      <c r="AW35" s="715"/>
      <c r="AX35" s="714"/>
      <c r="AY35" s="715"/>
      <c r="AZ35" s="714"/>
      <c r="BA35" s="715"/>
      <c r="BB35" s="714"/>
      <c r="BC35" s="715"/>
      <c r="BD35" s="714"/>
      <c r="BE35" s="715"/>
      <c r="BF35" s="714"/>
      <c r="BG35" s="715"/>
      <c r="BH35" s="714"/>
      <c r="BI35" s="715"/>
      <c r="BJ35" s="714"/>
      <c r="BK35" s="715"/>
      <c r="BL35" s="714"/>
      <c r="BM35" s="715"/>
      <c r="BN35" s="714"/>
      <c r="BO35" s="715"/>
      <c r="BP35" s="714"/>
      <c r="BQ35" s="715"/>
      <c r="BR35" s="714"/>
      <c r="BS35" s="715"/>
      <c r="BT35" s="716"/>
      <c r="BU35" s="16"/>
    </row>
    <row r="36" spans="2:73" s="17" customFormat="1" ht="15.75">
      <c r="B36" s="694"/>
      <c r="C36" s="694"/>
      <c r="D36" s="694"/>
      <c r="E36" s="694"/>
      <c r="F36" s="694"/>
      <c r="G36" s="694"/>
      <c r="H36" s="694"/>
      <c r="I36" s="646"/>
      <c r="J36" s="646"/>
      <c r="K36" s="635"/>
      <c r="L36" s="748"/>
      <c r="M36" s="748"/>
      <c r="N36" s="748"/>
      <c r="O36" s="748"/>
      <c r="P36" s="748"/>
      <c r="Q36" s="748"/>
      <c r="R36" s="748"/>
      <c r="S36" s="748"/>
      <c r="T36" s="748"/>
      <c r="U36" s="748"/>
      <c r="V36" s="748"/>
      <c r="W36" s="748"/>
      <c r="X36" s="748"/>
      <c r="Y36" s="748"/>
      <c r="Z36" s="748"/>
      <c r="AA36" s="748"/>
      <c r="AB36" s="748"/>
      <c r="AC36" s="748"/>
      <c r="AD36" s="748"/>
      <c r="AE36" s="748"/>
      <c r="AF36" s="748"/>
      <c r="AG36" s="748"/>
      <c r="AH36" s="748"/>
      <c r="AI36" s="748"/>
      <c r="AJ36" s="699"/>
      <c r="AK36" s="699"/>
      <c r="AL36" s="699"/>
      <c r="AM36" s="699"/>
      <c r="AN36" s="699"/>
      <c r="AO36" s="700"/>
      <c r="AP36" s="635"/>
      <c r="AQ36" s="713"/>
      <c r="AR36" s="714"/>
      <c r="AS36" s="715"/>
      <c r="AT36" s="714"/>
      <c r="AU36" s="715"/>
      <c r="AV36" s="714"/>
      <c r="AW36" s="715"/>
      <c r="AX36" s="714"/>
      <c r="AY36" s="715"/>
      <c r="AZ36" s="714"/>
      <c r="BA36" s="715"/>
      <c r="BB36" s="714"/>
      <c r="BC36" s="715"/>
      <c r="BD36" s="714"/>
      <c r="BE36" s="715"/>
      <c r="BF36" s="714"/>
      <c r="BG36" s="715"/>
      <c r="BH36" s="714"/>
      <c r="BI36" s="715"/>
      <c r="BJ36" s="714"/>
      <c r="BK36" s="715"/>
      <c r="BL36" s="714"/>
      <c r="BM36" s="715"/>
      <c r="BN36" s="714"/>
      <c r="BO36" s="715"/>
      <c r="BP36" s="714"/>
      <c r="BQ36" s="715"/>
      <c r="BR36" s="714"/>
      <c r="BS36" s="715"/>
      <c r="BT36" s="716"/>
      <c r="BU36" s="16"/>
    </row>
    <row r="37" spans="2:73" s="17" customFormat="1" ht="15.75">
      <c r="B37" s="694"/>
      <c r="C37" s="694"/>
      <c r="D37" s="694"/>
      <c r="E37" s="694"/>
      <c r="F37" s="694"/>
      <c r="G37" s="694"/>
      <c r="H37" s="694"/>
      <c r="I37" s="646"/>
      <c r="J37" s="646"/>
      <c r="K37" s="635"/>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699"/>
      <c r="AK37" s="699"/>
      <c r="AL37" s="699"/>
      <c r="AM37" s="699"/>
      <c r="AN37" s="699"/>
      <c r="AO37" s="700"/>
      <c r="AP37" s="635"/>
      <c r="AQ37" s="709"/>
      <c r="AR37" s="710"/>
      <c r="AS37" s="711"/>
      <c r="AT37" s="710"/>
      <c r="AU37" s="711"/>
      <c r="AV37" s="710"/>
      <c r="AW37" s="711"/>
      <c r="AX37" s="710"/>
      <c r="AY37" s="711"/>
      <c r="AZ37" s="710"/>
      <c r="BA37" s="711"/>
      <c r="BB37" s="710"/>
      <c r="BC37" s="711"/>
      <c r="BD37" s="710"/>
      <c r="BE37" s="711"/>
      <c r="BF37" s="710"/>
      <c r="BG37" s="711"/>
      <c r="BH37" s="710"/>
      <c r="BI37" s="711"/>
      <c r="BJ37" s="710"/>
      <c r="BK37" s="711"/>
      <c r="BL37" s="710"/>
      <c r="BM37" s="711"/>
      <c r="BN37" s="710"/>
      <c r="BO37" s="711"/>
      <c r="BP37" s="710"/>
      <c r="BQ37" s="711"/>
      <c r="BR37" s="710"/>
      <c r="BS37" s="711"/>
      <c r="BT37" s="712"/>
      <c r="BU37" s="16"/>
    </row>
    <row r="38" spans="2:73" s="17" customFormat="1" ht="15.75">
      <c r="B38" s="694"/>
      <c r="C38" s="694"/>
      <c r="D38" s="694"/>
      <c r="E38" s="694"/>
      <c r="F38" s="694"/>
      <c r="G38" s="694"/>
      <c r="H38" s="694"/>
      <c r="I38" s="646"/>
      <c r="J38" s="646"/>
      <c r="K38" s="635"/>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699"/>
      <c r="AK38" s="699"/>
      <c r="AL38" s="699"/>
      <c r="AM38" s="699"/>
      <c r="AN38" s="699"/>
      <c r="AO38" s="700"/>
      <c r="AP38" s="635"/>
      <c r="AQ38" s="713"/>
      <c r="AR38" s="714"/>
      <c r="AS38" s="715"/>
      <c r="AT38" s="714"/>
      <c r="AU38" s="715"/>
      <c r="AV38" s="714"/>
      <c r="AW38" s="715"/>
      <c r="AX38" s="714"/>
      <c r="AY38" s="715"/>
      <c r="AZ38" s="714"/>
      <c r="BA38" s="715"/>
      <c r="BB38" s="714"/>
      <c r="BC38" s="715"/>
      <c r="BD38" s="714"/>
      <c r="BE38" s="715"/>
      <c r="BF38" s="714"/>
      <c r="BG38" s="715"/>
      <c r="BH38" s="714"/>
      <c r="BI38" s="715"/>
      <c r="BJ38" s="714"/>
      <c r="BK38" s="715"/>
      <c r="BL38" s="714"/>
      <c r="BM38" s="715"/>
      <c r="BN38" s="714"/>
      <c r="BO38" s="715"/>
      <c r="BP38" s="714"/>
      <c r="BQ38" s="715"/>
      <c r="BR38" s="714"/>
      <c r="BS38" s="715"/>
      <c r="BT38" s="716"/>
      <c r="BU38" s="16"/>
    </row>
    <row r="39" spans="2:73" s="17" customFormat="1" ht="15.75">
      <c r="B39" s="694"/>
      <c r="C39" s="694"/>
      <c r="D39" s="694"/>
      <c r="E39" s="694"/>
      <c r="F39" s="694"/>
      <c r="G39" s="694"/>
      <c r="H39" s="694"/>
      <c r="I39" s="646"/>
      <c r="J39" s="646"/>
      <c r="K39" s="635"/>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699"/>
      <c r="AK39" s="699"/>
      <c r="AL39" s="699"/>
      <c r="AM39" s="699"/>
      <c r="AN39" s="699"/>
      <c r="AO39" s="700"/>
      <c r="AP39" s="635"/>
      <c r="AQ39" s="709"/>
      <c r="AR39" s="710"/>
      <c r="AS39" s="711"/>
      <c r="AT39" s="710"/>
      <c r="AU39" s="711"/>
      <c r="AV39" s="710"/>
      <c r="AW39" s="711"/>
      <c r="AX39" s="710"/>
      <c r="AY39" s="711"/>
      <c r="AZ39" s="710"/>
      <c r="BA39" s="711"/>
      <c r="BB39" s="710"/>
      <c r="BC39" s="711"/>
      <c r="BD39" s="710"/>
      <c r="BE39" s="711"/>
      <c r="BF39" s="710"/>
      <c r="BG39" s="711"/>
      <c r="BH39" s="710"/>
      <c r="BI39" s="711"/>
      <c r="BJ39" s="710"/>
      <c r="BK39" s="711"/>
      <c r="BL39" s="710"/>
      <c r="BM39" s="711"/>
      <c r="BN39" s="710"/>
      <c r="BO39" s="711"/>
      <c r="BP39" s="710"/>
      <c r="BQ39" s="711"/>
      <c r="BR39" s="710"/>
      <c r="BS39" s="711"/>
      <c r="BT39" s="712"/>
      <c r="BU39" s="16"/>
    </row>
    <row r="40" spans="2:73" s="17" customFormat="1" ht="15.75">
      <c r="B40" s="694"/>
      <c r="C40" s="694"/>
      <c r="D40" s="694"/>
      <c r="E40" s="694"/>
      <c r="F40" s="694"/>
      <c r="G40" s="694"/>
      <c r="H40" s="694"/>
      <c r="I40" s="646"/>
      <c r="J40" s="646"/>
      <c r="K40" s="635"/>
      <c r="L40" s="748"/>
      <c r="M40" s="748"/>
      <c r="N40" s="748"/>
      <c r="O40" s="748"/>
      <c r="P40" s="748"/>
      <c r="Q40" s="748"/>
      <c r="R40" s="748"/>
      <c r="S40" s="748"/>
      <c r="T40" s="748"/>
      <c r="U40" s="748"/>
      <c r="V40" s="748"/>
      <c r="W40" s="748"/>
      <c r="X40" s="748"/>
      <c r="Y40" s="748"/>
      <c r="Z40" s="748"/>
      <c r="AA40" s="748"/>
      <c r="AB40" s="748"/>
      <c r="AC40" s="748"/>
      <c r="AD40" s="748"/>
      <c r="AE40" s="748"/>
      <c r="AF40" s="748"/>
      <c r="AG40" s="748"/>
      <c r="AH40" s="748"/>
      <c r="AI40" s="748"/>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09"/>
      <c r="AR41" s="710"/>
      <c r="AS41" s="711"/>
      <c r="AT41" s="710"/>
      <c r="AU41" s="711"/>
      <c r="AV41" s="710"/>
      <c r="AW41" s="711"/>
      <c r="AX41" s="710"/>
      <c r="AY41" s="711"/>
      <c r="AZ41" s="710"/>
      <c r="BA41" s="711"/>
      <c r="BB41" s="710"/>
      <c r="BC41" s="711"/>
      <c r="BD41" s="710"/>
      <c r="BE41" s="711"/>
      <c r="BF41" s="710"/>
      <c r="BG41" s="711"/>
      <c r="BH41" s="710"/>
      <c r="BI41" s="711"/>
      <c r="BJ41" s="710"/>
      <c r="BK41" s="711"/>
      <c r="BL41" s="710"/>
      <c r="BM41" s="711"/>
      <c r="BN41" s="710"/>
      <c r="BO41" s="711"/>
      <c r="BP41" s="710"/>
      <c r="BQ41" s="711"/>
      <c r="BR41" s="710"/>
      <c r="BS41" s="711"/>
      <c r="BT41" s="712"/>
      <c r="BU41" s="16"/>
    </row>
    <row r="42" spans="2:73" s="17" customFormat="1" ht="15.75">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13"/>
      <c r="AR42" s="714"/>
      <c r="AS42" s="715"/>
      <c r="AT42" s="714"/>
      <c r="AU42" s="715"/>
      <c r="AV42" s="714"/>
      <c r="AW42" s="715"/>
      <c r="AX42" s="714"/>
      <c r="AY42" s="715"/>
      <c r="AZ42" s="714"/>
      <c r="BA42" s="715"/>
      <c r="BB42" s="714"/>
      <c r="BC42" s="715"/>
      <c r="BD42" s="714"/>
      <c r="BE42" s="715"/>
      <c r="BF42" s="714"/>
      <c r="BG42" s="715"/>
      <c r="BH42" s="714"/>
      <c r="BI42" s="715"/>
      <c r="BJ42" s="714"/>
      <c r="BK42" s="715"/>
      <c r="BL42" s="714"/>
      <c r="BM42" s="715"/>
      <c r="BN42" s="714"/>
      <c r="BO42" s="715"/>
      <c r="BP42" s="714"/>
      <c r="BQ42" s="715"/>
      <c r="BR42" s="714"/>
      <c r="BS42" s="715"/>
      <c r="BT42" s="716"/>
      <c r="BU42" s="16"/>
    </row>
    <row r="43" spans="2:73" s="17" customFormat="1" ht="15.75">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7"/>
      <c r="AR43" s="718"/>
      <c r="AS43" s="719"/>
      <c r="AT43" s="718"/>
      <c r="AU43" s="719"/>
      <c r="AV43" s="718"/>
      <c r="AW43" s="719"/>
      <c r="AX43" s="718"/>
      <c r="AY43" s="719"/>
      <c r="AZ43" s="718"/>
      <c r="BA43" s="719"/>
      <c r="BB43" s="718"/>
      <c r="BC43" s="719"/>
      <c r="BD43" s="718"/>
      <c r="BE43" s="719"/>
      <c r="BF43" s="718"/>
      <c r="BG43" s="719"/>
      <c r="BH43" s="718"/>
      <c r="BI43" s="719"/>
      <c r="BJ43" s="718"/>
      <c r="BK43" s="719"/>
      <c r="BL43" s="718"/>
      <c r="BM43" s="719"/>
      <c r="BN43" s="718"/>
      <c r="BO43" s="719"/>
      <c r="BP43" s="718"/>
      <c r="BQ43" s="719"/>
      <c r="BR43" s="718"/>
      <c r="BS43" s="719"/>
      <c r="BT43" s="720"/>
      <c r="BU43" s="16"/>
    </row>
    <row r="44" spans="2:73" s="17" customFormat="1" ht="15.75">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698"/>
      <c r="AR44" s="699"/>
      <c r="AS44" s="699"/>
      <c r="AT44" s="699"/>
      <c r="AU44" s="699"/>
      <c r="AV44" s="699"/>
      <c r="AW44" s="699"/>
      <c r="AX44" s="699"/>
      <c r="AY44" s="699"/>
      <c r="AZ44" s="699"/>
      <c r="BA44" s="699"/>
      <c r="BB44" s="699"/>
      <c r="BC44" s="699"/>
      <c r="BD44" s="699"/>
      <c r="BE44" s="699"/>
      <c r="BF44" s="699"/>
      <c r="BG44" s="699"/>
      <c r="BH44" s="699"/>
      <c r="BI44" s="699"/>
      <c r="BJ44" s="699"/>
      <c r="BK44" s="699"/>
      <c r="BL44" s="699"/>
      <c r="BM44" s="699"/>
      <c r="BN44" s="699"/>
      <c r="BO44" s="699"/>
      <c r="BP44" s="699"/>
      <c r="BQ44" s="699"/>
      <c r="BR44" s="699"/>
      <c r="BS44" s="699"/>
      <c r="BT44" s="700"/>
      <c r="BU44" s="16"/>
    </row>
    <row r="45" spans="2:73" s="17" customFormat="1" ht="15.75">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75">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75">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75">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75">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75">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75">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75">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ht="15.75">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c r="BU60" s="165"/>
    </row>
    <row r="61" spans="2:73">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701"/>
      <c r="AR71" s="702"/>
      <c r="AS71" s="702"/>
      <c r="AT71" s="702"/>
      <c r="AU71" s="702"/>
      <c r="AV71" s="702"/>
      <c r="AW71" s="702"/>
      <c r="AX71" s="702"/>
      <c r="AY71" s="702"/>
      <c r="AZ71" s="702"/>
      <c r="BA71" s="702"/>
      <c r="BB71" s="702"/>
      <c r="BC71" s="702"/>
      <c r="BD71" s="702"/>
      <c r="BE71" s="702"/>
      <c r="BF71" s="702"/>
      <c r="BG71" s="702"/>
      <c r="BH71" s="702"/>
      <c r="BI71" s="702"/>
      <c r="BJ71" s="702"/>
      <c r="BK71" s="702"/>
      <c r="BL71" s="702"/>
      <c r="BM71" s="702"/>
      <c r="BN71" s="702"/>
      <c r="BO71" s="702"/>
      <c r="BP71" s="702"/>
      <c r="BQ71" s="702"/>
      <c r="BR71" s="702"/>
      <c r="BS71" s="702"/>
      <c r="BT71" s="703"/>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695"/>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c r="BN72" s="696"/>
      <c r="BO72" s="696"/>
      <c r="BP72" s="696"/>
      <c r="BQ72" s="696"/>
      <c r="BR72" s="696"/>
      <c r="BS72" s="696"/>
      <c r="BT72" s="697"/>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8"/>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c r="BN73" s="699"/>
      <c r="BO73" s="699"/>
      <c r="BP73" s="699"/>
      <c r="BQ73" s="699"/>
      <c r="BR73" s="699"/>
      <c r="BS73" s="699"/>
      <c r="BT73" s="700"/>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AQ27:BT32 L27:AO32">
    <cfRule type="cellIs" dxfId="4" priority="5" operator="equal">
      <formula>0</formula>
    </cfRule>
  </conditionalFormatting>
  <conditionalFormatting sqref="AQ33:BT43 L33:AO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ColWidth="9.140625" defaultRowHeight="15"/>
  <cols>
    <col min="1" max="16384" width="9.140625" style="12"/>
  </cols>
  <sheetData>
    <row r="12" spans="2:22" ht="24" customHeight="1"/>
    <row r="13" spans="2:22" ht="15.75">
      <c r="B13" s="590" t="s">
        <v>507</v>
      </c>
    </row>
    <row r="14" spans="2:22" ht="15.75">
      <c r="B14" s="590"/>
    </row>
    <row r="15" spans="2:22" s="670" customFormat="1" ht="27" customHeight="1">
      <c r="B15" s="668" t="s">
        <v>684</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6" activePane="bottomLeft" state="frozen"/>
      <selection pane="bottomLeft" activeCell="F50" sqref="F50"/>
    </sheetView>
  </sheetViews>
  <sheetFormatPr defaultColWidth="9.140625" defaultRowHeight="15"/>
  <cols>
    <col min="1" max="1" width="9.140625" style="12"/>
    <col min="2" max="2" width="36.85546875" style="722" customWidth="1"/>
    <col min="3" max="3" width="9.140625" style="10"/>
    <col min="4" max="16384" width="9.140625" style="12"/>
  </cols>
  <sheetData>
    <row r="16" spans="2:21" ht="26.25" customHeight="1">
      <c r="B16" s="723" t="s">
        <v>563</v>
      </c>
      <c r="C16" s="758" t="s">
        <v>507</v>
      </c>
      <c r="D16" s="759"/>
      <c r="E16" s="759"/>
      <c r="F16" s="759"/>
      <c r="G16" s="759"/>
      <c r="H16" s="759"/>
      <c r="I16" s="759"/>
      <c r="J16" s="759"/>
      <c r="K16" s="759"/>
      <c r="L16" s="759"/>
      <c r="M16" s="759"/>
      <c r="N16" s="759"/>
      <c r="O16" s="759"/>
      <c r="P16" s="759"/>
      <c r="Q16" s="759"/>
      <c r="R16" s="759"/>
      <c r="S16" s="759"/>
      <c r="T16" s="759"/>
      <c r="U16" s="759"/>
    </row>
    <row r="17" spans="2:21" ht="55.5" customHeight="1">
      <c r="B17" s="724" t="s">
        <v>650</v>
      </c>
      <c r="C17" s="760" t="s">
        <v>651</v>
      </c>
      <c r="D17" s="760"/>
      <c r="E17" s="760"/>
      <c r="F17" s="760"/>
      <c r="G17" s="760"/>
      <c r="H17" s="760"/>
      <c r="I17" s="760"/>
      <c r="J17" s="760"/>
      <c r="K17" s="760"/>
      <c r="L17" s="760"/>
      <c r="M17" s="760"/>
      <c r="N17" s="760"/>
      <c r="O17" s="760"/>
      <c r="P17" s="760"/>
      <c r="Q17" s="760"/>
      <c r="R17" s="760"/>
      <c r="S17" s="760"/>
      <c r="T17" s="760"/>
      <c r="U17" s="761"/>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655</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652</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57" t="s">
        <v>653</v>
      </c>
      <c r="D23" s="757"/>
      <c r="E23" s="757"/>
      <c r="F23" s="757"/>
      <c r="G23" s="757"/>
      <c r="H23" s="757"/>
      <c r="I23" s="757"/>
      <c r="J23" s="757"/>
      <c r="K23" s="757"/>
      <c r="L23" s="757"/>
      <c r="M23" s="757"/>
      <c r="N23" s="757"/>
      <c r="O23" s="757"/>
      <c r="P23" s="757"/>
      <c r="Q23" s="757"/>
      <c r="R23" s="757"/>
      <c r="S23" s="757"/>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656</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57" t="s">
        <v>654</v>
      </c>
      <c r="D27" s="757"/>
      <c r="E27" s="757"/>
      <c r="F27" s="757"/>
      <c r="G27" s="757"/>
      <c r="H27" s="757"/>
      <c r="I27" s="757"/>
      <c r="J27" s="757"/>
      <c r="K27" s="757"/>
      <c r="L27" s="757"/>
      <c r="M27" s="757"/>
      <c r="N27" s="757"/>
      <c r="O27" s="757"/>
      <c r="P27" s="757"/>
      <c r="Q27" s="757"/>
      <c r="R27" s="757"/>
      <c r="S27" s="757"/>
      <c r="T27" s="757"/>
      <c r="U27" s="762"/>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57" t="s">
        <v>657</v>
      </c>
      <c r="D29" s="757"/>
      <c r="E29" s="757"/>
      <c r="F29" s="757"/>
      <c r="G29" s="757"/>
      <c r="H29" s="757"/>
      <c r="I29" s="757"/>
      <c r="J29" s="757"/>
      <c r="K29" s="757"/>
      <c r="L29" s="757"/>
      <c r="M29" s="757"/>
      <c r="N29" s="757"/>
      <c r="O29" s="757"/>
      <c r="P29" s="757"/>
      <c r="Q29" s="757"/>
      <c r="R29" s="757"/>
      <c r="S29" s="757"/>
      <c r="T29" s="757"/>
      <c r="U29" s="762"/>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658</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659</v>
      </c>
      <c r="C33" s="763" t="s">
        <v>660</v>
      </c>
      <c r="D33" s="763"/>
      <c r="E33" s="763"/>
      <c r="F33" s="763"/>
      <c r="G33" s="763"/>
      <c r="H33" s="763"/>
      <c r="I33" s="763"/>
      <c r="J33" s="763"/>
      <c r="K33" s="763"/>
      <c r="L33" s="763"/>
      <c r="M33" s="763"/>
      <c r="N33" s="763"/>
      <c r="O33" s="763"/>
      <c r="P33" s="763"/>
      <c r="Q33" s="763"/>
      <c r="R33" s="763"/>
      <c r="S33" s="763"/>
      <c r="T33" s="763"/>
      <c r="U33" s="764"/>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661</v>
      </c>
      <c r="C35" s="738" t="s">
        <v>662</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663</v>
      </c>
      <c r="C37" s="765" t="s">
        <v>664</v>
      </c>
      <c r="D37" s="765"/>
      <c r="E37" s="765"/>
      <c r="F37" s="765"/>
      <c r="G37" s="765"/>
      <c r="H37" s="765"/>
      <c r="I37" s="765"/>
      <c r="J37" s="765"/>
      <c r="K37" s="765"/>
      <c r="L37" s="765"/>
      <c r="M37" s="765"/>
      <c r="N37" s="765"/>
      <c r="O37" s="765"/>
      <c r="P37" s="765"/>
      <c r="Q37" s="765"/>
      <c r="R37" s="765"/>
      <c r="S37" s="765"/>
      <c r="T37" s="765"/>
      <c r="U37" s="766"/>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665</v>
      </c>
      <c r="C39" s="740" t="s">
        <v>666</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667</v>
      </c>
      <c r="C41" s="767" t="s">
        <v>668</v>
      </c>
      <c r="D41" s="767"/>
      <c r="E41" s="767"/>
      <c r="F41" s="767"/>
      <c r="G41" s="767"/>
      <c r="H41" s="767"/>
      <c r="I41" s="767"/>
      <c r="J41" s="767"/>
      <c r="K41" s="767"/>
      <c r="L41" s="767"/>
      <c r="M41" s="767"/>
      <c r="N41" s="767"/>
      <c r="O41" s="767"/>
      <c r="P41" s="767"/>
      <c r="Q41" s="767"/>
      <c r="R41" s="767"/>
      <c r="S41" s="767"/>
      <c r="T41" s="767"/>
      <c r="U41" s="768"/>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669</v>
      </c>
      <c r="C43" s="738" t="s">
        <v>670</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55" t="s">
        <v>674</v>
      </c>
      <c r="D45" s="755"/>
      <c r="E45" s="755"/>
      <c r="F45" s="755"/>
      <c r="G45" s="755"/>
      <c r="H45" s="755"/>
      <c r="I45" s="755"/>
      <c r="J45" s="755"/>
      <c r="K45" s="755"/>
      <c r="L45" s="755"/>
      <c r="M45" s="755"/>
      <c r="N45" s="755"/>
      <c r="O45" s="755"/>
      <c r="P45" s="755"/>
      <c r="Q45" s="755"/>
      <c r="R45" s="755"/>
      <c r="S45" s="755"/>
      <c r="T45" s="755"/>
      <c r="U45" s="756"/>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55" t="s">
        <v>671</v>
      </c>
      <c r="D47" s="755"/>
      <c r="E47" s="755"/>
      <c r="F47" s="755"/>
      <c r="G47" s="755"/>
      <c r="H47" s="755"/>
      <c r="I47" s="755"/>
      <c r="J47" s="755"/>
      <c r="K47" s="755"/>
      <c r="L47" s="755"/>
      <c r="M47" s="755"/>
      <c r="N47" s="755"/>
      <c r="O47" s="755"/>
      <c r="P47" s="755"/>
      <c r="Q47" s="755"/>
      <c r="R47" s="755"/>
      <c r="S47" s="755"/>
      <c r="T47" s="755"/>
      <c r="U47" s="756"/>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55" t="s">
        <v>672</v>
      </c>
      <c r="D49" s="755"/>
      <c r="E49" s="755"/>
      <c r="F49" s="755"/>
      <c r="G49" s="755"/>
      <c r="H49" s="755"/>
      <c r="I49" s="755"/>
      <c r="J49" s="755"/>
      <c r="K49" s="755"/>
      <c r="L49" s="755"/>
      <c r="M49" s="755"/>
      <c r="N49" s="755"/>
      <c r="O49" s="755"/>
      <c r="P49" s="755"/>
      <c r="Q49" s="755"/>
      <c r="R49" s="755"/>
      <c r="S49" s="755"/>
      <c r="T49" s="755"/>
      <c r="U49" s="756"/>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55" t="s">
        <v>673</v>
      </c>
      <c r="D51" s="755"/>
      <c r="E51" s="755"/>
      <c r="F51" s="755"/>
      <c r="G51" s="755"/>
      <c r="H51" s="755"/>
      <c r="I51" s="755"/>
      <c r="J51" s="755"/>
      <c r="K51" s="755"/>
      <c r="L51" s="755"/>
      <c r="M51" s="755"/>
      <c r="N51" s="755"/>
      <c r="O51" s="755"/>
      <c r="P51" s="755"/>
      <c r="Q51" s="755"/>
      <c r="R51" s="755"/>
      <c r="S51" s="755"/>
      <c r="T51" s="755"/>
      <c r="U51" s="756"/>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57" t="s">
        <v>675</v>
      </c>
      <c r="D53" s="757"/>
      <c r="E53" s="757"/>
      <c r="F53" s="757"/>
      <c r="G53" s="757"/>
      <c r="H53" s="757"/>
      <c r="I53" s="757"/>
      <c r="J53" s="757"/>
      <c r="K53" s="757"/>
      <c r="L53" s="757"/>
      <c r="M53" s="757"/>
      <c r="N53" s="757"/>
      <c r="O53" s="757"/>
      <c r="P53" s="757"/>
      <c r="Q53" s="757"/>
      <c r="R53" s="757"/>
      <c r="S53" s="757"/>
      <c r="T53" s="757"/>
      <c r="U53" s="762"/>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676</v>
      </c>
      <c r="C55" s="765" t="s">
        <v>677</v>
      </c>
      <c r="D55" s="765"/>
      <c r="E55" s="765"/>
      <c r="F55" s="765"/>
      <c r="G55" s="765"/>
      <c r="H55" s="765"/>
      <c r="I55" s="765"/>
      <c r="J55" s="765"/>
      <c r="K55" s="765"/>
      <c r="L55" s="765"/>
      <c r="M55" s="765"/>
      <c r="N55" s="765"/>
      <c r="O55" s="765"/>
      <c r="P55" s="765"/>
      <c r="Q55" s="765"/>
      <c r="R55" s="765"/>
      <c r="S55" s="765"/>
      <c r="T55" s="765"/>
      <c r="U55" s="766"/>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678</v>
      </c>
      <c r="C57" s="765" t="s">
        <v>679</v>
      </c>
      <c r="D57" s="765"/>
      <c r="E57" s="765"/>
      <c r="F57" s="765"/>
      <c r="G57" s="765"/>
      <c r="H57" s="765"/>
      <c r="I57" s="765"/>
      <c r="J57" s="765"/>
      <c r="K57" s="765"/>
      <c r="L57" s="765"/>
      <c r="M57" s="765"/>
      <c r="N57" s="765"/>
      <c r="O57" s="765"/>
      <c r="P57" s="765"/>
      <c r="Q57" s="765"/>
      <c r="R57" s="765"/>
      <c r="S57" s="765"/>
      <c r="T57" s="765"/>
      <c r="U57" s="766"/>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680</v>
      </c>
      <c r="C59" s="745" t="s">
        <v>681</v>
      </c>
      <c r="D59" s="746"/>
      <c r="E59" s="746"/>
      <c r="F59" s="746"/>
      <c r="G59" s="746"/>
      <c r="H59" s="746"/>
      <c r="I59" s="746"/>
      <c r="J59" s="746"/>
      <c r="K59" s="746"/>
      <c r="L59" s="746"/>
      <c r="M59" s="746"/>
      <c r="N59" s="746"/>
      <c r="O59" s="746"/>
      <c r="P59" s="746"/>
      <c r="Q59" s="746"/>
      <c r="R59" s="746"/>
      <c r="S59" s="746"/>
      <c r="T59" s="746"/>
      <c r="U59" s="74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4"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0" t="s">
        <v>567</v>
      </c>
      <c r="C3" s="771"/>
      <c r="D3" s="771"/>
      <c r="E3" s="771"/>
      <c r="F3" s="772"/>
      <c r="G3" s="124"/>
    </row>
    <row r="4" spans="2:20" ht="16.5" customHeight="1">
      <c r="B4" s="773"/>
      <c r="C4" s="774"/>
      <c r="D4" s="774"/>
      <c r="E4" s="774"/>
      <c r="F4" s="775"/>
      <c r="G4" s="124"/>
    </row>
    <row r="5" spans="2:20" ht="71.25" customHeight="1">
      <c r="B5" s="773"/>
      <c r="C5" s="774"/>
      <c r="D5" s="774"/>
      <c r="E5" s="774"/>
      <c r="F5" s="775"/>
      <c r="G5" s="124"/>
    </row>
    <row r="6" spans="2:20" ht="21.75" customHeight="1">
      <c r="B6" s="776"/>
      <c r="C6" s="777"/>
      <c r="D6" s="777"/>
      <c r="E6" s="777"/>
      <c r="F6" s="778"/>
      <c r="G6" s="124"/>
    </row>
    <row r="8" spans="2:20" ht="21">
      <c r="B8" s="769" t="s">
        <v>483</v>
      </c>
      <c r="C8" s="769"/>
      <c r="D8" s="769"/>
      <c r="E8" s="769"/>
      <c r="F8" s="769"/>
      <c r="G8" s="769"/>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t="s">
        <v>420</v>
      </c>
      <c r="C13" s="126" t="s">
        <v>641</v>
      </c>
      <c r="G13" s="111"/>
      <c r="L13" s="33"/>
      <c r="M13" s="33"/>
      <c r="N13" s="33"/>
      <c r="O13" s="33"/>
      <c r="P13" s="33"/>
      <c r="Q13" s="70"/>
      <c r="S13" s="8"/>
      <c r="T13" s="8"/>
    </row>
    <row r="14" spans="2:20" s="9" customFormat="1" ht="26.25" customHeight="1" thickBot="1">
      <c r="B14" s="104" t="s">
        <v>420</v>
      </c>
      <c r="C14" s="174" t="s">
        <v>636</v>
      </c>
      <c r="G14" s="125"/>
      <c r="L14" s="33"/>
      <c r="M14" s="33"/>
      <c r="N14" s="33"/>
      <c r="O14" s="33"/>
      <c r="P14" s="33"/>
      <c r="Q14" s="70"/>
      <c r="S14" s="8"/>
      <c r="T14" s="8"/>
    </row>
    <row r="15" spans="2:20" s="9" customFormat="1" ht="26.25" customHeight="1" thickBot="1">
      <c r="B15" s="104" t="s">
        <v>418</v>
      </c>
      <c r="C15" s="174" t="s">
        <v>637</v>
      </c>
      <c r="G15" s="125"/>
      <c r="L15" s="33"/>
      <c r="M15" s="33"/>
      <c r="N15" s="33"/>
      <c r="O15" s="33"/>
      <c r="P15" s="33"/>
      <c r="Q15" s="70"/>
      <c r="S15" s="8"/>
      <c r="T15" s="8"/>
    </row>
    <row r="16" spans="2:20" s="9" customFormat="1" ht="26.25" customHeight="1" thickBot="1">
      <c r="B16" s="104" t="s">
        <v>418</v>
      </c>
      <c r="C16" s="174" t="s">
        <v>638</v>
      </c>
      <c r="G16" s="125"/>
      <c r="L16" s="33"/>
      <c r="M16" s="33"/>
      <c r="N16" s="33"/>
      <c r="O16" s="33"/>
      <c r="P16" s="33"/>
      <c r="Q16" s="70"/>
      <c r="S16" s="8"/>
      <c r="T16" s="8"/>
    </row>
    <row r="17" spans="2:20" s="9" customFormat="1" ht="26.25" customHeight="1" thickBot="1">
      <c r="B17" s="104" t="s">
        <v>418</v>
      </c>
      <c r="C17" s="126" t="s">
        <v>639</v>
      </c>
      <c r="G17" s="111"/>
      <c r="L17" s="33"/>
      <c r="M17" s="33"/>
      <c r="N17" s="33"/>
      <c r="O17" s="33"/>
      <c r="P17" s="33"/>
      <c r="Q17" s="70"/>
      <c r="S17" s="8"/>
      <c r="T17" s="8"/>
    </row>
    <row r="18" spans="2:20" s="9" customFormat="1" ht="26.25" customHeight="1" thickBot="1">
      <c r="B18" s="104" t="s">
        <v>420</v>
      </c>
      <c r="C18" s="126" t="s">
        <v>640</v>
      </c>
      <c r="G18" s="125"/>
      <c r="L18" s="33"/>
      <c r="M18" s="33"/>
      <c r="N18" s="33"/>
      <c r="O18" s="33"/>
      <c r="P18" s="33"/>
      <c r="Q18" s="70"/>
      <c r="S18" s="8"/>
      <c r="T18" s="8"/>
    </row>
    <row r="19" spans="2:20" s="9" customFormat="1" ht="26.25" customHeight="1" thickBot="1">
      <c r="B19" s="104" t="s">
        <v>420</v>
      </c>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9" t="s">
        <v>545</v>
      </c>
      <c r="C22" s="655" t="s">
        <v>439</v>
      </c>
      <c r="D22" s="658" t="s">
        <v>445</v>
      </c>
      <c r="E22" s="662" t="s">
        <v>599</v>
      </c>
      <c r="F22" s="658" t="s">
        <v>450</v>
      </c>
      <c r="G22" s="176"/>
      <c r="M22" s="647"/>
      <c r="T22" s="647"/>
    </row>
    <row r="23" spans="2:20" s="105" customFormat="1" ht="35.25" customHeight="1">
      <c r="B23" s="650" t="s">
        <v>460</v>
      </c>
      <c r="C23" s="656" t="s">
        <v>440</v>
      </c>
      <c r="D23" s="659" t="s">
        <v>446</v>
      </c>
      <c r="E23" s="663" t="s">
        <v>599</v>
      </c>
      <c r="F23" s="659" t="s">
        <v>450</v>
      </c>
      <c r="G23" s="176"/>
      <c r="M23" s="647"/>
      <c r="T23" s="647"/>
    </row>
    <row r="24" spans="2:20" s="105" customFormat="1" ht="34.5" customHeight="1">
      <c r="B24" s="650" t="s">
        <v>457</v>
      </c>
      <c r="C24" s="656" t="s">
        <v>440</v>
      </c>
      <c r="D24" s="659" t="s">
        <v>447</v>
      </c>
      <c r="E24" s="663" t="s">
        <v>599</v>
      </c>
      <c r="F24" s="659" t="s">
        <v>450</v>
      </c>
      <c r="G24" s="176"/>
      <c r="M24" s="647"/>
      <c r="T24" s="647"/>
    </row>
    <row r="25" spans="2:20" s="105" customFormat="1" ht="32.25" customHeight="1">
      <c r="B25" s="651" t="s">
        <v>458</v>
      </c>
      <c r="C25" s="656" t="s">
        <v>439</v>
      </c>
      <c r="D25" s="659" t="s">
        <v>448</v>
      </c>
      <c r="E25" s="664" t="s">
        <v>618</v>
      </c>
      <c r="F25" s="667"/>
      <c r="G25" s="176"/>
      <c r="M25" s="647"/>
      <c r="T25" s="647"/>
    </row>
    <row r="26" spans="2:20" s="105" customFormat="1" ht="30.75" customHeight="1">
      <c r="B26" s="652" t="s">
        <v>543</v>
      </c>
      <c r="C26" s="656" t="s">
        <v>439</v>
      </c>
      <c r="D26" s="659"/>
      <c r="E26" s="664"/>
      <c r="F26" s="667"/>
      <c r="G26" s="176"/>
      <c r="M26" s="647"/>
      <c r="T26" s="647"/>
    </row>
    <row r="27" spans="2:20" s="105" customFormat="1" ht="32.25" customHeight="1">
      <c r="B27" s="653" t="s">
        <v>544</v>
      </c>
      <c r="C27" s="656" t="s">
        <v>439</v>
      </c>
      <c r="D27" s="660" t="s">
        <v>540</v>
      </c>
      <c r="E27" s="664"/>
      <c r="F27" s="667"/>
      <c r="G27" s="176"/>
      <c r="M27" s="647"/>
      <c r="T27" s="647"/>
    </row>
    <row r="28" spans="2:20" s="105" customFormat="1" ht="27" customHeight="1">
      <c r="B28" s="651" t="s">
        <v>459</v>
      </c>
      <c r="C28" s="656" t="s">
        <v>442</v>
      </c>
      <c r="D28" s="659" t="s">
        <v>484</v>
      </c>
      <c r="E28" s="664" t="s">
        <v>461</v>
      </c>
      <c r="F28" s="667"/>
      <c r="G28" s="176"/>
      <c r="M28" s="647"/>
      <c r="T28" s="647"/>
    </row>
    <row r="29" spans="2:20" s="105" customFormat="1" ht="27" customHeight="1">
      <c r="B29" s="653" t="s">
        <v>454</v>
      </c>
      <c r="C29" s="656" t="s">
        <v>439</v>
      </c>
      <c r="D29" s="659"/>
      <c r="E29" s="664"/>
      <c r="F29" s="659" t="s">
        <v>409</v>
      </c>
      <c r="G29" s="176"/>
      <c r="M29" s="647"/>
      <c r="T29" s="647"/>
    </row>
    <row r="30" spans="2:20" s="105" customFormat="1" ht="32.25" customHeight="1">
      <c r="B30" s="651" t="s">
        <v>208</v>
      </c>
      <c r="C30" s="656" t="s">
        <v>444</v>
      </c>
      <c r="D30" s="659" t="s">
        <v>557</v>
      </c>
      <c r="E30" s="665"/>
      <c r="F30" s="659" t="s">
        <v>556</v>
      </c>
      <c r="G30" s="648"/>
      <c r="M30" s="647"/>
    </row>
    <row r="31" spans="2:20" s="105" customFormat="1" ht="27.75" customHeight="1">
      <c r="B31" s="654" t="s">
        <v>541</v>
      </c>
      <c r="C31" s="657" t="s">
        <v>443</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582</v>
      </c>
      <c r="H1" s="122" t="s">
        <v>593</v>
      </c>
    </row>
    <row r="2" spans="1:8">
      <c r="A2" s="12" t="s">
        <v>29</v>
      </c>
      <c r="B2" s="12" t="s">
        <v>27</v>
      </c>
      <c r="C2" s="10">
        <v>2006</v>
      </c>
      <c r="D2" s="12" t="s">
        <v>418</v>
      </c>
      <c r="E2" s="10">
        <f>'2. LRAMVA Threshold'!D9</f>
        <v>2013</v>
      </c>
      <c r="F2" s="26" t="s">
        <v>171</v>
      </c>
      <c r="G2" s="12" t="s">
        <v>583</v>
      </c>
      <c r="H2" s="12" t="s">
        <v>601</v>
      </c>
    </row>
    <row r="3" spans="1:8">
      <c r="A3" s="12" t="s">
        <v>373</v>
      </c>
      <c r="B3" s="12" t="s">
        <v>27</v>
      </c>
      <c r="C3" s="10">
        <v>2007</v>
      </c>
      <c r="D3" s="12" t="s">
        <v>419</v>
      </c>
      <c r="E3" s="10">
        <f>'2. LRAMVA Threshold'!D24</f>
        <v>0</v>
      </c>
      <c r="F3" s="12" t="s">
        <v>552</v>
      </c>
      <c r="G3" s="12" t="s">
        <v>584</v>
      </c>
      <c r="H3" s="12" t="s">
        <v>594</v>
      </c>
    </row>
    <row r="4" spans="1:8">
      <c r="A4" s="12" t="s">
        <v>374</v>
      </c>
      <c r="B4" s="12" t="s">
        <v>28</v>
      </c>
      <c r="C4" s="10">
        <v>2008</v>
      </c>
      <c r="D4" s="12" t="s">
        <v>420</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560</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37" zoomScale="70" zoomScaleNormal="70" workbookViewId="0">
      <selection activeCell="G125" sqref="G12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71093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553</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522</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558</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44" t="s">
        <v>697</v>
      </c>
      <c r="E14" s="132"/>
      <c r="F14" s="126" t="s">
        <v>550</v>
      </c>
      <c r="H14" s="544" t="s">
        <v>695</v>
      </c>
      <c r="J14" s="126" t="s">
        <v>517</v>
      </c>
      <c r="L14" s="134"/>
      <c r="N14" s="105"/>
      <c r="Q14" s="101"/>
      <c r="R14" s="98"/>
    </row>
    <row r="15" spans="2:22" ht="26.25" customHeight="1" thickBot="1">
      <c r="B15" s="126" t="s">
        <v>426</v>
      </c>
      <c r="C15" s="108"/>
      <c r="D15" s="544" t="s">
        <v>696</v>
      </c>
      <c r="F15" s="126" t="s">
        <v>416</v>
      </c>
      <c r="G15" s="129"/>
      <c r="H15" s="544" t="s">
        <v>696</v>
      </c>
      <c r="I15" s="17"/>
      <c r="J15" s="126" t="s">
        <v>518</v>
      </c>
      <c r="L15" s="134"/>
      <c r="M15" s="105"/>
      <c r="Q15" s="110"/>
      <c r="R15" s="98"/>
    </row>
    <row r="16" spans="2:22" ht="28.5" customHeight="1" thickBot="1">
      <c r="B16" s="126" t="s">
        <v>456</v>
      </c>
      <c r="C16" s="108"/>
      <c r="D16" s="545" t="s">
        <v>180</v>
      </c>
      <c r="E16" s="105"/>
      <c r="F16" s="126" t="s">
        <v>436</v>
      </c>
      <c r="G16" s="127"/>
      <c r="H16" s="545" t="s">
        <v>698</v>
      </c>
      <c r="I16" s="105"/>
      <c r="K16" s="197"/>
      <c r="L16" s="197"/>
      <c r="M16" s="197"/>
      <c r="N16" s="197"/>
      <c r="Q16" s="117"/>
      <c r="R16" s="98"/>
    </row>
    <row r="17" spans="1:21" ht="29.25" customHeight="1" thickBot="1">
      <c r="B17" s="126" t="s">
        <v>423</v>
      </c>
      <c r="C17" s="108"/>
      <c r="D17" s="134">
        <v>6476173.9999999991</v>
      </c>
      <c r="E17" s="123"/>
      <c r="F17" s="126" t="s">
        <v>437</v>
      </c>
      <c r="G17" s="605" t="s">
        <v>364</v>
      </c>
      <c r="H17" s="244">
        <f>SUM(R52,R55,R58,R61,R64,R67)</f>
        <v>407957.83771567419</v>
      </c>
      <c r="I17" s="17"/>
      <c r="K17" s="197"/>
      <c r="L17" s="197"/>
      <c r="M17" s="197"/>
      <c r="N17" s="197"/>
      <c r="P17" s="101"/>
      <c r="Q17" s="101"/>
      <c r="R17" s="98"/>
    </row>
    <row r="18" spans="1:21" ht="27.75" customHeight="1" thickBot="1">
      <c r="E18" s="9"/>
      <c r="F18" s="126" t="s">
        <v>438</v>
      </c>
      <c r="G18" s="605" t="s">
        <v>365</v>
      </c>
      <c r="H18" s="133">
        <f>-SUM(R53,R56,R59,R62,R65,R68)</f>
        <v>152173.2612602133</v>
      </c>
      <c r="I18" s="17"/>
      <c r="J18" s="117"/>
      <c r="K18" s="117"/>
      <c r="L18" s="117"/>
      <c r="M18" s="117"/>
      <c r="N18" s="117"/>
      <c r="P18" s="117"/>
      <c r="Q18" s="117"/>
      <c r="R18" s="98"/>
    </row>
    <row r="19" spans="1:21" ht="27.75" customHeight="1" thickBot="1">
      <c r="E19" s="9"/>
      <c r="F19" s="126" t="s">
        <v>410</v>
      </c>
      <c r="G19" s="605" t="s">
        <v>366</v>
      </c>
      <c r="H19" s="190">
        <f>R82</f>
        <v>3309.8568369853556</v>
      </c>
      <c r="I19" s="17"/>
      <c r="J19" s="117"/>
      <c r="P19" s="117"/>
      <c r="Q19" s="117"/>
      <c r="R19" s="98"/>
    </row>
    <row r="20" spans="1:21" ht="27.75" customHeight="1">
      <c r="C20" s="32"/>
      <c r="D20" s="32"/>
      <c r="E20" s="32"/>
      <c r="F20" s="126" t="s">
        <v>512</v>
      </c>
      <c r="G20" s="605" t="s">
        <v>451</v>
      </c>
      <c r="H20" s="190">
        <f>H17-H18+H19</f>
        <v>259094.43329244625</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781" t="s">
        <v>645</v>
      </c>
      <c r="C24" s="781"/>
      <c r="D24" s="781"/>
      <c r="E24" s="781"/>
      <c r="F24" s="781"/>
      <c r="G24" s="781"/>
    </row>
    <row r="25" spans="1:21" ht="14.25" customHeight="1">
      <c r="A25" s="28"/>
      <c r="B25" s="550"/>
      <c r="C25" s="550"/>
      <c r="D25" s="540"/>
      <c r="E25" s="540"/>
      <c r="F25" s="540"/>
      <c r="G25" s="550"/>
    </row>
    <row r="26" spans="1:21" s="17" customFormat="1" ht="27" customHeight="1">
      <c r="B26" s="782" t="s">
        <v>509</v>
      </c>
      <c r="C26" s="783"/>
      <c r="D26" s="135" t="s">
        <v>41</v>
      </c>
      <c r="E26" s="136" t="s">
        <v>569</v>
      </c>
      <c r="F26" s="136" t="s">
        <v>410</v>
      </c>
      <c r="G26" s="137" t="s">
        <v>411</v>
      </c>
      <c r="T26" s="138"/>
      <c r="U26" s="138"/>
    </row>
    <row r="27" spans="1:21" ht="20.25" customHeight="1">
      <c r="B27" s="779" t="s">
        <v>29</v>
      </c>
      <c r="C27" s="780"/>
      <c r="D27" s="640" t="s">
        <v>27</v>
      </c>
      <c r="E27" s="140">
        <f>SUM(D52:D81)</f>
        <v>123818.08989430184</v>
      </c>
      <c r="F27" s="141">
        <f>D82</f>
        <v>439.89474052849562</v>
      </c>
      <c r="G27" s="140">
        <f>E27+F27</f>
        <v>124257.98463483034</v>
      </c>
    </row>
    <row r="28" spans="1:21" ht="20.25" customHeight="1">
      <c r="B28" s="779" t="s">
        <v>373</v>
      </c>
      <c r="C28" s="780"/>
      <c r="D28" s="640" t="s">
        <v>27</v>
      </c>
      <c r="E28" s="142">
        <f>SUM(E52:E81)</f>
        <v>241531.05531750925</v>
      </c>
      <c r="F28" s="143">
        <f>E82</f>
        <v>2966.9102231692041</v>
      </c>
      <c r="G28" s="142">
        <f>E28+F28</f>
        <v>244497.96554067844</v>
      </c>
    </row>
    <row r="29" spans="1:21" ht="20.25" customHeight="1">
      <c r="B29" s="779" t="s">
        <v>688</v>
      </c>
      <c r="C29" s="780"/>
      <c r="D29" s="640" t="s">
        <v>28</v>
      </c>
      <c r="E29" s="142">
        <f>SUM(F52:F81)</f>
        <v>-5491.9550353037484</v>
      </c>
      <c r="F29" s="143">
        <f>F82</f>
        <v>-85.29209311333473</v>
      </c>
      <c r="G29" s="142">
        <f t="shared" ref="G29:G32" si="0">E29+F29</f>
        <v>-5577.2471284170833</v>
      </c>
    </row>
    <row r="30" spans="1:21" ht="20.25" customHeight="1">
      <c r="B30" s="779" t="s">
        <v>689</v>
      </c>
      <c r="C30" s="780"/>
      <c r="D30" s="640" t="s">
        <v>27</v>
      </c>
      <c r="E30" s="142">
        <f>SUM(G52:G81)</f>
        <v>-244.2123731100134</v>
      </c>
      <c r="F30" s="143">
        <f>G82</f>
        <v>-3.7249374306868055</v>
      </c>
      <c r="G30" s="142">
        <f t="shared" si="0"/>
        <v>-247.9373105407002</v>
      </c>
    </row>
    <row r="31" spans="1:21" ht="20.25" customHeight="1">
      <c r="B31" s="779" t="s">
        <v>30</v>
      </c>
      <c r="C31" s="780"/>
      <c r="D31" s="640" t="s">
        <v>28</v>
      </c>
      <c r="E31" s="142">
        <f>SUM(H52:H81)</f>
        <v>-3.0665600000000004</v>
      </c>
      <c r="F31" s="143">
        <f>H82</f>
        <v>-4.6787121766666662E-2</v>
      </c>
      <c r="G31" s="142">
        <f>E31+F31</f>
        <v>-3.1133471217666671</v>
      </c>
    </row>
    <row r="32" spans="1:21" ht="20.25" customHeight="1">
      <c r="B32" s="779" t="s">
        <v>31</v>
      </c>
      <c r="C32" s="780"/>
      <c r="D32" s="640" t="s">
        <v>28</v>
      </c>
      <c r="E32" s="142">
        <f>SUM(I52:I81)</f>
        <v>-516.75983099999996</v>
      </c>
      <c r="F32" s="143">
        <f>I82</f>
        <v>-7.8843090465562522</v>
      </c>
      <c r="G32" s="142">
        <f t="shared" si="0"/>
        <v>-524.64414004655623</v>
      </c>
    </row>
    <row r="33" spans="2:22" ht="20.25" customHeight="1">
      <c r="B33" s="779"/>
      <c r="C33" s="780"/>
      <c r="D33" s="640"/>
      <c r="E33" s="142">
        <f>SUM(J52:J81)</f>
        <v>0</v>
      </c>
      <c r="F33" s="143">
        <f>J82</f>
        <v>0</v>
      </c>
      <c r="G33" s="142">
        <f>E33+F33</f>
        <v>0</v>
      </c>
    </row>
    <row r="34" spans="2:22" ht="20.25" customHeight="1">
      <c r="B34" s="779"/>
      <c r="C34" s="780"/>
      <c r="D34" s="640"/>
      <c r="E34" s="142">
        <f>SUM(K52:K81)</f>
        <v>0</v>
      </c>
      <c r="F34" s="143">
        <f>K82</f>
        <v>0</v>
      </c>
      <c r="G34" s="142">
        <f t="shared" ref="G34:G40" si="1">E34+F34</f>
        <v>0</v>
      </c>
    </row>
    <row r="35" spans="2:22" ht="20.25" customHeight="1">
      <c r="B35" s="779"/>
      <c r="C35" s="780"/>
      <c r="D35" s="640"/>
      <c r="E35" s="142">
        <f>SUM(L52:L81)</f>
        <v>0</v>
      </c>
      <c r="F35" s="143">
        <f>L82</f>
        <v>0</v>
      </c>
      <c r="G35" s="142">
        <f t="shared" si="1"/>
        <v>0</v>
      </c>
    </row>
    <row r="36" spans="2:22" ht="20.25" customHeight="1">
      <c r="B36" s="779"/>
      <c r="C36" s="780"/>
      <c r="D36" s="640"/>
      <c r="E36" s="142">
        <f>SUM(M52:M81)</f>
        <v>0</v>
      </c>
      <c r="F36" s="143">
        <f>M82</f>
        <v>0</v>
      </c>
      <c r="G36" s="142">
        <f t="shared" si="1"/>
        <v>0</v>
      </c>
    </row>
    <row r="37" spans="2:22" ht="20.25" customHeight="1">
      <c r="B37" s="779"/>
      <c r="C37" s="780"/>
      <c r="D37" s="640"/>
      <c r="E37" s="142">
        <f>SUM(N52:N81)</f>
        <v>0</v>
      </c>
      <c r="F37" s="143">
        <f>N82</f>
        <v>0</v>
      </c>
      <c r="G37" s="142">
        <f t="shared" si="1"/>
        <v>0</v>
      </c>
    </row>
    <row r="38" spans="2:22" ht="20.25" customHeight="1">
      <c r="B38" s="779"/>
      <c r="C38" s="780"/>
      <c r="D38" s="640"/>
      <c r="E38" s="142">
        <f>SUM(O52:O81)</f>
        <v>0</v>
      </c>
      <c r="F38" s="143">
        <f>O82</f>
        <v>0</v>
      </c>
      <c r="G38" s="142">
        <f t="shared" si="1"/>
        <v>0</v>
      </c>
    </row>
    <row r="39" spans="2:22" ht="20.25" customHeight="1">
      <c r="B39" s="779"/>
      <c r="C39" s="780"/>
      <c r="D39" s="640"/>
      <c r="E39" s="142">
        <f>SUM(P52:P81)</f>
        <v>0</v>
      </c>
      <c r="F39" s="143">
        <f>P82</f>
        <v>0</v>
      </c>
      <c r="G39" s="142">
        <f t="shared" si="1"/>
        <v>0</v>
      </c>
    </row>
    <row r="40" spans="2:22" ht="20.25" customHeight="1">
      <c r="B40" s="779"/>
      <c r="C40" s="780"/>
      <c r="D40" s="641"/>
      <c r="E40" s="144">
        <f>SUM(Q52:Q81)</f>
        <v>0</v>
      </c>
      <c r="F40" s="145">
        <f>Q82</f>
        <v>0</v>
      </c>
      <c r="G40" s="144">
        <f t="shared" si="1"/>
        <v>0</v>
      </c>
    </row>
    <row r="41" spans="2:22" s="8" customFormat="1" ht="21" customHeight="1">
      <c r="B41" s="784" t="s">
        <v>26</v>
      </c>
      <c r="C41" s="785"/>
      <c r="D41" s="139"/>
      <c r="E41" s="146">
        <f>SUM(E27:E40)</f>
        <v>359093.15141239733</v>
      </c>
      <c r="F41" s="146">
        <f>SUM(F27:F40)</f>
        <v>3309.8568369853556</v>
      </c>
      <c r="G41" s="146">
        <f>SUM(G27:G40)</f>
        <v>362403.00824938272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1" t="s">
        <v>621</v>
      </c>
      <c r="C46" s="781"/>
      <c r="D46" s="781"/>
      <c r="E46" s="781"/>
      <c r="F46" s="781"/>
      <c r="G46" s="781"/>
      <c r="H46" s="781"/>
      <c r="I46" s="781"/>
      <c r="J46" s="781"/>
      <c r="K46" s="781"/>
      <c r="L46" s="781"/>
      <c r="M46" s="619"/>
      <c r="N46" s="107"/>
      <c r="O46" s="107"/>
      <c r="P46" s="107"/>
      <c r="Q46" s="107"/>
      <c r="R46" s="107"/>
      <c r="T46" s="37"/>
      <c r="U46" s="19"/>
      <c r="V46" s="38"/>
    </row>
    <row r="47" spans="2:22" s="28" customFormat="1" ht="48" customHeight="1">
      <c r="B47" s="781" t="s">
        <v>568</v>
      </c>
      <c r="C47" s="781"/>
      <c r="D47" s="781"/>
      <c r="E47" s="781"/>
      <c r="F47" s="781"/>
      <c r="G47" s="781"/>
      <c r="H47" s="781"/>
      <c r="I47" s="781"/>
      <c r="J47" s="781"/>
      <c r="K47" s="781"/>
      <c r="L47" s="781"/>
      <c r="M47" s="619"/>
      <c r="N47" s="107"/>
      <c r="O47" s="107"/>
      <c r="P47" s="107"/>
      <c r="Q47" s="107"/>
      <c r="R47" s="107"/>
      <c r="T47" s="37"/>
      <c r="U47" s="19"/>
      <c r="V47" s="38"/>
    </row>
    <row r="48" spans="2:22" s="28" customFormat="1" ht="26.25" customHeight="1">
      <c r="B48" s="781" t="s">
        <v>630</v>
      </c>
      <c r="C48" s="781"/>
      <c r="D48" s="781"/>
      <c r="E48" s="781"/>
      <c r="F48" s="781"/>
      <c r="G48" s="781"/>
      <c r="H48" s="781"/>
      <c r="I48" s="781"/>
      <c r="J48" s="781"/>
      <c r="K48" s="781"/>
      <c r="L48" s="781"/>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GS&gt;50-4999 kW</v>
      </c>
      <c r="G50" s="137" t="str">
        <f>IF($B30&lt;&gt;"",$B30,"")</f>
        <v>USL</v>
      </c>
      <c r="H50" s="137" t="str">
        <f>IF($B31&lt;&gt;"",$B31,"")</f>
        <v>Sentinel Lighting</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kWh</v>
      </c>
      <c r="H51" s="578" t="str">
        <f>D31</f>
        <v>kW</v>
      </c>
      <c r="I51" s="578" t="str">
        <f>D32</f>
        <v>kW</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30740.477910016485</v>
      </c>
      <c r="E61" s="158">
        <f>'4.  2011-2014 LRAM'!Z521</f>
        <v>44126.384276510915</v>
      </c>
      <c r="F61" s="158">
        <f>'4.  2011-2014 LRAM'!AA521</f>
        <v>229.79857495582721</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75096.660761483232</v>
      </c>
      <c r="U61" s="154"/>
      <c r="V61" s="155"/>
    </row>
    <row r="62" spans="2:22" s="165" customFormat="1">
      <c r="B62" s="156" t="s">
        <v>39</v>
      </c>
      <c r="C62" s="157"/>
      <c r="D62" s="158">
        <f>-'4.  2011-2014 LRAM'!Y522</f>
        <v>-30862.104899169623</v>
      </c>
      <c r="E62" s="158">
        <f>-'4.  2011-2014 LRAM'!Z522</f>
        <v>-6790.9670050227842</v>
      </c>
      <c r="F62" s="158">
        <f>-'4.  2011-2014 LRAM'!AA522</f>
        <v>-1738.5361439999999</v>
      </c>
      <c r="G62" s="158">
        <f>-'4.  2011-2014 LRAM'!AB522</f>
        <v>-60.260195962211107</v>
      </c>
      <c r="H62" s="158">
        <f>-'4.  2011-2014 LRAM'!AC522</f>
        <v>-0.75703599999999993</v>
      </c>
      <c r="I62" s="158">
        <f>-'4.  2011-2014 LRAM'!AD522</f>
        <v>-127.57159799999999</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-39580.196878154624</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61724.443004146604</v>
      </c>
      <c r="E64" s="166">
        <f>'5.  2015-2020 LRAM'!Z204</f>
        <v>100640.82027522694</v>
      </c>
      <c r="F64" s="166">
        <f>'5.  2015-2020 LRAM'!AA204</f>
        <v>862.85728797541935</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163228.12056734896</v>
      </c>
      <c r="U64" s="154"/>
      <c r="V64" s="155"/>
    </row>
    <row r="65" spans="2:22" s="165" customFormat="1">
      <c r="B65" s="156" t="s">
        <v>93</v>
      </c>
      <c r="C65" s="157"/>
      <c r="D65" s="166">
        <f>-'5.  2015-2020 LRAM'!Y205</f>
        <v>-46589.908357400294</v>
      </c>
      <c r="E65" s="166">
        <f>-'5.  2015-2020 LRAM'!Z205</f>
        <v>-10280.769493715048</v>
      </c>
      <c r="F65" s="166">
        <f>-'5.  2015-2020 LRAM'!AA205</f>
        <v>-2630.4884029999998</v>
      </c>
      <c r="G65" s="166">
        <f>-'5.  2015-2020 LRAM'!AB205</f>
        <v>-91.1831912586089</v>
      </c>
      <c r="H65" s="166">
        <f>-'5.  2015-2020 LRAM'!AC205</f>
        <v>-1.1454000000000002</v>
      </c>
      <c r="I65" s="166">
        <f>-'5.  2015-2020 LRAM'!AD205</f>
        <v>-193.01643899999999</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-59786.511284373948</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79048.589093438481</v>
      </c>
      <c r="E67" s="158">
        <f>'5.  2015-2020 LRAM'!Z388</f>
        <v>90300.511253950797</v>
      </c>
      <c r="F67" s="158">
        <f>'5.  2015-2020 LRAM'!AA388</f>
        <v>283.95603945266157</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169633.05638684196</v>
      </c>
      <c r="U67" s="154"/>
      <c r="V67" s="155"/>
    </row>
    <row r="68" spans="2:22" s="165" customFormat="1">
      <c r="B68" s="156" t="s">
        <v>225</v>
      </c>
      <c r="C68" s="157"/>
      <c r="D68" s="158">
        <f>-'5.  2015-2020 LRAM'!Y389</f>
        <v>-39467.884149899612</v>
      </c>
      <c r="E68" s="158">
        <f>-'5.  2015-2020 LRAM'!Z389</f>
        <v>-10375.08847989592</v>
      </c>
      <c r="F68" s="158">
        <f>-'5.  2015-2020 LRAM'!AA389</f>
        <v>-2673.4755639999998</v>
      </c>
      <c r="G68" s="158">
        <f>-'5.  2015-2020 LRAM'!AB389</f>
        <v>-92.768985889193416</v>
      </c>
      <c r="H68" s="158">
        <f>-'5.  2015-2020 LRAM'!AC389</f>
        <v>-1.1641240000000002</v>
      </c>
      <c r="I68" s="158">
        <f>-'5.  2015-2020 LRAM'!AD389</f>
        <v>-196.17179399999998</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-52806.553097684729</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54260.719579445249</v>
      </c>
      <c r="E70" s="158">
        <f>'5.  2015-2020 LRAM'!Z572</f>
        <v>31221.395430806668</v>
      </c>
      <c r="F70" s="158">
        <f>'5.  2015-2020 LRAM'!AA572</f>
        <v>173.933173312344</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85656.048183564257</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14963.757713724546</v>
      </c>
      <c r="E73" s="158">
        <f>'5.  2015-2020 LRAM'!Z756</f>
        <v>2688.7690596476932</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17652.526773372239</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439.89474052849562</v>
      </c>
      <c r="E82" s="681">
        <f>'6.  Carrying Charges'!J102</f>
        <v>2966.9102231692041</v>
      </c>
      <c r="F82" s="681">
        <f>'6.  Carrying Charges'!K102</f>
        <v>-85.29209311333473</v>
      </c>
      <c r="G82" s="681">
        <f>'6.  Carrying Charges'!L102</f>
        <v>-3.7249374306868055</v>
      </c>
      <c r="H82" s="681">
        <f>'6.  Carrying Charges'!M102</f>
        <v>-4.6787121766666662E-2</v>
      </c>
      <c r="I82" s="681">
        <f>'6.  Carrying Charges'!N102</f>
        <v>-7.8843090465562522</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3309.8568369853556</v>
      </c>
      <c r="U82" s="154"/>
      <c r="V82" s="155"/>
    </row>
    <row r="83" spans="2:22" s="165" customFormat="1" ht="21.75" customHeight="1">
      <c r="B83" s="625" t="s">
        <v>241</v>
      </c>
      <c r="C83" s="626"/>
      <c r="D83" s="625">
        <f>SUM(D52:D69)+D82</f>
        <v>55033.507341660545</v>
      </c>
      <c r="E83" s="625">
        <f t="shared" ref="E83:Q83" si="2">SUM(E52:E69)+E82</f>
        <v>210587.80105022408</v>
      </c>
      <c r="F83" s="625">
        <f t="shared" si="2"/>
        <v>-5751.1803017294269</v>
      </c>
      <c r="G83" s="625">
        <f t="shared" si="2"/>
        <v>-247.9373105407002</v>
      </c>
      <c r="H83" s="625">
        <f t="shared" si="2"/>
        <v>-3.1133471217666671</v>
      </c>
      <c r="I83" s="625">
        <f t="shared" si="2"/>
        <v>-524.64414004655623</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259094.43329244625</v>
      </c>
      <c r="U83" s="154"/>
      <c r="V83" s="155"/>
    </row>
    <row r="84" spans="2:22" ht="20.25" customHeight="1">
      <c r="B84" s="455" t="s">
        <v>538</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539</v>
      </c>
      <c r="F87" s="591"/>
    </row>
    <row r="88" spans="2:22" s="551" customFormat="1" ht="27.75" hidden="1" customHeight="1">
      <c r="B88" s="572" t="s">
        <v>559</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15387.328795964266</v>
      </c>
      <c r="G91" s="559">
        <f>SUM('5.  2015-2020 LRAM'!Y199:AL199)</f>
        <v>22369.611114956988</v>
      </c>
      <c r="H91" s="558">
        <f>SUM('5.  2015-2020 LRAM'!Y382:AL382)</f>
        <v>19070.548103215209</v>
      </c>
      <c r="I91" s="559">
        <f>SUM('5.  2015-2020 LRAM'!Y565:AL565)</f>
        <v>8037.1684034161408</v>
      </c>
      <c r="J91" s="558">
        <f>SUM('5.  2015-2020 LRAM'!Y748:AL748)</f>
        <v>1691.5962978173993</v>
      </c>
      <c r="K91" s="558">
        <f>SUM('5.  2015-2020 LRAM'!Y931:AL931)</f>
        <v>0</v>
      </c>
      <c r="L91" s="558">
        <f>SUM('5.  2015-2020 LRAM'!Y1114:AL1114)</f>
        <v>0</v>
      </c>
      <c r="M91" s="558">
        <f>SUM(C91:L91)</f>
        <v>66556.252715370007</v>
      </c>
      <c r="T91" s="199"/>
      <c r="U91" s="199"/>
    </row>
    <row r="92" spans="2:22" s="92" customFormat="1" ht="23.25" hidden="1" customHeight="1">
      <c r="B92" s="200">
        <v>2012</v>
      </c>
      <c r="C92" s="560"/>
      <c r="D92" s="559">
        <f>SUM('4.  2011-2014 LRAM'!Y260:AL260)</f>
        <v>0</v>
      </c>
      <c r="E92" s="558">
        <f>SUM('4.  2011-2014 LRAM'!Y389:AL389)</f>
        <v>0</v>
      </c>
      <c r="F92" s="559">
        <f>SUM('4.  2011-2014 LRAM'!Y518:AL518)</f>
        <v>17324.968752639455</v>
      </c>
      <c r="G92" s="559">
        <f>SUM('5.  2015-2020 LRAM'!Y200:AL200)</f>
        <v>24357.971535109598</v>
      </c>
      <c r="H92" s="558">
        <f>SUM('5.  2015-2020 LRAM'!Y383:AL383)</f>
        <v>22565.346321927995</v>
      </c>
      <c r="I92" s="559">
        <f>SUM('5.  2015-2020 LRAM'!Y566:AL566)</f>
        <v>7785.8742671145628</v>
      </c>
      <c r="J92" s="558">
        <f>SUM('5.  2015-2020 LRAM'!Y749:AL749)</f>
        <v>985.92058926742129</v>
      </c>
      <c r="K92" s="558">
        <f>SUM('5.  2015-2020 LRAM'!Y932:AL932)</f>
        <v>0</v>
      </c>
      <c r="L92" s="558">
        <f>SUM('5.  2015-2020 LRAM'!Y1115:AL1115)</f>
        <v>0</v>
      </c>
      <c r="M92" s="558">
        <f>SUM(D92:L92)</f>
        <v>73020.081466059026</v>
      </c>
      <c r="T92" s="199"/>
      <c r="U92" s="199"/>
    </row>
    <row r="93" spans="2:22" s="92" customFormat="1" ht="23.25" hidden="1" customHeight="1">
      <c r="B93" s="200">
        <v>2013</v>
      </c>
      <c r="C93" s="561"/>
      <c r="D93" s="561"/>
      <c r="E93" s="559">
        <f>SUM('4.  2011-2014 LRAM'!Y390:AL390)</f>
        <v>0</v>
      </c>
      <c r="F93" s="559">
        <f>SUM('4.  2011-2014 LRAM'!Y519:AL519)</f>
        <v>15930.042744701321</v>
      </c>
      <c r="G93" s="559">
        <f>SUM('5.  2015-2020 LRAM'!Y201:AL201)</f>
        <v>23898.478394180649</v>
      </c>
      <c r="H93" s="558">
        <f>SUM('5.  2015-2020 LRAM'!Y384:AL384)</f>
        <v>21495.824614024154</v>
      </c>
      <c r="I93" s="559">
        <f>SUM('5.  2015-2020 LRAM'!Y567:AL567)</f>
        <v>8719.2523362995871</v>
      </c>
      <c r="J93" s="558">
        <f>SUM('5.  2015-2020 LRAM'!Y750:AL750)</f>
        <v>1304.2651273459931</v>
      </c>
      <c r="K93" s="558">
        <f>SUM('5.  2015-2020 LRAM'!Y933:AL933)</f>
        <v>0</v>
      </c>
      <c r="L93" s="558">
        <f>SUM('5.  2015-2020 LRAM'!Y1116:AL1116)</f>
        <v>0</v>
      </c>
      <c r="M93" s="558">
        <f>SUM(C93:L93)</f>
        <v>71347.863216551705</v>
      </c>
      <c r="T93" s="199"/>
      <c r="U93" s="199"/>
    </row>
    <row r="94" spans="2:22" s="92" customFormat="1" ht="23.25" hidden="1" customHeight="1">
      <c r="B94" s="200">
        <v>2014</v>
      </c>
      <c r="C94" s="561"/>
      <c r="D94" s="561"/>
      <c r="E94" s="561"/>
      <c r="F94" s="559">
        <f>SUM('4.  2011-2014 LRAM'!Y520:AL520)</f>
        <v>26454.320468178179</v>
      </c>
      <c r="G94" s="559">
        <f>SUM('5.  2015-2020 LRAM'!Y202:AL202)</f>
        <v>37838.497117501734</v>
      </c>
      <c r="H94" s="558">
        <f>SUM('5.  2015-2020 LRAM'!Y385:AL385)</f>
        <v>33680.089934674586</v>
      </c>
      <c r="I94" s="559">
        <f>SUM('5.  2015-2020 LRAM'!Y568:AL568)</f>
        <v>17591.996119333973</v>
      </c>
      <c r="J94" s="558">
        <f>SUM('5.  2015-2020 LRAM'!Y751:AL751)</f>
        <v>3466.0150713414241</v>
      </c>
      <c r="K94" s="558">
        <f>SUM('5.  2015-2020 LRAM'!Y934:AL934)</f>
        <v>0</v>
      </c>
      <c r="L94" s="558">
        <f>SUM('5.  2015-2020 LRAM'!Y1117:AL1117)</f>
        <v>0</v>
      </c>
      <c r="M94" s="558">
        <f>SUM(F94:L94)</f>
        <v>119030.91871102988</v>
      </c>
      <c r="T94" s="199"/>
      <c r="U94" s="199"/>
    </row>
    <row r="95" spans="2:22" s="92" customFormat="1" ht="23.25" hidden="1" customHeight="1">
      <c r="B95" s="200">
        <v>2015</v>
      </c>
      <c r="C95" s="561"/>
      <c r="D95" s="561"/>
      <c r="E95" s="561"/>
      <c r="F95" s="561"/>
      <c r="G95" s="559">
        <f>SUM('5.  2015-2020 LRAM'!Y203:AL203)</f>
        <v>54763.562405599994</v>
      </c>
      <c r="H95" s="558">
        <f>SUM('5.  2015-2020 LRAM'!Y386:AL386)</f>
        <v>0</v>
      </c>
      <c r="I95" s="559">
        <f>SUM('5.  2015-2020 LRAM'!Y569:AL569)</f>
        <v>0</v>
      </c>
      <c r="J95" s="558">
        <f>SUM('5.  2015-2020 LRAM'!Y752:AL752)</f>
        <v>0</v>
      </c>
      <c r="K95" s="558">
        <f>SUM('5.  2015-2020 LRAM'!Y935:AL935)</f>
        <v>0</v>
      </c>
      <c r="L95" s="558">
        <f>SUM('5.  2015-2020 LRAM'!Y1118:AL1118)</f>
        <v>0</v>
      </c>
      <c r="M95" s="558">
        <f>SUM(G95:L95)</f>
        <v>54763.562405599994</v>
      </c>
      <c r="T95" s="199"/>
      <c r="U95" s="199"/>
    </row>
    <row r="96" spans="2:22" s="92" customFormat="1" ht="23.25" hidden="1" customHeight="1">
      <c r="B96" s="200">
        <v>2016</v>
      </c>
      <c r="C96" s="561"/>
      <c r="D96" s="561"/>
      <c r="E96" s="561"/>
      <c r="F96" s="561"/>
      <c r="G96" s="561"/>
      <c r="H96" s="558">
        <f>SUM('5.  2015-2020 LRAM'!Y387:AL387)</f>
        <v>72821.24741299999</v>
      </c>
      <c r="I96" s="559">
        <f>SUM('5.  2015-2020 LRAM'!Y570:AL570)</f>
        <v>43521.757057399998</v>
      </c>
      <c r="J96" s="558">
        <f>SUM('5.  2015-2020 LRAM'!Y753:AL753)</f>
        <v>10204.729687600002</v>
      </c>
      <c r="K96" s="558">
        <f>SUM('5.  2015-2020 LRAM'!Y936:AL936)</f>
        <v>0</v>
      </c>
      <c r="L96" s="558">
        <f>SUM('5.  2015-2020 LRAM'!Y1119:AL1119)</f>
        <v>0</v>
      </c>
      <c r="M96" s="558">
        <f>SUM(H96:L96)</f>
        <v>126547.73415799999</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521</v>
      </c>
      <c r="C101" s="557">
        <f>C91</f>
        <v>0</v>
      </c>
      <c r="D101" s="558">
        <f>D91+D92</f>
        <v>0</v>
      </c>
      <c r="E101" s="558">
        <f>E91+E92+E93</f>
        <v>0</v>
      </c>
      <c r="F101" s="558">
        <f>F91+F92+F93+F94</f>
        <v>75096.660761483217</v>
      </c>
      <c r="G101" s="558">
        <f>G91+G92+G93+G94+G95</f>
        <v>163228.12056734896</v>
      </c>
      <c r="H101" s="558">
        <f>H91+H92+H93+H94+H95+H96</f>
        <v>169633.05638684193</v>
      </c>
      <c r="I101" s="558">
        <f>I91+I92+I93+I94+I95+I96+I97</f>
        <v>85656.048183564257</v>
      </c>
      <c r="J101" s="558">
        <f>J91+J92+J93+J94+J95+J96+J97+J98</f>
        <v>17652.526773372239</v>
      </c>
      <c r="K101" s="558">
        <f>K91+K92+K93+K94+K95+K96+K97+K98+K99</f>
        <v>0</v>
      </c>
      <c r="L101" s="558">
        <f>SUM(L91:L100)</f>
        <v>0</v>
      </c>
      <c r="M101" s="558">
        <f>SUM(M91:M100)</f>
        <v>511266.41267261055</v>
      </c>
      <c r="T101" s="201"/>
      <c r="U101" s="201"/>
    </row>
    <row r="102" spans="2:21" s="27" customFormat="1" ht="24.75" hidden="1" customHeight="1">
      <c r="B102" s="574" t="s">
        <v>520</v>
      </c>
      <c r="C102" s="556">
        <f>'4.  2011-2014 LRAM'!AM132</f>
        <v>0</v>
      </c>
      <c r="D102" s="556">
        <f>'4.  2011-2014 LRAM'!AM262</f>
        <v>0</v>
      </c>
      <c r="E102" s="556">
        <f>'4.  2011-2014 LRAM'!AM392</f>
        <v>0</v>
      </c>
      <c r="F102" s="556">
        <f>'4.  2011-2014 LRAM'!AM522</f>
        <v>39580.196878154624</v>
      </c>
      <c r="G102" s="556">
        <f>'5.  2015-2020 LRAM'!AM205</f>
        <v>59786.511284373948</v>
      </c>
      <c r="H102" s="556">
        <f>'5.  2015-2020 LRAM'!AM389</f>
        <v>52806.553097684729</v>
      </c>
      <c r="I102" s="556">
        <f>'5.  2015-2020 LRAM'!AM573</f>
        <v>0</v>
      </c>
      <c r="J102" s="556">
        <f>'5.  2015-2020 LRAM'!AM757</f>
        <v>0</v>
      </c>
      <c r="K102" s="556">
        <f>'5.  2015-2020 LRAM'!AM941</f>
        <v>0</v>
      </c>
      <c r="L102" s="556">
        <f>'5.  2015-2020 LRAM'!AM1125</f>
        <v>0</v>
      </c>
      <c r="M102" s="558">
        <f>SUM(C102:L102)</f>
        <v>152173.2612602133</v>
      </c>
      <c r="T102" s="91"/>
      <c r="U102" s="91"/>
    </row>
    <row r="103" spans="2:21" ht="24.75" hidden="1" customHeight="1">
      <c r="B103" s="574" t="s">
        <v>43</v>
      </c>
      <c r="C103" s="556">
        <f>'6.  Carrying Charges'!W27</f>
        <v>0</v>
      </c>
      <c r="D103" s="556">
        <f>'6.  Carrying Charges'!W42</f>
        <v>0</v>
      </c>
      <c r="E103" s="556">
        <f>'6.  Carrying Charges'!W57</f>
        <v>0</v>
      </c>
      <c r="F103" s="556">
        <f>'6.  Carrying Charges'!W72</f>
        <v>239.29217541392649</v>
      </c>
      <c r="G103" s="556">
        <f>'6.  Carrying Charges'!W87</f>
        <v>1192.3177447398484</v>
      </c>
      <c r="H103" s="556">
        <f>'6.  Carrying Charges'!W102</f>
        <v>3309.856836985356</v>
      </c>
      <c r="I103" s="556">
        <f>'6.  Carrying Charges'!W117</f>
        <v>4814.8195627007244</v>
      </c>
      <c r="J103" s="556">
        <f>'6.  Carrying Charges'!W132</f>
        <v>4814.8195627007244</v>
      </c>
      <c r="K103" s="556">
        <f>'6.  Carrying Charges'!W147</f>
        <v>4814.8195627007244</v>
      </c>
      <c r="L103" s="556">
        <f>'6.  Carrying Charges'!W162</f>
        <v>4814.8195627007244</v>
      </c>
      <c r="M103" s="558">
        <f>SUM(C103:L103)</f>
        <v>24000.74500794203</v>
      </c>
    </row>
    <row r="104" spans="2:21" ht="23.25" hidden="1" customHeight="1">
      <c r="B104" s="573" t="s">
        <v>26</v>
      </c>
      <c r="C104" s="556">
        <f>C101-C102+C103</f>
        <v>0</v>
      </c>
      <c r="D104" s="556">
        <f t="shared" ref="D104:J104" si="3">D101-D102+D103</f>
        <v>0</v>
      </c>
      <c r="E104" s="556">
        <f t="shared" si="3"/>
        <v>0</v>
      </c>
      <c r="F104" s="556">
        <f t="shared" si="3"/>
        <v>35755.756058742518</v>
      </c>
      <c r="G104" s="556">
        <f t="shared" si="3"/>
        <v>104633.92702771486</v>
      </c>
      <c r="H104" s="556">
        <f t="shared" si="3"/>
        <v>120136.36012614256</v>
      </c>
      <c r="I104" s="556">
        <f t="shared" si="3"/>
        <v>90470.867746264979</v>
      </c>
      <c r="J104" s="556">
        <f t="shared" si="3"/>
        <v>22467.346336072966</v>
      </c>
      <c r="K104" s="556">
        <f>K101-K102+K103</f>
        <v>4814.8195627007244</v>
      </c>
      <c r="L104" s="556">
        <f>L101-L102+L103</f>
        <v>4814.8195627007244</v>
      </c>
      <c r="M104" s="556">
        <f>M101-M102+M103</f>
        <v>383093.8964203393</v>
      </c>
    </row>
    <row r="105" spans="2:21" hidden="1"/>
    <row r="106" spans="2:21">
      <c r="B106" s="591"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3:H50"/>
  <sheetViews>
    <sheetView topLeftCell="A19" zoomScale="85" zoomScaleNormal="85" workbookViewId="0">
      <selection activeCell="E41" sqref="E41:F4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408</v>
      </c>
    </row>
    <row r="16" spans="2:3" ht="27" customHeight="1" thickBot="1">
      <c r="C16" s="571" t="s">
        <v>553</v>
      </c>
    </row>
    <row r="19" spans="1:8" ht="15.75">
      <c r="B19" s="539" t="s">
        <v>627</v>
      </c>
    </row>
    <row r="20" spans="1:8" ht="13.5" customHeight="1"/>
    <row r="21" spans="1:8" ht="57.75" customHeight="1">
      <c r="B21" s="781" t="s">
        <v>644</v>
      </c>
      <c r="C21" s="781"/>
      <c r="D21" s="781"/>
      <c r="E21" s="781"/>
      <c r="F21" s="781"/>
      <c r="G21" s="781"/>
      <c r="H21" s="781"/>
    </row>
    <row r="23" spans="1:8" s="611" customFormat="1" ht="15.75">
      <c r="B23" s="621" t="s">
        <v>548</v>
      </c>
      <c r="C23" s="621" t="s">
        <v>563</v>
      </c>
      <c r="D23" s="621" t="s">
        <v>547</v>
      </c>
      <c r="E23" s="788" t="s">
        <v>34</v>
      </c>
      <c r="F23" s="789"/>
      <c r="G23" s="788" t="s">
        <v>546</v>
      </c>
      <c r="H23" s="789"/>
    </row>
    <row r="24" spans="1:8">
      <c r="B24" s="610">
        <v>1</v>
      </c>
      <c r="C24" s="646"/>
      <c r="D24" s="609"/>
      <c r="E24" s="786"/>
      <c r="F24" s="787"/>
      <c r="G24" s="792"/>
      <c r="H24" s="793"/>
    </row>
    <row r="25" spans="1:8">
      <c r="A25" s="750"/>
      <c r="B25" s="751">
        <v>2</v>
      </c>
      <c r="C25" s="753"/>
      <c r="D25" s="752"/>
      <c r="E25" s="790"/>
      <c r="F25" s="791"/>
      <c r="G25" s="790"/>
      <c r="H25" s="791"/>
    </row>
    <row r="26" spans="1:8">
      <c r="B26" s="610">
        <v>3</v>
      </c>
      <c r="C26" s="646"/>
      <c r="D26" s="609"/>
      <c r="E26" s="786"/>
      <c r="F26" s="787"/>
      <c r="G26" s="792"/>
      <c r="H26" s="793"/>
    </row>
    <row r="27" spans="1:8">
      <c r="B27" s="610">
        <v>4</v>
      </c>
      <c r="C27" s="646"/>
      <c r="D27" s="609"/>
      <c r="E27" s="786"/>
      <c r="F27" s="787"/>
      <c r="G27" s="792"/>
      <c r="H27" s="793"/>
    </row>
    <row r="28" spans="1:8">
      <c r="B28" s="610">
        <v>5</v>
      </c>
      <c r="C28" s="646"/>
      <c r="D28" s="609"/>
      <c r="E28" s="786"/>
      <c r="F28" s="787"/>
      <c r="G28" s="792"/>
      <c r="H28" s="793"/>
    </row>
    <row r="29" spans="1:8">
      <c r="B29" s="610">
        <v>6</v>
      </c>
      <c r="C29" s="646"/>
      <c r="D29" s="609"/>
      <c r="E29" s="786"/>
      <c r="F29" s="787"/>
      <c r="G29" s="792"/>
      <c r="H29" s="793"/>
    </row>
    <row r="30" spans="1:8">
      <c r="B30" s="610">
        <v>7</v>
      </c>
      <c r="C30" s="646"/>
      <c r="D30" s="609"/>
      <c r="E30" s="786"/>
      <c r="F30" s="787"/>
      <c r="G30" s="792"/>
      <c r="H30" s="793"/>
    </row>
    <row r="31" spans="1:8">
      <c r="B31" s="610">
        <v>8</v>
      </c>
      <c r="C31" s="646"/>
      <c r="D31" s="609"/>
      <c r="E31" s="786"/>
      <c r="F31" s="787"/>
      <c r="G31" s="792"/>
      <c r="H31" s="793"/>
    </row>
    <row r="32" spans="1:8">
      <c r="B32" s="610">
        <v>9</v>
      </c>
      <c r="C32" s="646"/>
      <c r="D32" s="609"/>
      <c r="E32" s="786"/>
      <c r="F32" s="787"/>
      <c r="G32" s="792"/>
      <c r="H32" s="793"/>
    </row>
    <row r="33" spans="2:8">
      <c r="B33" s="610">
        <v>10</v>
      </c>
      <c r="C33" s="646"/>
      <c r="D33" s="609"/>
      <c r="E33" s="786"/>
      <c r="F33" s="787"/>
      <c r="G33" s="792"/>
      <c r="H33" s="793"/>
    </row>
    <row r="34" spans="2:8">
      <c r="B34" s="610" t="s">
        <v>482</v>
      </c>
      <c r="C34" s="646"/>
      <c r="D34" s="609"/>
      <c r="E34" s="786"/>
      <c r="F34" s="787"/>
      <c r="G34" s="792"/>
      <c r="H34" s="793"/>
    </row>
    <row r="36" spans="2:8" ht="30.75" customHeight="1">
      <c r="B36" s="539" t="s">
        <v>622</v>
      </c>
    </row>
    <row r="37" spans="2:8" ht="23.25" customHeight="1">
      <c r="B37" s="570" t="s">
        <v>628</v>
      </c>
      <c r="C37" s="607"/>
      <c r="D37" s="607"/>
      <c r="E37" s="607"/>
      <c r="F37" s="607"/>
      <c r="G37" s="607"/>
      <c r="H37" s="607"/>
    </row>
    <row r="39" spans="2:8" s="92" customFormat="1" ht="15.75">
      <c r="B39" s="621" t="s">
        <v>548</v>
      </c>
      <c r="C39" s="621" t="s">
        <v>563</v>
      </c>
      <c r="D39" s="621" t="s">
        <v>547</v>
      </c>
      <c r="E39" s="788" t="s">
        <v>34</v>
      </c>
      <c r="F39" s="789"/>
      <c r="G39" s="788" t="s">
        <v>546</v>
      </c>
      <c r="H39" s="789"/>
    </row>
    <row r="40" spans="2:8">
      <c r="B40" s="610">
        <v>1</v>
      </c>
      <c r="C40" s="646"/>
      <c r="D40" s="609"/>
      <c r="E40" s="786"/>
      <c r="F40" s="787"/>
      <c r="G40" s="792"/>
      <c r="H40" s="793"/>
    </row>
    <row r="41" spans="2:8">
      <c r="B41" s="610">
        <v>2</v>
      </c>
      <c r="C41" s="646"/>
      <c r="D41" s="609"/>
      <c r="E41" s="786"/>
      <c r="F41" s="787"/>
      <c r="G41" s="792"/>
      <c r="H41" s="793"/>
    </row>
    <row r="42" spans="2:8">
      <c r="B42" s="610">
        <v>3</v>
      </c>
      <c r="C42" s="646"/>
      <c r="D42" s="609"/>
      <c r="E42" s="786"/>
      <c r="F42" s="787"/>
      <c r="G42" s="792"/>
      <c r="H42" s="793"/>
    </row>
    <row r="43" spans="2:8">
      <c r="B43" s="610">
        <v>4</v>
      </c>
      <c r="C43" s="646"/>
      <c r="D43" s="609"/>
      <c r="E43" s="786"/>
      <c r="F43" s="787"/>
      <c r="G43" s="792"/>
      <c r="H43" s="793"/>
    </row>
    <row r="44" spans="2:8">
      <c r="B44" s="610">
        <v>5</v>
      </c>
      <c r="C44" s="646"/>
      <c r="D44" s="609"/>
      <c r="E44" s="786"/>
      <c r="F44" s="787"/>
      <c r="G44" s="792"/>
      <c r="H44" s="793"/>
    </row>
    <row r="45" spans="2:8">
      <c r="B45" s="610">
        <v>6</v>
      </c>
      <c r="C45" s="646"/>
      <c r="D45" s="609"/>
      <c r="E45" s="786"/>
      <c r="F45" s="787"/>
      <c r="G45" s="792"/>
      <c r="H45" s="793"/>
    </row>
    <row r="46" spans="2:8">
      <c r="B46" s="610">
        <v>7</v>
      </c>
      <c r="C46" s="646"/>
      <c r="D46" s="609"/>
      <c r="E46" s="786"/>
      <c r="F46" s="787"/>
      <c r="G46" s="792"/>
      <c r="H46" s="793"/>
    </row>
    <row r="47" spans="2:8">
      <c r="B47" s="610">
        <v>8</v>
      </c>
      <c r="C47" s="646"/>
      <c r="D47" s="609"/>
      <c r="E47" s="786"/>
      <c r="F47" s="787"/>
      <c r="G47" s="792"/>
      <c r="H47" s="793"/>
    </row>
    <row r="48" spans="2:8">
      <c r="B48" s="610">
        <v>9</v>
      </c>
      <c r="C48" s="646"/>
      <c r="D48" s="609"/>
      <c r="E48" s="786"/>
      <c r="F48" s="787"/>
      <c r="G48" s="792"/>
      <c r="H48" s="793"/>
    </row>
    <row r="49" spans="2:8">
      <c r="B49" s="610">
        <v>10</v>
      </c>
      <c r="C49" s="646"/>
      <c r="D49" s="609"/>
      <c r="E49" s="786"/>
      <c r="F49" s="787"/>
      <c r="G49" s="792"/>
      <c r="H49" s="793"/>
    </row>
    <row r="50" spans="2:8">
      <c r="B50" s="610" t="s">
        <v>482</v>
      </c>
      <c r="C50" s="646"/>
      <c r="D50" s="609"/>
      <c r="E50" s="786"/>
      <c r="F50" s="787"/>
      <c r="G50" s="792"/>
      <c r="H50" s="79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43" zoomScale="90" zoomScaleNormal="90" workbookViewId="0">
      <selection activeCell="C49" sqref="C4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553</v>
      </c>
      <c r="P7" s="107"/>
      <c r="Q7" s="107"/>
    </row>
    <row r="8" spans="2:17" s="106" customFormat="1" ht="30" customHeight="1">
      <c r="D8" s="576"/>
      <c r="P8" s="107"/>
      <c r="Q8" s="107"/>
    </row>
    <row r="9" spans="2:17" s="2" customFormat="1" ht="24.75" customHeight="1">
      <c r="B9" s="120" t="s">
        <v>413</v>
      </c>
      <c r="C9" s="17"/>
      <c r="D9" s="457">
        <v>2013</v>
      </c>
    </row>
    <row r="10" spans="2:17" s="17" customFormat="1" ht="16.5" customHeight="1"/>
    <row r="11" spans="2:17" s="17" customFormat="1" ht="36.75" customHeight="1">
      <c r="B11" s="794" t="s">
        <v>565</v>
      </c>
      <c r="C11" s="794"/>
      <c r="D11" s="794"/>
      <c r="E11" s="794"/>
      <c r="F11" s="794"/>
      <c r="G11" s="794"/>
      <c r="H11" s="794"/>
      <c r="I11" s="794"/>
      <c r="J11" s="794"/>
      <c r="K11" s="794"/>
      <c r="L11" s="794"/>
      <c r="M11" s="794"/>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GS&gt;50-4999 kW</v>
      </c>
      <c r="G13" s="245" t="str">
        <f>'1.  LRAMVA Summary'!G50</f>
        <v>USL</v>
      </c>
      <c r="H13" s="245" t="str">
        <f>'1.  LRAMVA Summary'!H50</f>
        <v>Sentinel Lighting</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kWh</v>
      </c>
      <c r="H14" s="581" t="str">
        <f>'1.  LRAMVA Summary'!H51</f>
        <v>kW</v>
      </c>
      <c r="I14" s="581" t="str">
        <f>'1.  LRAMVA Summary'!I51</f>
        <v>kW</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6476173.9999999991</v>
      </c>
      <c r="D15" s="453">
        <v>2967510.0864586178</v>
      </c>
      <c r="E15" s="453">
        <v>943189.86180872004</v>
      </c>
      <c r="F15" s="453">
        <v>2482738.93711157</v>
      </c>
      <c r="G15" s="453">
        <v>3964.4865764612568</v>
      </c>
      <c r="H15" s="453">
        <v>262.40648787695199</v>
      </c>
      <c r="I15" s="453">
        <v>78508.221556753284</v>
      </c>
      <c r="J15" s="453"/>
      <c r="K15" s="453"/>
      <c r="L15" s="453"/>
      <c r="M15" s="453"/>
      <c r="N15" s="453"/>
      <c r="O15" s="453"/>
      <c r="P15" s="454"/>
      <c r="Q15" s="454"/>
    </row>
    <row r="16" spans="2:17" s="458" customFormat="1" ht="15.75" customHeight="1">
      <c r="B16" s="463" t="s">
        <v>28</v>
      </c>
      <c r="C16" s="628">
        <f>SUM(D16:Q16)</f>
        <v>1293</v>
      </c>
      <c r="D16" s="452"/>
      <c r="E16" s="452"/>
      <c r="F16" s="452">
        <v>1253.27</v>
      </c>
      <c r="G16" s="452"/>
      <c r="H16" s="452">
        <v>0.04</v>
      </c>
      <c r="I16" s="452">
        <v>39.69</v>
      </c>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2967510.0864586178</v>
      </c>
      <c r="E18" s="194">
        <f t="shared" si="0"/>
        <v>943189.86180872004</v>
      </c>
      <c r="F18" s="194">
        <f>IF(F14="kw",HLOOKUP(F14,F14:F16,3,FALSE),HLOOKUP(F14,F14:F16,2,FALSE))</f>
        <v>1253.27</v>
      </c>
      <c r="G18" s="194">
        <f t="shared" ref="G18:Q18" si="1">IF(G14="kw",HLOOKUP(G14,G14:G16,3,FALSE),HLOOKUP(G14,G14:G16,2,FALSE))</f>
        <v>3964.4865764612568</v>
      </c>
      <c r="H18" s="194">
        <f t="shared" si="1"/>
        <v>0.04</v>
      </c>
      <c r="I18" s="194">
        <f t="shared" si="1"/>
        <v>39.69</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t="s">
        <v>692</v>
      </c>
      <c r="D20" s="456"/>
    </row>
    <row r="21" spans="2:17" s="440" customFormat="1" ht="21" customHeight="1">
      <c r="B21" s="462" t="s">
        <v>368</v>
      </c>
      <c r="C21" s="455" t="s">
        <v>690</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794" t="s">
        <v>564</v>
      </c>
      <c r="C26" s="794"/>
      <c r="D26" s="794"/>
      <c r="E26" s="794"/>
      <c r="F26" s="794"/>
      <c r="G26" s="794"/>
      <c r="H26" s="794"/>
      <c r="I26" s="794"/>
      <c r="J26" s="794"/>
      <c r="K26" s="794"/>
      <c r="L26" s="794"/>
      <c r="M26" s="794"/>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GS&gt;50-4999 kW</v>
      </c>
      <c r="G28" s="245" t="str">
        <f>'1.  LRAMVA Summary'!G50</f>
        <v>USL</v>
      </c>
      <c r="H28" s="245" t="str">
        <f>'1.  LRAMVA Summary'!H50</f>
        <v>Sentinel Lighting</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kWh</v>
      </c>
      <c r="H29" s="581" t="str">
        <f>'1.  LRAMVA Summary'!H51</f>
        <v>kW</v>
      </c>
      <c r="I29" s="581" t="str">
        <f>'1.  LRAMVA Summary'!I51</f>
        <v>kW</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794" t="s">
        <v>620</v>
      </c>
      <c r="C40" s="794"/>
      <c r="D40" s="794"/>
      <c r="E40" s="794"/>
      <c r="F40" s="794"/>
      <c r="G40" s="794"/>
      <c r="H40" s="794"/>
      <c r="I40" s="794"/>
      <c r="J40" s="794"/>
      <c r="K40" s="794"/>
      <c r="L40" s="794"/>
      <c r="M40" s="794"/>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Residential</v>
      </c>
      <c r="E42" s="245" t="str">
        <f>'1.  LRAMVA Summary'!E50</f>
        <v>GS&lt;50 kW</v>
      </c>
      <c r="F42" s="245" t="str">
        <f>'1.  LRAMVA Summary'!F50</f>
        <v>GS&gt;50-4999 kW</v>
      </c>
      <c r="G42" s="245" t="str">
        <f>'1.  LRAMVA Summary'!G50</f>
        <v>USL</v>
      </c>
      <c r="H42" s="245" t="str">
        <f>'1.  LRAMVA Summary'!H50</f>
        <v>Sentinel Lighting</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kWh</v>
      </c>
      <c r="H43" s="585" t="str">
        <f>'1.  LRAMVA Summary'!H51</f>
        <v>kW</v>
      </c>
      <c r="I43" s="585" t="str">
        <f>'1.  LRAMVA Summary'!I51</f>
        <v>kW</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2013</v>
      </c>
      <c r="D46" s="192">
        <f t="shared" ref="D46:Q46" si="5">IF(ISBLANK($C$46),0,IF($C$46=$D$9,HLOOKUP(D43,D14:D18,5,FALSE),HLOOKUP(D43,D29:D33,5,FALSE)))</f>
        <v>2967510.0864586178</v>
      </c>
      <c r="E46" s="192">
        <f t="shared" si="5"/>
        <v>943189.86180872004</v>
      </c>
      <c r="F46" s="192">
        <f t="shared" si="5"/>
        <v>1253.27</v>
      </c>
      <c r="G46" s="192">
        <f t="shared" si="5"/>
        <v>3964.4865764612568</v>
      </c>
      <c r="H46" s="192">
        <f t="shared" si="5"/>
        <v>0.04</v>
      </c>
      <c r="I46" s="192">
        <f t="shared" si="5"/>
        <v>39.69</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2013</v>
      </c>
      <c r="D47" s="192">
        <f t="shared" ref="D47:I47" si="6">IF(ISBLANK($C$47),0,IF($C$47=$D$9,HLOOKUP(D43,D14:D18,5,FALSE),HLOOKUP(D43,D29:D33,5,FALSE)))</f>
        <v>2967510.0864586178</v>
      </c>
      <c r="E47" s="192">
        <f t="shared" si="6"/>
        <v>943189.86180872004</v>
      </c>
      <c r="F47" s="192">
        <f t="shared" si="6"/>
        <v>1253.27</v>
      </c>
      <c r="G47" s="192">
        <f t="shared" si="6"/>
        <v>3964.4865764612568</v>
      </c>
      <c r="H47" s="192">
        <f t="shared" si="6"/>
        <v>0.04</v>
      </c>
      <c r="I47" s="192">
        <f t="shared" si="6"/>
        <v>39.69</v>
      </c>
      <c r="J47" s="192">
        <f t="shared" ref="J47:Q47" si="7">IF(ISBLANK($C$47),0,IF($C$47=$D$9,HLOOKUP(J43,J14:J18,5,FALSE),HLOOKUP(J43,J29:J33,5,FALSE)))</f>
        <v>0</v>
      </c>
      <c r="K47" s="192">
        <f t="shared" si="7"/>
        <v>0</v>
      </c>
      <c r="L47" s="192">
        <f t="shared" si="7"/>
        <v>0</v>
      </c>
      <c r="M47" s="192">
        <f t="shared" si="7"/>
        <v>0</v>
      </c>
      <c r="N47" s="192">
        <f t="shared" si="7"/>
        <v>0</v>
      </c>
      <c r="O47" s="192">
        <f t="shared" si="7"/>
        <v>0</v>
      </c>
      <c r="P47" s="192">
        <f t="shared" si="7"/>
        <v>0</v>
      </c>
      <c r="Q47" s="192">
        <f t="shared" si="7"/>
        <v>0</v>
      </c>
      <c r="R47" s="165"/>
    </row>
    <row r="48" spans="2:32" s="17" customFormat="1" ht="15.75">
      <c r="B48" s="173">
        <v>2015</v>
      </c>
      <c r="C48" s="536">
        <v>2013</v>
      </c>
      <c r="D48" s="192">
        <f t="shared" ref="D48:J48" si="8">IF(ISBLANK($C$48),0,IF($C$48=$D$9,HLOOKUP(D43,D14:D18,5,FALSE),HLOOKUP(D43,D29:D33,5,FALSE)))</f>
        <v>2967510.0864586178</v>
      </c>
      <c r="E48" s="192">
        <f t="shared" si="8"/>
        <v>943189.86180872004</v>
      </c>
      <c r="F48" s="192">
        <f t="shared" si="8"/>
        <v>1253.27</v>
      </c>
      <c r="G48" s="192">
        <f t="shared" si="8"/>
        <v>3964.4865764612568</v>
      </c>
      <c r="H48" s="192">
        <f t="shared" si="8"/>
        <v>0.04</v>
      </c>
      <c r="I48" s="192">
        <f t="shared" si="8"/>
        <v>39.69</v>
      </c>
      <c r="J48" s="192">
        <f t="shared" si="8"/>
        <v>0</v>
      </c>
      <c r="K48" s="192">
        <f t="shared" ref="K48:Q48" si="9">IF(ISBLANK($C$48),0,IF($C$48=$D$9,HLOOKUP(K43,K14:K18,5,FALSE),HLOOKUP(K43,K29:K33,5,FALSE)))</f>
        <v>0</v>
      </c>
      <c r="L48" s="192">
        <f t="shared" si="9"/>
        <v>0</v>
      </c>
      <c r="M48" s="192">
        <f t="shared" si="9"/>
        <v>0</v>
      </c>
      <c r="N48" s="192">
        <f t="shared" si="9"/>
        <v>0</v>
      </c>
      <c r="O48" s="192">
        <f t="shared" si="9"/>
        <v>0</v>
      </c>
      <c r="P48" s="192">
        <f t="shared" si="9"/>
        <v>0</v>
      </c>
      <c r="Q48" s="192">
        <f t="shared" si="9"/>
        <v>0</v>
      </c>
      <c r="R48" s="165"/>
      <c r="AF48" s="165"/>
    </row>
    <row r="49" spans="2:32" s="17" customFormat="1" ht="15.75">
      <c r="B49" s="173">
        <v>2016</v>
      </c>
      <c r="C49" s="536">
        <v>2013</v>
      </c>
      <c r="D49" s="192">
        <f t="shared" ref="D49:Q49" si="10">IF(ISBLANK($C$49),0,IF($C$49=$D$9,HLOOKUP(D43,D14:D18,5,FALSE),HLOOKUP(D43,D29:D33,5,FALSE)))</f>
        <v>2967510.0864586178</v>
      </c>
      <c r="E49" s="192">
        <f t="shared" si="10"/>
        <v>943189.86180872004</v>
      </c>
      <c r="F49" s="192">
        <f t="shared" si="10"/>
        <v>1253.27</v>
      </c>
      <c r="G49" s="192">
        <f t="shared" si="10"/>
        <v>3964.4865764612568</v>
      </c>
      <c r="H49" s="192">
        <f t="shared" si="10"/>
        <v>0.04</v>
      </c>
      <c r="I49" s="192">
        <f t="shared" si="10"/>
        <v>39.69</v>
      </c>
      <c r="J49" s="192">
        <f t="shared" si="10"/>
        <v>0</v>
      </c>
      <c r="K49" s="192">
        <f t="shared" si="10"/>
        <v>0</v>
      </c>
      <c r="L49" s="192">
        <f t="shared" si="10"/>
        <v>0</v>
      </c>
      <c r="M49" s="192">
        <f t="shared" si="10"/>
        <v>0</v>
      </c>
      <c r="N49" s="192">
        <f t="shared" si="10"/>
        <v>0</v>
      </c>
      <c r="O49" s="192">
        <f t="shared" si="10"/>
        <v>0</v>
      </c>
      <c r="P49" s="192">
        <f t="shared" si="10"/>
        <v>0</v>
      </c>
      <c r="Q49" s="192">
        <f t="shared" si="10"/>
        <v>0</v>
      </c>
      <c r="R49" s="165"/>
      <c r="AF49" s="165"/>
    </row>
    <row r="50" spans="2:32" s="17" customFormat="1" ht="15.75" hidden="1">
      <c r="B50" s="173">
        <v>2017</v>
      </c>
      <c r="C50" s="536"/>
      <c r="D50" s="192">
        <f t="shared" ref="D50:Q50" si="11">IF(ISBLANK($C$50),0,IF($C$50=$D$9,HLOOKUP(D43,D14:D18,5,FALSE),HLOOKUP(D43,D29:D33,5,FALSE)))</f>
        <v>0</v>
      </c>
      <c r="E50" s="192">
        <f t="shared" si="11"/>
        <v>0</v>
      </c>
      <c r="F50" s="192">
        <f t="shared" si="11"/>
        <v>0</v>
      </c>
      <c r="G50" s="192">
        <f t="shared" si="11"/>
        <v>0</v>
      </c>
      <c r="H50" s="192">
        <f t="shared" si="11"/>
        <v>0</v>
      </c>
      <c r="I50" s="192">
        <f t="shared" si="11"/>
        <v>0</v>
      </c>
      <c r="J50" s="192">
        <f t="shared" si="11"/>
        <v>0</v>
      </c>
      <c r="K50" s="192">
        <f t="shared" si="11"/>
        <v>0</v>
      </c>
      <c r="L50" s="192">
        <f t="shared" si="11"/>
        <v>0</v>
      </c>
      <c r="M50" s="192">
        <f t="shared" si="11"/>
        <v>0</v>
      </c>
      <c r="N50" s="192">
        <f t="shared" si="11"/>
        <v>0</v>
      </c>
      <c r="O50" s="192">
        <f t="shared" si="11"/>
        <v>0</v>
      </c>
      <c r="P50" s="192">
        <f t="shared" si="11"/>
        <v>0</v>
      </c>
      <c r="Q50" s="192">
        <f t="shared" si="11"/>
        <v>0</v>
      </c>
      <c r="R50" s="165"/>
      <c r="AF50" s="165"/>
    </row>
    <row r="51" spans="2:32" s="17" customFormat="1" ht="15.75" hidden="1">
      <c r="B51" s="173">
        <v>2018</v>
      </c>
      <c r="C51" s="536"/>
      <c r="D51" s="192">
        <f t="shared" ref="D51:Q51" si="12">IF(ISBLANK($C$51),0,IF($C$51=$D$9,HLOOKUP(D43,D14:D18,5,FALSE),HLOOKUP(D43,D29:D33,5,FALSE)))</f>
        <v>0</v>
      </c>
      <c r="E51" s="192">
        <f t="shared" si="12"/>
        <v>0</v>
      </c>
      <c r="F51" s="192">
        <f t="shared" si="12"/>
        <v>0</v>
      </c>
      <c r="G51" s="192">
        <f t="shared" si="12"/>
        <v>0</v>
      </c>
      <c r="H51" s="192">
        <f t="shared" si="12"/>
        <v>0</v>
      </c>
      <c r="I51" s="192">
        <f t="shared" si="12"/>
        <v>0</v>
      </c>
      <c r="J51" s="192">
        <f t="shared" si="12"/>
        <v>0</v>
      </c>
      <c r="K51" s="192">
        <f t="shared" si="12"/>
        <v>0</v>
      </c>
      <c r="L51" s="192">
        <f t="shared" si="12"/>
        <v>0</v>
      </c>
      <c r="M51" s="192">
        <f t="shared" si="12"/>
        <v>0</v>
      </c>
      <c r="N51" s="192">
        <f t="shared" si="12"/>
        <v>0</v>
      </c>
      <c r="O51" s="192">
        <f t="shared" si="12"/>
        <v>0</v>
      </c>
      <c r="P51" s="192">
        <f t="shared" si="12"/>
        <v>0</v>
      </c>
      <c r="Q51" s="192">
        <f t="shared" si="12"/>
        <v>0</v>
      </c>
      <c r="R51" s="165"/>
      <c r="AF51" s="165"/>
    </row>
    <row r="52" spans="2:32" s="17" customFormat="1" ht="15.75" hidden="1">
      <c r="B52" s="173">
        <v>2019</v>
      </c>
      <c r="C52" s="536"/>
      <c r="D52" s="192">
        <f t="shared" ref="D52:Q52" si="13">IF(ISBLANK($C$52),0,IF($C$52=$D$9,HLOOKUP(D43,D14:D18,5,FALSE),HLOOKUP(D43,D29:D33,5,FALSE)))</f>
        <v>0</v>
      </c>
      <c r="E52" s="192">
        <f t="shared" si="13"/>
        <v>0</v>
      </c>
      <c r="F52" s="192">
        <f t="shared" si="13"/>
        <v>0</v>
      </c>
      <c r="G52" s="192">
        <f t="shared" si="13"/>
        <v>0</v>
      </c>
      <c r="H52" s="192">
        <f t="shared" si="13"/>
        <v>0</v>
      </c>
      <c r="I52" s="192">
        <f t="shared" si="13"/>
        <v>0</v>
      </c>
      <c r="J52" s="192">
        <f t="shared" si="13"/>
        <v>0</v>
      </c>
      <c r="K52" s="192">
        <f t="shared" si="13"/>
        <v>0</v>
      </c>
      <c r="L52" s="192">
        <f t="shared" si="13"/>
        <v>0</v>
      </c>
      <c r="M52" s="192">
        <f t="shared" si="13"/>
        <v>0</v>
      </c>
      <c r="N52" s="192">
        <f t="shared" si="13"/>
        <v>0</v>
      </c>
      <c r="O52" s="192">
        <f t="shared" si="13"/>
        <v>0</v>
      </c>
      <c r="P52" s="192">
        <f t="shared" si="13"/>
        <v>0</v>
      </c>
      <c r="Q52" s="192">
        <f t="shared" si="13"/>
        <v>0</v>
      </c>
      <c r="R52" s="165"/>
      <c r="AF52" s="165"/>
    </row>
    <row r="53" spans="2:32" s="17" customFormat="1" ht="15.75" hidden="1">
      <c r="B53" s="173">
        <v>2020</v>
      </c>
      <c r="C53" s="536"/>
      <c r="D53" s="192">
        <f t="shared" ref="D53:Q53" si="14">IF(ISBLANK($C$53),0,IF($C$53=$D$9,HLOOKUP(D43,D14:D18,5,FALSE),HLOOKUP(D43,D29:D33,5,FALSE)))</f>
        <v>0</v>
      </c>
      <c r="E53" s="192">
        <f t="shared" si="14"/>
        <v>0</v>
      </c>
      <c r="F53" s="192">
        <f t="shared" si="14"/>
        <v>0</v>
      </c>
      <c r="G53" s="192">
        <f t="shared" si="14"/>
        <v>0</v>
      </c>
      <c r="H53" s="192">
        <f t="shared" si="14"/>
        <v>0</v>
      </c>
      <c r="I53" s="192">
        <f t="shared" si="14"/>
        <v>0</v>
      </c>
      <c r="J53" s="192">
        <f t="shared" si="14"/>
        <v>0</v>
      </c>
      <c r="K53" s="192">
        <f t="shared" si="14"/>
        <v>0</v>
      </c>
      <c r="L53" s="192">
        <f t="shared" si="14"/>
        <v>0</v>
      </c>
      <c r="M53" s="192">
        <f t="shared" si="14"/>
        <v>0</v>
      </c>
      <c r="N53" s="192">
        <f t="shared" si="14"/>
        <v>0</v>
      </c>
      <c r="O53" s="192">
        <f t="shared" si="14"/>
        <v>0</v>
      </c>
      <c r="P53" s="192">
        <f t="shared" si="14"/>
        <v>0</v>
      </c>
      <c r="Q53" s="192">
        <f t="shared" si="14"/>
        <v>0</v>
      </c>
      <c r="R53" s="165"/>
      <c r="AF53" s="165"/>
    </row>
    <row r="54" spans="2:32" s="440" customFormat="1" ht="21" customHeight="1">
      <c r="B54" s="455" t="s">
        <v>699</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K15" sqref="K15"/>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5" t="s">
        <v>172</v>
      </c>
      <c r="C4" s="87" t="s">
        <v>176</v>
      </c>
      <c r="D4" s="87"/>
      <c r="E4" s="50"/>
    </row>
    <row r="5" spans="1:26" s="18" customFormat="1" ht="26.25" hidden="1" customHeight="1" outlineLevel="1" thickBot="1">
      <c r="A5" s="4"/>
      <c r="B5" s="795"/>
      <c r="C5" s="88" t="s">
        <v>173</v>
      </c>
      <c r="D5" s="88"/>
      <c r="E5" s="50"/>
    </row>
    <row r="6" spans="1:26" ht="26.25" hidden="1" customHeight="1" outlineLevel="1" thickBot="1">
      <c r="B6" s="795"/>
      <c r="C6" s="801" t="s">
        <v>553</v>
      </c>
      <c r="D6" s="802"/>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529</v>
      </c>
      <c r="C8" s="596" t="s">
        <v>484</v>
      </c>
      <c r="D8" s="595"/>
      <c r="M8" s="6"/>
      <c r="N8" s="6"/>
      <c r="O8" s="6"/>
      <c r="P8" s="6"/>
      <c r="Q8" s="6"/>
      <c r="R8" s="6"/>
      <c r="S8" s="6"/>
      <c r="T8" s="6"/>
      <c r="U8" s="6"/>
      <c r="V8" s="6"/>
      <c r="W8" s="6"/>
      <c r="X8" s="6"/>
      <c r="Y8" s="6"/>
      <c r="Z8" s="6"/>
    </row>
    <row r="9" spans="1:26" s="18" customFormat="1" ht="19.5" hidden="1" customHeight="1" outlineLevel="1">
      <c r="A9" s="4"/>
      <c r="B9" s="542"/>
      <c r="C9" s="596" t="s">
        <v>530</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4"/>
    </row>
    <row r="12" spans="1:26" ht="58.5" customHeight="1">
      <c r="B12" s="803" t="s">
        <v>629</v>
      </c>
      <c r="C12" s="803"/>
      <c r="D12" s="803"/>
      <c r="E12" s="803"/>
      <c r="F12" s="803"/>
      <c r="G12" s="803"/>
      <c r="H12" s="803"/>
      <c r="I12" s="803"/>
      <c r="J12" s="803"/>
      <c r="K12" s="803"/>
      <c r="L12" s="803"/>
      <c r="M12" s="803"/>
      <c r="N12" s="803"/>
      <c r="O12" s="803"/>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570</v>
      </c>
      <c r="E14" s="474" t="s">
        <v>571</v>
      </c>
      <c r="F14" s="474" t="s">
        <v>572</v>
      </c>
      <c r="G14" s="474" t="s">
        <v>573</v>
      </c>
      <c r="H14" s="474" t="s">
        <v>693</v>
      </c>
      <c r="I14" s="474" t="s">
        <v>694</v>
      </c>
      <c r="J14" s="474" t="s">
        <v>574</v>
      </c>
      <c r="K14" s="474" t="s">
        <v>701</v>
      </c>
      <c r="L14" s="474" t="s">
        <v>575</v>
      </c>
      <c r="M14" s="474" t="s">
        <v>576</v>
      </c>
      <c r="N14" s="474" t="s">
        <v>577</v>
      </c>
      <c r="O14" s="474" t="s">
        <v>578</v>
      </c>
      <c r="P14" s="7"/>
    </row>
    <row r="15" spans="1:26" s="7" customFormat="1" ht="18.75" customHeight="1">
      <c r="B15" s="475" t="s">
        <v>189</v>
      </c>
      <c r="C15" s="796"/>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561</v>
      </c>
      <c r="C16" s="797"/>
      <c r="D16" s="479"/>
      <c r="E16" s="479"/>
      <c r="F16" s="479"/>
      <c r="G16" s="479">
        <v>4</v>
      </c>
      <c r="H16" s="479">
        <v>4</v>
      </c>
      <c r="I16" s="479">
        <v>4</v>
      </c>
      <c r="J16" s="479">
        <v>4</v>
      </c>
      <c r="K16" s="479">
        <v>4</v>
      </c>
      <c r="L16" s="479">
        <v>4</v>
      </c>
      <c r="M16" s="479"/>
      <c r="N16" s="479"/>
      <c r="O16" s="480"/>
    </row>
    <row r="17" spans="1:15" s="113" customFormat="1" ht="17.25" customHeight="1">
      <c r="B17" s="481" t="s">
        <v>562</v>
      </c>
      <c r="C17" s="798"/>
      <c r="D17" s="114">
        <f>12-D16</f>
        <v>12</v>
      </c>
      <c r="E17" s="114">
        <f>12-E16</f>
        <v>12</v>
      </c>
      <c r="F17" s="114">
        <f t="shared" ref="F17:K17" si="0">12-F16</f>
        <v>12</v>
      </c>
      <c r="G17" s="114">
        <f t="shared" si="0"/>
        <v>8</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2" t="str">
        <f>'1.  LRAMVA Summary'!B27</f>
        <v>Residential</v>
      </c>
      <c r="C18" s="799" t="str">
        <f>'2. LRAMVA Threshold'!D43</f>
        <v>kWh</v>
      </c>
      <c r="D18" s="47"/>
      <c r="E18" s="47"/>
      <c r="F18" s="47"/>
      <c r="G18" s="47">
        <v>0</v>
      </c>
      <c r="H18" s="47">
        <v>1.5599999999999999E-2</v>
      </c>
      <c r="I18" s="47">
        <v>1.5800000000000002E-2</v>
      </c>
      <c r="J18" s="47">
        <v>1.21E-2</v>
      </c>
      <c r="K18" s="47">
        <v>8.2000000000000007E-3</v>
      </c>
      <c r="L18" s="47"/>
      <c r="M18" s="47"/>
      <c r="N18" s="47"/>
      <c r="O18" s="71"/>
    </row>
    <row r="19" spans="1:15" s="7" customFormat="1" ht="15" hidden="1" customHeight="1" outlineLevel="1">
      <c r="B19" s="538" t="s">
        <v>513</v>
      </c>
      <c r="C19" s="797"/>
      <c r="D19" s="47"/>
      <c r="E19" s="47"/>
      <c r="F19" s="47"/>
      <c r="G19" s="47"/>
      <c r="H19" s="47"/>
      <c r="I19" s="47"/>
      <c r="J19" s="47"/>
      <c r="K19" s="47"/>
      <c r="L19" s="47"/>
      <c r="M19" s="47"/>
      <c r="N19" s="47"/>
      <c r="O19" s="71"/>
    </row>
    <row r="20" spans="1:15" s="7" customFormat="1" ht="15" hidden="1" customHeight="1" outlineLevel="1">
      <c r="B20" s="538" t="s">
        <v>514</v>
      </c>
      <c r="C20" s="797"/>
      <c r="D20" s="47"/>
      <c r="E20" s="47"/>
      <c r="F20" s="47"/>
      <c r="G20" s="47"/>
      <c r="H20" s="47"/>
      <c r="I20" s="47"/>
      <c r="J20" s="47"/>
      <c r="K20" s="47"/>
      <c r="L20" s="47"/>
      <c r="M20" s="47"/>
      <c r="N20" s="47"/>
      <c r="O20" s="71"/>
    </row>
    <row r="21" spans="1:15" s="7" customFormat="1" ht="15" hidden="1" customHeight="1" outlineLevel="1">
      <c r="B21" s="538" t="s">
        <v>492</v>
      </c>
      <c r="C21" s="797"/>
      <c r="D21" s="47"/>
      <c r="E21" s="47"/>
      <c r="F21" s="47"/>
      <c r="G21" s="47"/>
      <c r="H21" s="47"/>
      <c r="I21" s="47"/>
      <c r="J21" s="47"/>
      <c r="K21" s="47"/>
      <c r="L21" s="47"/>
      <c r="M21" s="47"/>
      <c r="N21" s="47"/>
      <c r="O21" s="71"/>
    </row>
    <row r="22" spans="1:15" s="7" customFormat="1" ht="14.25" customHeight="1" collapsed="1">
      <c r="B22" s="538" t="s">
        <v>515</v>
      </c>
      <c r="C22" s="800"/>
      <c r="D22" s="67">
        <f>SUM(D18:D21)</f>
        <v>0</v>
      </c>
      <c r="E22" s="67">
        <f>SUM(E18:E21)</f>
        <v>0</v>
      </c>
      <c r="F22" s="67">
        <f>SUM(F18:F21)</f>
        <v>0</v>
      </c>
      <c r="G22" s="67">
        <f t="shared" ref="G22:N22" si="2">SUM(G18:G21)</f>
        <v>0</v>
      </c>
      <c r="H22" s="67">
        <f t="shared" si="2"/>
        <v>1.5599999999999999E-2</v>
      </c>
      <c r="I22" s="67">
        <f t="shared" si="2"/>
        <v>1.5800000000000002E-2</v>
      </c>
      <c r="J22" s="67">
        <f t="shared" si="2"/>
        <v>1.21E-2</v>
      </c>
      <c r="K22" s="67">
        <f t="shared" si="2"/>
        <v>8.2000000000000007E-3</v>
      </c>
      <c r="L22" s="67">
        <f t="shared" si="2"/>
        <v>0</v>
      </c>
      <c r="M22" s="67">
        <f t="shared" si="2"/>
        <v>0</v>
      </c>
      <c r="N22" s="67">
        <f t="shared" si="2"/>
        <v>0</v>
      </c>
      <c r="O22" s="78"/>
    </row>
    <row r="23" spans="1:15" s="65" customFormat="1">
      <c r="A23" s="64"/>
      <c r="B23" s="494" t="s">
        <v>516</v>
      </c>
      <c r="C23" s="484"/>
      <c r="D23" s="485"/>
      <c r="E23" s="486">
        <f t="shared" ref="E23:K23" si="3">ROUND(SUM(D22*E16+E22*E17)/12,4)</f>
        <v>0</v>
      </c>
      <c r="F23" s="486">
        <f t="shared" si="3"/>
        <v>0</v>
      </c>
      <c r="G23" s="486">
        <f t="shared" si="3"/>
        <v>0</v>
      </c>
      <c r="H23" s="486">
        <f t="shared" si="3"/>
        <v>1.04E-2</v>
      </c>
      <c r="I23" s="486">
        <f t="shared" si="3"/>
        <v>1.5699999999999999E-2</v>
      </c>
      <c r="J23" s="486">
        <f t="shared" si="3"/>
        <v>1.3299999999999999E-2</v>
      </c>
      <c r="K23" s="486">
        <f t="shared" si="3"/>
        <v>9.4999999999999998E-3</v>
      </c>
      <c r="L23" s="486">
        <f t="shared" ref="L23:N23" si="4">ROUND(SUM(K22*L16+L22*L17)/12,4)</f>
        <v>2.7000000000000001E-3</v>
      </c>
      <c r="M23" s="486">
        <f t="shared" si="4"/>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799" t="str">
        <f>'2. LRAMVA Threshold'!E43</f>
        <v>kWh</v>
      </c>
      <c r="D25" s="47"/>
      <c r="E25" s="47"/>
      <c r="F25" s="47"/>
      <c r="G25" s="47">
        <v>0</v>
      </c>
      <c r="H25" s="47">
        <v>1.0800000000000001E-2</v>
      </c>
      <c r="I25" s="47">
        <v>1.09E-2</v>
      </c>
      <c r="J25" s="47">
        <v>1.11E-2</v>
      </c>
      <c r="K25" s="47">
        <v>1.2999999999999999E-3</v>
      </c>
      <c r="L25" s="47"/>
      <c r="M25" s="47"/>
      <c r="N25" s="47"/>
      <c r="O25" s="71"/>
    </row>
    <row r="26" spans="1:15" s="18" customFormat="1" hidden="1" outlineLevel="1">
      <c r="A26" s="4"/>
      <c r="B26" s="538" t="s">
        <v>513</v>
      </c>
      <c r="C26" s="797"/>
      <c r="D26" s="47"/>
      <c r="E26" s="47"/>
      <c r="F26" s="47"/>
      <c r="G26" s="47"/>
      <c r="H26" s="47"/>
      <c r="I26" s="47"/>
      <c r="J26" s="47"/>
      <c r="K26" s="47"/>
      <c r="L26" s="47"/>
      <c r="M26" s="47"/>
      <c r="N26" s="47"/>
      <c r="O26" s="71"/>
    </row>
    <row r="27" spans="1:15" s="18" customFormat="1" hidden="1" outlineLevel="1">
      <c r="A27" s="4"/>
      <c r="B27" s="538" t="s">
        <v>514</v>
      </c>
      <c r="C27" s="797"/>
      <c r="D27" s="47"/>
      <c r="E27" s="47"/>
      <c r="F27" s="47"/>
      <c r="G27" s="47"/>
      <c r="H27" s="47"/>
      <c r="I27" s="47"/>
      <c r="J27" s="47"/>
      <c r="K27" s="47"/>
      <c r="L27" s="47"/>
      <c r="M27" s="47"/>
      <c r="N27" s="47"/>
      <c r="O27" s="71"/>
    </row>
    <row r="28" spans="1:15" s="18" customFormat="1" hidden="1" outlineLevel="1">
      <c r="A28" s="4"/>
      <c r="B28" s="538" t="s">
        <v>492</v>
      </c>
      <c r="C28" s="797"/>
      <c r="D28" s="47"/>
      <c r="E28" s="47"/>
      <c r="F28" s="47"/>
      <c r="G28" s="47"/>
      <c r="H28" s="47"/>
      <c r="I28" s="47"/>
      <c r="J28" s="47"/>
      <c r="K28" s="47"/>
      <c r="L28" s="47"/>
      <c r="M28" s="47"/>
      <c r="N28" s="47"/>
      <c r="O28" s="71"/>
    </row>
    <row r="29" spans="1:15" s="18" customFormat="1" collapsed="1">
      <c r="A29" s="4"/>
      <c r="B29" s="538" t="s">
        <v>515</v>
      </c>
      <c r="C29" s="800"/>
      <c r="D29" s="67">
        <f>SUM(D25:D28)</f>
        <v>0</v>
      </c>
      <c r="E29" s="67">
        <f t="shared" ref="E29:N29" si="5">SUM(E25:E28)</f>
        <v>0</v>
      </c>
      <c r="F29" s="67">
        <f t="shared" si="5"/>
        <v>0</v>
      </c>
      <c r="G29" s="67">
        <f t="shared" si="5"/>
        <v>0</v>
      </c>
      <c r="H29" s="67">
        <f t="shared" si="5"/>
        <v>1.0800000000000001E-2</v>
      </c>
      <c r="I29" s="67">
        <f t="shared" si="5"/>
        <v>1.09E-2</v>
      </c>
      <c r="J29" s="67">
        <f t="shared" si="5"/>
        <v>1.11E-2</v>
      </c>
      <c r="K29" s="67">
        <f t="shared" si="5"/>
        <v>1.2999999999999999E-3</v>
      </c>
      <c r="L29" s="67">
        <f t="shared" si="5"/>
        <v>0</v>
      </c>
      <c r="M29" s="67">
        <f t="shared" si="5"/>
        <v>0</v>
      </c>
      <c r="N29" s="67">
        <f t="shared" si="5"/>
        <v>0</v>
      </c>
      <c r="O29" s="78"/>
    </row>
    <row r="30" spans="1:15" s="18" customFormat="1">
      <c r="A30" s="4"/>
      <c r="B30" s="494" t="s">
        <v>516</v>
      </c>
      <c r="C30" s="490"/>
      <c r="D30" s="73"/>
      <c r="E30" s="486">
        <f>ROUND(SUM(D29*E16+E29*E17)/12,4)</f>
        <v>0</v>
      </c>
      <c r="F30" s="486">
        <f t="shared" ref="F30:N30" si="6">ROUND(SUM(E29*F16+F29*F17)/12,4)</f>
        <v>0</v>
      </c>
      <c r="G30" s="486">
        <f t="shared" si="6"/>
        <v>0</v>
      </c>
      <c r="H30" s="486">
        <f t="shared" si="6"/>
        <v>7.1999999999999998E-3</v>
      </c>
      <c r="I30" s="486">
        <f t="shared" si="6"/>
        <v>1.09E-2</v>
      </c>
      <c r="J30" s="486">
        <f t="shared" si="6"/>
        <v>1.0999999999999999E-2</v>
      </c>
      <c r="K30" s="486">
        <f t="shared" si="6"/>
        <v>4.5999999999999999E-3</v>
      </c>
      <c r="L30" s="486">
        <f t="shared" si="6"/>
        <v>4.0000000000000002E-4</v>
      </c>
      <c r="M30" s="486">
        <f t="shared" si="6"/>
        <v>0</v>
      </c>
      <c r="N30" s="486">
        <f t="shared" si="6"/>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GS&gt;50-4999 kW</v>
      </c>
      <c r="C32" s="799" t="str">
        <f>'2. LRAMVA Threshold'!F43</f>
        <v>kW</v>
      </c>
      <c r="D32" s="47"/>
      <c r="E32" s="47"/>
      <c r="F32" s="47"/>
      <c r="G32" s="47">
        <v>0</v>
      </c>
      <c r="H32" s="47">
        <v>2.0808</v>
      </c>
      <c r="I32" s="47">
        <v>2.1078999999999999</v>
      </c>
      <c r="J32" s="47">
        <v>2.1457999999999999</v>
      </c>
      <c r="K32" s="47">
        <v>2.1800999999999999</v>
      </c>
      <c r="L32" s="47"/>
      <c r="M32" s="47"/>
      <c r="N32" s="47"/>
      <c r="O32" s="71"/>
    </row>
    <row r="33" spans="1:15" s="18" customFormat="1" hidden="1" outlineLevel="1">
      <c r="A33" s="4"/>
      <c r="B33" s="538" t="s">
        <v>513</v>
      </c>
      <c r="C33" s="797"/>
      <c r="D33" s="47"/>
      <c r="E33" s="47"/>
      <c r="F33" s="47"/>
      <c r="G33" s="47"/>
      <c r="H33" s="47"/>
      <c r="I33" s="47"/>
      <c r="J33" s="47"/>
      <c r="K33" s="47"/>
      <c r="L33" s="47"/>
      <c r="M33" s="47"/>
      <c r="N33" s="47"/>
      <c r="O33" s="71"/>
    </row>
    <row r="34" spans="1:15" s="18" customFormat="1" hidden="1" outlineLevel="1">
      <c r="A34" s="4"/>
      <c r="B34" s="538" t="s">
        <v>514</v>
      </c>
      <c r="C34" s="797"/>
      <c r="D34" s="47"/>
      <c r="E34" s="47"/>
      <c r="F34" s="47"/>
      <c r="G34" s="47"/>
      <c r="H34" s="47"/>
      <c r="I34" s="47"/>
      <c r="J34" s="47"/>
      <c r="K34" s="47"/>
      <c r="L34" s="47"/>
      <c r="M34" s="47"/>
      <c r="N34" s="47"/>
      <c r="O34" s="71"/>
    </row>
    <row r="35" spans="1:15" s="18" customFormat="1" hidden="1" outlineLevel="1">
      <c r="A35" s="4"/>
      <c r="B35" s="538" t="s">
        <v>492</v>
      </c>
      <c r="C35" s="797"/>
      <c r="D35" s="47"/>
      <c r="E35" s="47"/>
      <c r="F35" s="47"/>
      <c r="G35" s="47"/>
      <c r="H35" s="47"/>
      <c r="I35" s="47"/>
      <c r="J35" s="47"/>
      <c r="K35" s="47"/>
      <c r="L35" s="47"/>
      <c r="M35" s="47"/>
      <c r="N35" s="47"/>
      <c r="O35" s="71"/>
    </row>
    <row r="36" spans="1:15" s="18" customFormat="1" collapsed="1">
      <c r="A36" s="4"/>
      <c r="B36" s="538" t="s">
        <v>515</v>
      </c>
      <c r="C36" s="800"/>
      <c r="D36" s="67">
        <f>SUM(D32:D35)</f>
        <v>0</v>
      </c>
      <c r="E36" s="67">
        <f>SUM(E32:E35)</f>
        <v>0</v>
      </c>
      <c r="F36" s="67">
        <f t="shared" ref="F36:M36" si="7">SUM(F32:F35)</f>
        <v>0</v>
      </c>
      <c r="G36" s="67">
        <f t="shared" si="7"/>
        <v>0</v>
      </c>
      <c r="H36" s="67">
        <f t="shared" si="7"/>
        <v>2.0808</v>
      </c>
      <c r="I36" s="67">
        <f t="shared" si="7"/>
        <v>2.1078999999999999</v>
      </c>
      <c r="J36" s="67">
        <f t="shared" si="7"/>
        <v>2.1457999999999999</v>
      </c>
      <c r="K36" s="67">
        <f t="shared" si="7"/>
        <v>2.1800999999999999</v>
      </c>
      <c r="L36" s="67">
        <f t="shared" si="7"/>
        <v>0</v>
      </c>
      <c r="M36" s="67">
        <f t="shared" si="7"/>
        <v>0</v>
      </c>
      <c r="N36" s="67">
        <f>SUM(N32:N35)</f>
        <v>0</v>
      </c>
      <c r="O36" s="78"/>
    </row>
    <row r="37" spans="1:15" s="18" customFormat="1">
      <c r="A37" s="4"/>
      <c r="B37" s="494" t="s">
        <v>516</v>
      </c>
      <c r="C37" s="490"/>
      <c r="D37" s="73"/>
      <c r="E37" s="486">
        <f t="shared" ref="E37:N37" si="8">ROUND(SUM(D36*E16+E36*E17)/12,4)</f>
        <v>0</v>
      </c>
      <c r="F37" s="486">
        <f t="shared" si="8"/>
        <v>0</v>
      </c>
      <c r="G37" s="486">
        <f t="shared" si="8"/>
        <v>0</v>
      </c>
      <c r="H37" s="486">
        <f t="shared" si="8"/>
        <v>1.3872</v>
      </c>
      <c r="I37" s="486">
        <f t="shared" si="8"/>
        <v>2.0989</v>
      </c>
      <c r="J37" s="486">
        <f t="shared" si="8"/>
        <v>2.1332</v>
      </c>
      <c r="K37" s="486">
        <f t="shared" si="8"/>
        <v>2.1686999999999999</v>
      </c>
      <c r="L37" s="486">
        <f t="shared" si="8"/>
        <v>0.72670000000000001</v>
      </c>
      <c r="M37" s="486">
        <f t="shared" si="8"/>
        <v>0</v>
      </c>
      <c r="N37" s="486">
        <f t="shared" si="8"/>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USL</v>
      </c>
      <c r="C39" s="799" t="str">
        <f>'2. LRAMVA Threshold'!G43</f>
        <v>kWh</v>
      </c>
      <c r="D39" s="47"/>
      <c r="E39" s="47"/>
      <c r="F39" s="47"/>
      <c r="G39" s="47">
        <v>0</v>
      </c>
      <c r="H39" s="47">
        <v>2.2800000000000001E-2</v>
      </c>
      <c r="I39" s="47">
        <v>2.3099999999999999E-2</v>
      </c>
      <c r="J39" s="47">
        <v>2.35E-2</v>
      </c>
      <c r="K39" s="47">
        <v>2.3900000000000001E-2</v>
      </c>
      <c r="L39" s="47"/>
      <c r="M39" s="47"/>
      <c r="N39" s="47"/>
      <c r="O39" s="71"/>
    </row>
    <row r="40" spans="1:15" s="18" customFormat="1" hidden="1" outlineLevel="1">
      <c r="A40" s="4"/>
      <c r="B40" s="538" t="s">
        <v>513</v>
      </c>
      <c r="C40" s="797"/>
      <c r="D40" s="47"/>
      <c r="E40" s="47"/>
      <c r="F40" s="47"/>
      <c r="G40" s="47"/>
      <c r="H40" s="47"/>
      <c r="I40" s="47"/>
      <c r="J40" s="47"/>
      <c r="K40" s="47"/>
      <c r="L40" s="47"/>
      <c r="M40" s="47"/>
      <c r="N40" s="47"/>
      <c r="O40" s="71"/>
    </row>
    <row r="41" spans="1:15" s="18" customFormat="1" hidden="1" outlineLevel="1">
      <c r="A41" s="4"/>
      <c r="B41" s="538" t="s">
        <v>514</v>
      </c>
      <c r="C41" s="797"/>
      <c r="D41" s="47"/>
      <c r="E41" s="47"/>
      <c r="F41" s="47"/>
      <c r="G41" s="47"/>
      <c r="H41" s="47"/>
      <c r="I41" s="47"/>
      <c r="J41" s="47"/>
      <c r="K41" s="47"/>
      <c r="L41" s="47"/>
      <c r="M41" s="47"/>
      <c r="N41" s="47"/>
      <c r="O41" s="71"/>
    </row>
    <row r="42" spans="1:15" s="18" customFormat="1" hidden="1" outlineLevel="1">
      <c r="A42" s="4"/>
      <c r="B42" s="538" t="s">
        <v>492</v>
      </c>
      <c r="C42" s="797"/>
      <c r="D42" s="47"/>
      <c r="E42" s="47"/>
      <c r="F42" s="47"/>
      <c r="G42" s="47"/>
      <c r="H42" s="47"/>
      <c r="I42" s="47"/>
      <c r="J42" s="47"/>
      <c r="K42" s="47"/>
      <c r="L42" s="47"/>
      <c r="M42" s="47"/>
      <c r="N42" s="47"/>
      <c r="O42" s="71"/>
    </row>
    <row r="43" spans="1:15" s="18" customFormat="1" collapsed="1">
      <c r="A43" s="4"/>
      <c r="B43" s="538" t="s">
        <v>515</v>
      </c>
      <c r="C43" s="800"/>
      <c r="D43" s="67">
        <f>SUM(D39:D42)</f>
        <v>0</v>
      </c>
      <c r="E43" s="67">
        <f t="shared" ref="E43:N43" si="9">SUM(E39:E42)</f>
        <v>0</v>
      </c>
      <c r="F43" s="67">
        <f t="shared" si="9"/>
        <v>0</v>
      </c>
      <c r="G43" s="67">
        <f t="shared" si="9"/>
        <v>0</v>
      </c>
      <c r="H43" s="67">
        <f t="shared" si="9"/>
        <v>2.2800000000000001E-2</v>
      </c>
      <c r="I43" s="67">
        <f t="shared" si="9"/>
        <v>2.3099999999999999E-2</v>
      </c>
      <c r="J43" s="67">
        <f t="shared" si="9"/>
        <v>2.35E-2</v>
      </c>
      <c r="K43" s="67">
        <f t="shared" si="9"/>
        <v>2.3900000000000001E-2</v>
      </c>
      <c r="L43" s="67">
        <f t="shared" si="9"/>
        <v>0</v>
      </c>
      <c r="M43" s="67">
        <f t="shared" si="9"/>
        <v>0</v>
      </c>
      <c r="N43" s="67">
        <f t="shared" si="9"/>
        <v>0</v>
      </c>
      <c r="O43" s="78"/>
    </row>
    <row r="44" spans="1:15" s="14" customFormat="1">
      <c r="A44" s="74"/>
      <c r="B44" s="494" t="s">
        <v>516</v>
      </c>
      <c r="C44" s="490"/>
      <c r="D44" s="73"/>
      <c r="E44" s="486">
        <f t="shared" ref="E44:N44" si="10">ROUND(SUM(D43*E16+E43*E17)/12,4)</f>
        <v>0</v>
      </c>
      <c r="F44" s="486">
        <f t="shared" si="10"/>
        <v>0</v>
      </c>
      <c r="G44" s="486">
        <f t="shared" si="10"/>
        <v>0</v>
      </c>
      <c r="H44" s="486">
        <f t="shared" si="10"/>
        <v>1.52E-2</v>
      </c>
      <c r="I44" s="486">
        <f t="shared" si="10"/>
        <v>2.3E-2</v>
      </c>
      <c r="J44" s="486">
        <f t="shared" si="10"/>
        <v>2.3400000000000001E-2</v>
      </c>
      <c r="K44" s="486">
        <f t="shared" si="10"/>
        <v>2.3800000000000002E-2</v>
      </c>
      <c r="L44" s="486">
        <f t="shared" si="10"/>
        <v>8.0000000000000002E-3</v>
      </c>
      <c r="M44" s="486">
        <f t="shared" si="10"/>
        <v>0</v>
      </c>
      <c r="N44" s="486">
        <f t="shared" si="10"/>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Sentinel Lighting</v>
      </c>
      <c r="C46" s="799" t="str">
        <f>'2. LRAMVA Threshold'!H43</f>
        <v>kW</v>
      </c>
      <c r="D46" s="47"/>
      <c r="E46" s="47"/>
      <c r="F46" s="47"/>
      <c r="G46" s="47">
        <v>0</v>
      </c>
      <c r="H46" s="47">
        <v>28.3889</v>
      </c>
      <c r="I46" s="47">
        <v>28.757999999999999</v>
      </c>
      <c r="J46" s="47">
        <v>29.275600000000001</v>
      </c>
      <c r="K46" s="47">
        <v>29.744</v>
      </c>
      <c r="L46" s="47"/>
      <c r="M46" s="47"/>
      <c r="N46" s="47"/>
      <c r="O46" s="71"/>
    </row>
    <row r="47" spans="1:15" s="18" customFormat="1" hidden="1" outlineLevel="1">
      <c r="A47" s="4"/>
      <c r="B47" s="538" t="s">
        <v>513</v>
      </c>
      <c r="C47" s="797"/>
      <c r="D47" s="47"/>
      <c r="E47" s="47"/>
      <c r="F47" s="47"/>
      <c r="G47" s="47"/>
      <c r="H47" s="47"/>
      <c r="I47" s="47"/>
      <c r="J47" s="47"/>
      <c r="K47" s="47"/>
      <c r="L47" s="47"/>
      <c r="M47" s="47"/>
      <c r="N47" s="47"/>
      <c r="O47" s="71"/>
    </row>
    <row r="48" spans="1:15" s="18" customFormat="1" hidden="1" outlineLevel="1">
      <c r="A48" s="4"/>
      <c r="B48" s="538" t="s">
        <v>514</v>
      </c>
      <c r="C48" s="797"/>
      <c r="D48" s="47"/>
      <c r="E48" s="47"/>
      <c r="F48" s="47"/>
      <c r="G48" s="47"/>
      <c r="H48" s="47"/>
      <c r="I48" s="47"/>
      <c r="J48" s="47"/>
      <c r="K48" s="47"/>
      <c r="L48" s="47"/>
      <c r="M48" s="47"/>
      <c r="N48" s="47"/>
      <c r="O48" s="71"/>
    </row>
    <row r="49" spans="1:15" s="18" customFormat="1" hidden="1" outlineLevel="1">
      <c r="A49" s="4"/>
      <c r="B49" s="538" t="s">
        <v>492</v>
      </c>
      <c r="C49" s="797"/>
      <c r="D49" s="47"/>
      <c r="E49" s="47"/>
      <c r="F49" s="47"/>
      <c r="G49" s="47"/>
      <c r="H49" s="47"/>
      <c r="I49" s="47"/>
      <c r="J49" s="47"/>
      <c r="K49" s="47"/>
      <c r="L49" s="47"/>
      <c r="M49" s="47"/>
      <c r="N49" s="47"/>
      <c r="O49" s="71"/>
    </row>
    <row r="50" spans="1:15" s="18" customFormat="1" collapsed="1">
      <c r="A50" s="4"/>
      <c r="B50" s="538" t="s">
        <v>515</v>
      </c>
      <c r="C50" s="800"/>
      <c r="D50" s="67">
        <f>SUM(D46:D49)</f>
        <v>0</v>
      </c>
      <c r="E50" s="67">
        <f t="shared" ref="E50:N50" si="11">SUM(E46:E49)</f>
        <v>0</v>
      </c>
      <c r="F50" s="67">
        <f t="shared" si="11"/>
        <v>0</v>
      </c>
      <c r="G50" s="67">
        <f t="shared" si="11"/>
        <v>0</v>
      </c>
      <c r="H50" s="67">
        <f t="shared" si="11"/>
        <v>28.3889</v>
      </c>
      <c r="I50" s="67">
        <f t="shared" si="11"/>
        <v>28.757999999999999</v>
      </c>
      <c r="J50" s="67">
        <f t="shared" si="11"/>
        <v>29.275600000000001</v>
      </c>
      <c r="K50" s="67">
        <f t="shared" si="11"/>
        <v>29.744</v>
      </c>
      <c r="L50" s="67">
        <f t="shared" si="11"/>
        <v>0</v>
      </c>
      <c r="M50" s="67">
        <f t="shared" si="11"/>
        <v>0</v>
      </c>
      <c r="N50" s="67">
        <f t="shared" si="11"/>
        <v>0</v>
      </c>
      <c r="O50" s="78"/>
    </row>
    <row r="51" spans="1:15" s="14" customFormat="1">
      <c r="A51" s="74"/>
      <c r="B51" s="494" t="s">
        <v>516</v>
      </c>
      <c r="C51" s="490"/>
      <c r="D51" s="73"/>
      <c r="E51" s="486">
        <f t="shared" ref="E51:N51" si="12">ROUND(SUM(D50*E16+E50*E17)/12,4)</f>
        <v>0</v>
      </c>
      <c r="F51" s="486">
        <f t="shared" si="12"/>
        <v>0</v>
      </c>
      <c r="G51" s="486">
        <f t="shared" si="12"/>
        <v>0</v>
      </c>
      <c r="H51" s="486">
        <f t="shared" si="12"/>
        <v>18.925899999999999</v>
      </c>
      <c r="I51" s="486">
        <f t="shared" si="12"/>
        <v>28.635000000000002</v>
      </c>
      <c r="J51" s="486">
        <f t="shared" si="12"/>
        <v>29.103100000000001</v>
      </c>
      <c r="K51" s="486">
        <f t="shared" si="12"/>
        <v>29.587900000000001</v>
      </c>
      <c r="L51" s="486">
        <f t="shared" si="12"/>
        <v>9.9146999999999998</v>
      </c>
      <c r="M51" s="486">
        <f t="shared" si="12"/>
        <v>0</v>
      </c>
      <c r="N51" s="486">
        <f t="shared" si="12"/>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799" t="str">
        <f>'2. LRAMVA Threshold'!I43</f>
        <v>kW</v>
      </c>
      <c r="D53" s="47"/>
      <c r="E53" s="47"/>
      <c r="F53" s="47"/>
      <c r="G53" s="47">
        <v>0</v>
      </c>
      <c r="H53" s="47">
        <v>4.8212999999999999</v>
      </c>
      <c r="I53" s="47">
        <v>4.8840000000000003</v>
      </c>
      <c r="J53" s="47">
        <v>4.9718999999999998</v>
      </c>
      <c r="K53" s="47">
        <v>5.0514999999999999</v>
      </c>
      <c r="L53" s="47"/>
      <c r="M53" s="47"/>
      <c r="N53" s="47"/>
      <c r="O53" s="71"/>
    </row>
    <row r="54" spans="1:15" s="18" customFormat="1" hidden="1" outlineLevel="1">
      <c r="A54" s="4"/>
      <c r="B54" s="538" t="s">
        <v>513</v>
      </c>
      <c r="C54" s="797"/>
      <c r="D54" s="47"/>
      <c r="E54" s="47"/>
      <c r="F54" s="47"/>
      <c r="G54" s="47"/>
      <c r="H54" s="47"/>
      <c r="I54" s="47"/>
      <c r="J54" s="47"/>
      <c r="K54" s="47"/>
      <c r="L54" s="47"/>
      <c r="M54" s="47"/>
      <c r="N54" s="47"/>
      <c r="O54" s="71"/>
    </row>
    <row r="55" spans="1:15" s="18" customFormat="1" hidden="1" outlineLevel="1">
      <c r="A55" s="4"/>
      <c r="B55" s="538" t="s">
        <v>514</v>
      </c>
      <c r="C55" s="797"/>
      <c r="D55" s="47"/>
      <c r="E55" s="47"/>
      <c r="F55" s="47"/>
      <c r="G55" s="47"/>
      <c r="H55" s="47"/>
      <c r="I55" s="47"/>
      <c r="J55" s="47"/>
      <c r="K55" s="47"/>
      <c r="L55" s="47"/>
      <c r="M55" s="47"/>
      <c r="N55" s="47"/>
      <c r="O55" s="71"/>
    </row>
    <row r="56" spans="1:15" s="18" customFormat="1" hidden="1" outlineLevel="1">
      <c r="A56" s="4"/>
      <c r="B56" s="538" t="s">
        <v>492</v>
      </c>
      <c r="C56" s="797"/>
      <c r="D56" s="47"/>
      <c r="E56" s="47"/>
      <c r="F56" s="47"/>
      <c r="G56" s="47"/>
      <c r="H56" s="47"/>
      <c r="I56" s="47"/>
      <c r="J56" s="47"/>
      <c r="K56" s="47"/>
      <c r="L56" s="47"/>
      <c r="M56" s="47"/>
      <c r="N56" s="47"/>
      <c r="O56" s="71"/>
    </row>
    <row r="57" spans="1:15" s="18" customFormat="1" collapsed="1">
      <c r="A57" s="4"/>
      <c r="B57" s="538" t="s">
        <v>515</v>
      </c>
      <c r="C57" s="800"/>
      <c r="D57" s="67">
        <f>SUM(D53:D56)</f>
        <v>0</v>
      </c>
      <c r="E57" s="67">
        <f t="shared" ref="E57:N57" si="13">SUM(E53:E56)</f>
        <v>0</v>
      </c>
      <c r="F57" s="67">
        <f t="shared" si="13"/>
        <v>0</v>
      </c>
      <c r="G57" s="67">
        <f t="shared" si="13"/>
        <v>0</v>
      </c>
      <c r="H57" s="67">
        <f t="shared" si="13"/>
        <v>4.8212999999999999</v>
      </c>
      <c r="I57" s="67">
        <f t="shared" si="13"/>
        <v>4.8840000000000003</v>
      </c>
      <c r="J57" s="67">
        <f t="shared" si="13"/>
        <v>4.9718999999999998</v>
      </c>
      <c r="K57" s="67">
        <f t="shared" si="13"/>
        <v>5.0514999999999999</v>
      </c>
      <c r="L57" s="67">
        <f t="shared" si="13"/>
        <v>0</v>
      </c>
      <c r="M57" s="67">
        <f t="shared" si="13"/>
        <v>0</v>
      </c>
      <c r="N57" s="67">
        <f t="shared" si="13"/>
        <v>0</v>
      </c>
      <c r="O57" s="79"/>
    </row>
    <row r="58" spans="1:15" s="14" customFormat="1">
      <c r="A58" s="74"/>
      <c r="B58" s="494" t="s">
        <v>516</v>
      </c>
      <c r="C58" s="490"/>
      <c r="D58" s="73"/>
      <c r="E58" s="486">
        <f t="shared" ref="E58:N58" si="14">ROUND(SUM(D57*E16+E57*E17)/12,4)</f>
        <v>0</v>
      </c>
      <c r="F58" s="486">
        <f t="shared" si="14"/>
        <v>0</v>
      </c>
      <c r="G58" s="486">
        <f t="shared" si="14"/>
        <v>0</v>
      </c>
      <c r="H58" s="486">
        <f t="shared" si="14"/>
        <v>3.2141999999999999</v>
      </c>
      <c r="I58" s="486">
        <f t="shared" si="14"/>
        <v>4.8631000000000002</v>
      </c>
      <c r="J58" s="486">
        <f t="shared" si="14"/>
        <v>4.9425999999999997</v>
      </c>
      <c r="K58" s="486">
        <f t="shared" si="14"/>
        <v>5.0250000000000004</v>
      </c>
      <c r="L58" s="486">
        <f t="shared" si="14"/>
        <v>1.6838</v>
      </c>
      <c r="M58" s="486">
        <f t="shared" si="14"/>
        <v>0</v>
      </c>
      <c r="N58" s="486">
        <f t="shared" si="14"/>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99">
        <f>'2. LRAMVA Threshold'!J43</f>
        <v>0</v>
      </c>
      <c r="D60" s="47"/>
      <c r="E60" s="47"/>
      <c r="F60" s="47"/>
      <c r="G60" s="47"/>
      <c r="H60" s="47"/>
      <c r="I60" s="47"/>
      <c r="J60" s="47"/>
      <c r="K60" s="47"/>
      <c r="L60" s="47"/>
      <c r="M60" s="47"/>
      <c r="N60" s="47"/>
      <c r="O60" s="71"/>
    </row>
    <row r="61" spans="1:15" s="18" customFormat="1" hidden="1" outlineLevel="1">
      <c r="A61" s="4"/>
      <c r="B61" s="538" t="s">
        <v>513</v>
      </c>
      <c r="C61" s="797"/>
      <c r="D61" s="47"/>
      <c r="E61" s="47"/>
      <c r="F61" s="47"/>
      <c r="G61" s="47"/>
      <c r="H61" s="47"/>
      <c r="I61" s="47"/>
      <c r="J61" s="47"/>
      <c r="K61" s="47"/>
      <c r="L61" s="47"/>
      <c r="M61" s="47"/>
      <c r="N61" s="47"/>
      <c r="O61" s="71"/>
    </row>
    <row r="62" spans="1:15" s="18" customFormat="1" hidden="1" outlineLevel="1">
      <c r="A62" s="4"/>
      <c r="B62" s="538" t="s">
        <v>514</v>
      </c>
      <c r="C62" s="797"/>
      <c r="D62" s="47"/>
      <c r="E62" s="47"/>
      <c r="F62" s="47"/>
      <c r="G62" s="47"/>
      <c r="H62" s="47"/>
      <c r="I62" s="47"/>
      <c r="J62" s="47"/>
      <c r="K62" s="47"/>
      <c r="L62" s="47"/>
      <c r="M62" s="47"/>
      <c r="N62" s="47"/>
      <c r="O62" s="71"/>
    </row>
    <row r="63" spans="1:15" s="18" customFormat="1" hidden="1" outlineLevel="1">
      <c r="A63" s="4"/>
      <c r="B63" s="538" t="s">
        <v>492</v>
      </c>
      <c r="C63" s="797"/>
      <c r="D63" s="47"/>
      <c r="E63" s="47"/>
      <c r="F63" s="47"/>
      <c r="G63" s="47"/>
      <c r="H63" s="47"/>
      <c r="I63" s="47"/>
      <c r="J63" s="47"/>
      <c r="K63" s="47"/>
      <c r="L63" s="47"/>
      <c r="M63" s="47"/>
      <c r="N63" s="47"/>
      <c r="O63" s="71"/>
    </row>
    <row r="64" spans="1:15" s="18" customFormat="1" collapsed="1">
      <c r="A64" s="4"/>
      <c r="B64" s="538" t="s">
        <v>515</v>
      </c>
      <c r="C64" s="800"/>
      <c r="D64" s="67">
        <f>SUM(D60:D63)</f>
        <v>0</v>
      </c>
      <c r="E64" s="67">
        <f t="shared" ref="E64:N64" si="15">SUM(E60:E63)</f>
        <v>0</v>
      </c>
      <c r="F64" s="67">
        <f t="shared" si="15"/>
        <v>0</v>
      </c>
      <c r="G64" s="67">
        <f t="shared" si="15"/>
        <v>0</v>
      </c>
      <c r="H64" s="67">
        <f t="shared" si="15"/>
        <v>0</v>
      </c>
      <c r="I64" s="67">
        <f t="shared" si="15"/>
        <v>0</v>
      </c>
      <c r="J64" s="67">
        <f t="shared" si="15"/>
        <v>0</v>
      </c>
      <c r="K64" s="67">
        <f t="shared" si="15"/>
        <v>0</v>
      </c>
      <c r="L64" s="67">
        <f t="shared" si="15"/>
        <v>0</v>
      </c>
      <c r="M64" s="67">
        <f t="shared" si="15"/>
        <v>0</v>
      </c>
      <c r="N64" s="67">
        <f t="shared" si="15"/>
        <v>0</v>
      </c>
      <c r="O64" s="79"/>
    </row>
    <row r="65" spans="1:15" s="14" customFormat="1">
      <c r="A65" s="74"/>
      <c r="B65" s="494" t="s">
        <v>516</v>
      </c>
      <c r="C65" s="490"/>
      <c r="D65" s="73"/>
      <c r="E65" s="486">
        <f t="shared" ref="E65:N65" si="16">ROUND(SUM(D64*E16+E64*E17)/12,4)</f>
        <v>0</v>
      </c>
      <c r="F65" s="486">
        <f t="shared" si="16"/>
        <v>0</v>
      </c>
      <c r="G65" s="486">
        <f t="shared" si="16"/>
        <v>0</v>
      </c>
      <c r="H65" s="486">
        <f t="shared" si="16"/>
        <v>0</v>
      </c>
      <c r="I65" s="486">
        <f>ROUND(SUM(H64*I16+I64*I17)/12,4)</f>
        <v>0</v>
      </c>
      <c r="J65" s="486">
        <f t="shared" si="16"/>
        <v>0</v>
      </c>
      <c r="K65" s="486">
        <f t="shared" si="16"/>
        <v>0</v>
      </c>
      <c r="L65" s="486">
        <f t="shared" si="16"/>
        <v>0</v>
      </c>
      <c r="M65" s="486">
        <f t="shared" si="16"/>
        <v>0</v>
      </c>
      <c r="N65" s="486">
        <f t="shared" si="16"/>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99">
        <f>'2. LRAMVA Threshold'!K43</f>
        <v>0</v>
      </c>
      <c r="D67" s="47"/>
      <c r="E67" s="47"/>
      <c r="F67" s="47"/>
      <c r="G67" s="47"/>
      <c r="H67" s="47"/>
      <c r="I67" s="47"/>
      <c r="J67" s="47"/>
      <c r="K67" s="47"/>
      <c r="L67" s="47"/>
      <c r="M67" s="47"/>
      <c r="N67" s="47"/>
      <c r="O67" s="71"/>
    </row>
    <row r="68" spans="1:15" s="18" customFormat="1" hidden="1" outlineLevel="1">
      <c r="A68" s="4"/>
      <c r="B68" s="538" t="s">
        <v>513</v>
      </c>
      <c r="C68" s="797"/>
      <c r="D68" s="47"/>
      <c r="E68" s="47"/>
      <c r="F68" s="47"/>
      <c r="G68" s="47"/>
      <c r="H68" s="47"/>
      <c r="I68" s="47"/>
      <c r="J68" s="47"/>
      <c r="K68" s="47"/>
      <c r="L68" s="47"/>
      <c r="M68" s="47"/>
      <c r="N68" s="47"/>
      <c r="O68" s="71"/>
    </row>
    <row r="69" spans="1:15" s="18" customFormat="1" hidden="1" outlineLevel="1">
      <c r="A69" s="4"/>
      <c r="B69" s="538" t="s">
        <v>514</v>
      </c>
      <c r="C69" s="797"/>
      <c r="D69" s="47"/>
      <c r="E69" s="47"/>
      <c r="F69" s="47"/>
      <c r="G69" s="47"/>
      <c r="H69" s="47"/>
      <c r="I69" s="47"/>
      <c r="J69" s="47"/>
      <c r="K69" s="47"/>
      <c r="L69" s="47"/>
      <c r="M69" s="47"/>
      <c r="N69" s="47"/>
      <c r="O69" s="71"/>
    </row>
    <row r="70" spans="1:15" s="18" customFormat="1" hidden="1" outlineLevel="1">
      <c r="A70" s="4"/>
      <c r="B70" s="538" t="s">
        <v>492</v>
      </c>
      <c r="C70" s="797"/>
      <c r="D70" s="47"/>
      <c r="E70" s="47"/>
      <c r="F70" s="47"/>
      <c r="G70" s="47"/>
      <c r="H70" s="47"/>
      <c r="I70" s="47"/>
      <c r="J70" s="47"/>
      <c r="K70" s="47"/>
      <c r="L70" s="47"/>
      <c r="M70" s="47"/>
      <c r="N70" s="47"/>
      <c r="O70" s="71"/>
    </row>
    <row r="71" spans="1:15" s="18" customFormat="1" collapsed="1">
      <c r="A71" s="4"/>
      <c r="B71" s="538" t="s">
        <v>515</v>
      </c>
      <c r="C71" s="800"/>
      <c r="D71" s="67">
        <f>SUM(D67:D70)</f>
        <v>0</v>
      </c>
      <c r="E71" s="67">
        <f t="shared" ref="E71:N71" si="17">SUM(E67:E70)</f>
        <v>0</v>
      </c>
      <c r="F71" s="67">
        <f>SUM(F67:F70)</f>
        <v>0</v>
      </c>
      <c r="G71" s="67">
        <f t="shared" si="17"/>
        <v>0</v>
      </c>
      <c r="H71" s="67">
        <f t="shared" si="17"/>
        <v>0</v>
      </c>
      <c r="I71" s="67">
        <f t="shared" si="17"/>
        <v>0</v>
      </c>
      <c r="J71" s="67">
        <f t="shared" si="17"/>
        <v>0</v>
      </c>
      <c r="K71" s="67">
        <f t="shared" si="17"/>
        <v>0</v>
      </c>
      <c r="L71" s="67">
        <f t="shared" si="17"/>
        <v>0</v>
      </c>
      <c r="M71" s="67">
        <f t="shared" si="17"/>
        <v>0</v>
      </c>
      <c r="N71" s="67">
        <f t="shared" si="17"/>
        <v>0</v>
      </c>
      <c r="O71" s="79"/>
    </row>
    <row r="72" spans="1:15" s="14" customFormat="1">
      <c r="A72" s="74"/>
      <c r="B72" s="494" t="s">
        <v>516</v>
      </c>
      <c r="C72" s="490"/>
      <c r="D72" s="73"/>
      <c r="E72" s="486">
        <f t="shared" ref="E72:N72" si="18">ROUND(SUM(D71*E16+E71*E17)/12,4)</f>
        <v>0</v>
      </c>
      <c r="F72" s="486">
        <f t="shared" si="18"/>
        <v>0</v>
      </c>
      <c r="G72" s="486">
        <f t="shared" si="18"/>
        <v>0</v>
      </c>
      <c r="H72" s="486">
        <f t="shared" si="18"/>
        <v>0</v>
      </c>
      <c r="I72" s="486">
        <f t="shared" si="18"/>
        <v>0</v>
      </c>
      <c r="J72" s="486">
        <f t="shared" si="18"/>
        <v>0</v>
      </c>
      <c r="K72" s="486">
        <f t="shared" si="18"/>
        <v>0</v>
      </c>
      <c r="L72" s="486">
        <f t="shared" si="18"/>
        <v>0</v>
      </c>
      <c r="M72" s="486">
        <f t="shared" si="18"/>
        <v>0</v>
      </c>
      <c r="N72" s="486">
        <f t="shared" si="18"/>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99">
        <f>'2. LRAMVA Threshold'!L43</f>
        <v>0</v>
      </c>
      <c r="D74" s="47"/>
      <c r="E74" s="47"/>
      <c r="F74" s="47"/>
      <c r="G74" s="47"/>
      <c r="H74" s="47"/>
      <c r="I74" s="47"/>
      <c r="J74" s="47"/>
      <c r="K74" s="47"/>
      <c r="L74" s="47"/>
      <c r="M74" s="47"/>
      <c r="N74" s="47"/>
      <c r="O74" s="71"/>
    </row>
    <row r="75" spans="1:15" s="18" customFormat="1" hidden="1" outlineLevel="1">
      <c r="A75" s="4"/>
      <c r="B75" s="538" t="s">
        <v>513</v>
      </c>
      <c r="C75" s="797"/>
      <c r="D75" s="47"/>
      <c r="E75" s="47"/>
      <c r="F75" s="47"/>
      <c r="G75" s="47"/>
      <c r="H75" s="47"/>
      <c r="I75" s="47"/>
      <c r="J75" s="47"/>
      <c r="K75" s="47"/>
      <c r="L75" s="47"/>
      <c r="M75" s="47"/>
      <c r="N75" s="47"/>
      <c r="O75" s="71"/>
    </row>
    <row r="76" spans="1:15" s="18" customFormat="1" hidden="1" outlineLevel="1">
      <c r="A76" s="4"/>
      <c r="B76" s="538" t="s">
        <v>514</v>
      </c>
      <c r="C76" s="797"/>
      <c r="D76" s="47"/>
      <c r="E76" s="47"/>
      <c r="F76" s="47"/>
      <c r="G76" s="47"/>
      <c r="H76" s="47"/>
      <c r="I76" s="47"/>
      <c r="J76" s="47"/>
      <c r="K76" s="47"/>
      <c r="L76" s="47"/>
      <c r="M76" s="47"/>
      <c r="N76" s="47"/>
      <c r="O76" s="71"/>
    </row>
    <row r="77" spans="1:15" s="18" customFormat="1" hidden="1" outlineLevel="1">
      <c r="A77" s="4"/>
      <c r="B77" s="538" t="s">
        <v>492</v>
      </c>
      <c r="C77" s="797"/>
      <c r="D77" s="47"/>
      <c r="E77" s="47"/>
      <c r="F77" s="47"/>
      <c r="G77" s="47"/>
      <c r="H77" s="47"/>
      <c r="I77" s="47"/>
      <c r="J77" s="47"/>
      <c r="K77" s="47"/>
      <c r="L77" s="47"/>
      <c r="M77" s="47"/>
      <c r="N77" s="47"/>
      <c r="O77" s="71"/>
    </row>
    <row r="78" spans="1:15" s="18" customFormat="1" collapsed="1">
      <c r="A78" s="4"/>
      <c r="B78" s="538" t="s">
        <v>515</v>
      </c>
      <c r="C78" s="800"/>
      <c r="D78" s="67">
        <f>SUM(D74:D77)</f>
        <v>0</v>
      </c>
      <c r="E78" s="67">
        <f>SUM(E74:E77)</f>
        <v>0</v>
      </c>
      <c r="F78" s="67">
        <f t="shared" ref="F78:N78" si="19">SUM(F74:F77)</f>
        <v>0</v>
      </c>
      <c r="G78" s="67">
        <f t="shared" si="19"/>
        <v>0</v>
      </c>
      <c r="H78" s="67">
        <f t="shared" si="19"/>
        <v>0</v>
      </c>
      <c r="I78" s="67">
        <f t="shared" si="19"/>
        <v>0</v>
      </c>
      <c r="J78" s="67">
        <f t="shared" si="19"/>
        <v>0</v>
      </c>
      <c r="K78" s="67">
        <f t="shared" si="19"/>
        <v>0</v>
      </c>
      <c r="L78" s="67">
        <f t="shared" si="19"/>
        <v>0</v>
      </c>
      <c r="M78" s="67">
        <f t="shared" si="19"/>
        <v>0</v>
      </c>
      <c r="N78" s="67">
        <f t="shared" si="19"/>
        <v>0</v>
      </c>
      <c r="O78" s="79"/>
    </row>
    <row r="79" spans="1:15" s="14" customFormat="1">
      <c r="A79" s="74"/>
      <c r="B79" s="494" t="s">
        <v>516</v>
      </c>
      <c r="C79" s="490"/>
      <c r="D79" s="73"/>
      <c r="E79" s="486">
        <f t="shared" ref="E79:N79" si="20">ROUND(SUM(D78*E16+E78*E17)/12,4)</f>
        <v>0</v>
      </c>
      <c r="F79" s="486">
        <f t="shared" si="20"/>
        <v>0</v>
      </c>
      <c r="G79" s="486">
        <f t="shared" si="20"/>
        <v>0</v>
      </c>
      <c r="H79" s="486">
        <f t="shared" si="20"/>
        <v>0</v>
      </c>
      <c r="I79" s="486">
        <f t="shared" si="20"/>
        <v>0</v>
      </c>
      <c r="J79" s="486">
        <f t="shared" si="20"/>
        <v>0</v>
      </c>
      <c r="K79" s="486">
        <f t="shared" si="20"/>
        <v>0</v>
      </c>
      <c r="L79" s="486">
        <f t="shared" si="20"/>
        <v>0</v>
      </c>
      <c r="M79" s="486">
        <f t="shared" si="20"/>
        <v>0</v>
      </c>
      <c r="N79" s="486">
        <f t="shared" si="20"/>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99">
        <f>'2. LRAMVA Threshold'!M43</f>
        <v>0</v>
      </c>
      <c r="D81" s="47"/>
      <c r="E81" s="47"/>
      <c r="F81" s="47"/>
      <c r="G81" s="47"/>
      <c r="H81" s="47"/>
      <c r="I81" s="47"/>
      <c r="J81" s="47"/>
      <c r="K81" s="47"/>
      <c r="L81" s="47"/>
      <c r="M81" s="47"/>
      <c r="N81" s="47"/>
      <c r="O81" s="71"/>
    </row>
    <row r="82" spans="1:15" s="18" customFormat="1" hidden="1" outlineLevel="1">
      <c r="A82" s="4"/>
      <c r="B82" s="538" t="s">
        <v>513</v>
      </c>
      <c r="C82" s="797"/>
      <c r="D82" s="47"/>
      <c r="E82" s="47"/>
      <c r="F82" s="47"/>
      <c r="G82" s="47"/>
      <c r="H82" s="47"/>
      <c r="I82" s="47"/>
      <c r="J82" s="47"/>
      <c r="K82" s="47"/>
      <c r="L82" s="47"/>
      <c r="M82" s="47"/>
      <c r="N82" s="47"/>
      <c r="O82" s="71"/>
    </row>
    <row r="83" spans="1:15" s="18" customFormat="1" hidden="1" outlineLevel="1">
      <c r="A83" s="4"/>
      <c r="B83" s="538" t="s">
        <v>514</v>
      </c>
      <c r="C83" s="797"/>
      <c r="D83" s="47"/>
      <c r="E83" s="47"/>
      <c r="F83" s="47"/>
      <c r="G83" s="47"/>
      <c r="H83" s="47"/>
      <c r="I83" s="47"/>
      <c r="J83" s="47"/>
      <c r="K83" s="47"/>
      <c r="L83" s="47"/>
      <c r="M83" s="47"/>
      <c r="N83" s="47"/>
      <c r="O83" s="71"/>
    </row>
    <row r="84" spans="1:15" s="18" customFormat="1" hidden="1" outlineLevel="1">
      <c r="A84" s="4"/>
      <c r="B84" s="538" t="s">
        <v>492</v>
      </c>
      <c r="C84" s="797"/>
      <c r="D84" s="47"/>
      <c r="E84" s="47"/>
      <c r="F84" s="47"/>
      <c r="G84" s="47"/>
      <c r="H84" s="47"/>
      <c r="I84" s="47"/>
      <c r="J84" s="47"/>
      <c r="K84" s="47"/>
      <c r="L84" s="47"/>
      <c r="M84" s="47"/>
      <c r="N84" s="47"/>
      <c r="O84" s="71"/>
    </row>
    <row r="85" spans="1:15" s="18" customFormat="1" collapsed="1">
      <c r="A85" s="4"/>
      <c r="B85" s="538" t="s">
        <v>515</v>
      </c>
      <c r="C85" s="800"/>
      <c r="D85" s="67">
        <f>SUM(D81:D84)</f>
        <v>0</v>
      </c>
      <c r="E85" s="67">
        <f>SUM(E81:E84)</f>
        <v>0</v>
      </c>
      <c r="F85" s="67">
        <f t="shared" ref="F85:N85" si="21">SUM(F81:F84)</f>
        <v>0</v>
      </c>
      <c r="G85" s="67">
        <f t="shared" si="21"/>
        <v>0</v>
      </c>
      <c r="H85" s="67">
        <f t="shared" si="21"/>
        <v>0</v>
      </c>
      <c r="I85" s="67">
        <f t="shared" si="21"/>
        <v>0</v>
      </c>
      <c r="J85" s="67">
        <f t="shared" si="21"/>
        <v>0</v>
      </c>
      <c r="K85" s="67">
        <f t="shared" si="21"/>
        <v>0</v>
      </c>
      <c r="L85" s="67">
        <f t="shared" si="21"/>
        <v>0</v>
      </c>
      <c r="M85" s="67">
        <f t="shared" si="21"/>
        <v>0</v>
      </c>
      <c r="N85" s="67">
        <f t="shared" si="21"/>
        <v>0</v>
      </c>
      <c r="O85" s="79"/>
    </row>
    <row r="86" spans="1:15" s="14" customFormat="1">
      <c r="A86" s="74"/>
      <c r="B86" s="494" t="s">
        <v>516</v>
      </c>
      <c r="C86" s="490"/>
      <c r="D86" s="73"/>
      <c r="E86" s="486">
        <f t="shared" ref="E86:N86" si="22">ROUND(SUM(D85*E16+E85*E17)/12,4)</f>
        <v>0</v>
      </c>
      <c r="F86" s="486">
        <f t="shared" si="22"/>
        <v>0</v>
      </c>
      <c r="G86" s="486">
        <f t="shared" si="22"/>
        <v>0</v>
      </c>
      <c r="H86" s="486">
        <f t="shared" si="22"/>
        <v>0</v>
      </c>
      <c r="I86" s="486">
        <f t="shared" si="22"/>
        <v>0</v>
      </c>
      <c r="J86" s="486">
        <f t="shared" si="22"/>
        <v>0</v>
      </c>
      <c r="K86" s="486">
        <f t="shared" si="22"/>
        <v>0</v>
      </c>
      <c r="L86" s="486">
        <f t="shared" si="22"/>
        <v>0</v>
      </c>
      <c r="M86" s="486">
        <f t="shared" si="22"/>
        <v>0</v>
      </c>
      <c r="N86" s="486">
        <f t="shared" si="22"/>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99">
        <f>'2. LRAMVA Threshold'!N43</f>
        <v>0</v>
      </c>
      <c r="D88" s="47"/>
      <c r="E88" s="47"/>
      <c r="F88" s="47"/>
      <c r="G88" s="47"/>
      <c r="H88" s="47"/>
      <c r="I88" s="47"/>
      <c r="J88" s="47"/>
      <c r="K88" s="47"/>
      <c r="L88" s="47"/>
      <c r="M88" s="47"/>
      <c r="N88" s="47"/>
      <c r="O88" s="71"/>
    </row>
    <row r="89" spans="1:15" s="18" customFormat="1" hidden="1" outlineLevel="1">
      <c r="A89" s="4"/>
      <c r="B89" s="538" t="s">
        <v>513</v>
      </c>
      <c r="C89" s="797"/>
      <c r="D89" s="47"/>
      <c r="E89" s="47"/>
      <c r="F89" s="47"/>
      <c r="G89" s="47"/>
      <c r="H89" s="47"/>
      <c r="I89" s="47"/>
      <c r="J89" s="47"/>
      <c r="K89" s="47"/>
      <c r="L89" s="47"/>
      <c r="M89" s="47"/>
      <c r="N89" s="47"/>
      <c r="O89" s="71"/>
    </row>
    <row r="90" spans="1:15" s="18" customFormat="1" hidden="1" outlineLevel="1">
      <c r="A90" s="4"/>
      <c r="B90" s="538" t="s">
        <v>514</v>
      </c>
      <c r="C90" s="797"/>
      <c r="D90" s="47"/>
      <c r="E90" s="47"/>
      <c r="F90" s="47"/>
      <c r="G90" s="47"/>
      <c r="H90" s="47"/>
      <c r="I90" s="47"/>
      <c r="J90" s="47"/>
      <c r="K90" s="47"/>
      <c r="L90" s="47"/>
      <c r="M90" s="47"/>
      <c r="N90" s="47"/>
      <c r="O90" s="71"/>
    </row>
    <row r="91" spans="1:15" s="18" customFormat="1" hidden="1" outlineLevel="1">
      <c r="A91" s="4"/>
      <c r="B91" s="538" t="s">
        <v>492</v>
      </c>
      <c r="C91" s="797"/>
      <c r="D91" s="47"/>
      <c r="E91" s="47"/>
      <c r="F91" s="47"/>
      <c r="G91" s="47"/>
      <c r="H91" s="47"/>
      <c r="I91" s="47"/>
      <c r="J91" s="47"/>
      <c r="K91" s="47"/>
      <c r="L91" s="47"/>
      <c r="M91" s="47"/>
      <c r="N91" s="47"/>
      <c r="O91" s="71"/>
    </row>
    <row r="92" spans="1:15" s="18" customFormat="1" collapsed="1">
      <c r="A92" s="4"/>
      <c r="B92" s="538" t="s">
        <v>515</v>
      </c>
      <c r="C92" s="800"/>
      <c r="D92" s="67">
        <f>SUM(D88:D91)</f>
        <v>0</v>
      </c>
      <c r="E92" s="67">
        <f>SUM(E88:E91)</f>
        <v>0</v>
      </c>
      <c r="F92" s="67">
        <f t="shared" ref="F92:N92" si="23">SUM(F88:F91)</f>
        <v>0</v>
      </c>
      <c r="G92" s="67">
        <f t="shared" si="23"/>
        <v>0</v>
      </c>
      <c r="H92" s="67">
        <f t="shared" si="23"/>
        <v>0</v>
      </c>
      <c r="I92" s="67">
        <f t="shared" si="23"/>
        <v>0</v>
      </c>
      <c r="J92" s="67">
        <f t="shared" si="23"/>
        <v>0</v>
      </c>
      <c r="K92" s="67">
        <f t="shared" si="23"/>
        <v>0</v>
      </c>
      <c r="L92" s="67">
        <f t="shared" si="23"/>
        <v>0</v>
      </c>
      <c r="M92" s="67">
        <f t="shared" si="23"/>
        <v>0</v>
      </c>
      <c r="N92" s="67">
        <f t="shared" si="23"/>
        <v>0</v>
      </c>
      <c r="O92" s="79"/>
    </row>
    <row r="93" spans="1:15" s="14" customFormat="1">
      <c r="A93" s="74"/>
      <c r="B93" s="494" t="s">
        <v>516</v>
      </c>
      <c r="C93" s="490"/>
      <c r="D93" s="73"/>
      <c r="E93" s="486">
        <f t="shared" ref="E93:N93" si="24">ROUND(SUM(D92*E16+E92*E17)/12,4)</f>
        <v>0</v>
      </c>
      <c r="F93" s="486">
        <f t="shared" si="24"/>
        <v>0</v>
      </c>
      <c r="G93" s="486">
        <f t="shared" si="24"/>
        <v>0</v>
      </c>
      <c r="H93" s="486">
        <f t="shared" si="24"/>
        <v>0</v>
      </c>
      <c r="I93" s="486">
        <f t="shared" si="24"/>
        <v>0</v>
      </c>
      <c r="J93" s="486">
        <f t="shared" si="24"/>
        <v>0</v>
      </c>
      <c r="K93" s="486">
        <f t="shared" si="24"/>
        <v>0</v>
      </c>
      <c r="L93" s="486">
        <f t="shared" si="24"/>
        <v>0</v>
      </c>
      <c r="M93" s="486">
        <f t="shared" si="24"/>
        <v>0</v>
      </c>
      <c r="N93" s="486">
        <f t="shared" si="24"/>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99">
        <f>'2. LRAMVA Threshold'!O43</f>
        <v>0</v>
      </c>
      <c r="D95" s="47"/>
      <c r="E95" s="47"/>
      <c r="F95" s="47"/>
      <c r="G95" s="47"/>
      <c r="H95" s="47"/>
      <c r="I95" s="47"/>
      <c r="J95" s="47"/>
      <c r="K95" s="47"/>
      <c r="L95" s="47"/>
      <c r="M95" s="47"/>
      <c r="N95" s="47"/>
      <c r="O95" s="71"/>
    </row>
    <row r="96" spans="1:15" s="18" customFormat="1" hidden="1" outlineLevel="1">
      <c r="A96" s="4"/>
      <c r="B96" s="538" t="s">
        <v>513</v>
      </c>
      <c r="C96" s="797"/>
      <c r="D96" s="47"/>
      <c r="E96" s="47"/>
      <c r="F96" s="47"/>
      <c r="G96" s="47"/>
      <c r="H96" s="47"/>
      <c r="I96" s="47"/>
      <c r="J96" s="47"/>
      <c r="K96" s="47"/>
      <c r="L96" s="47"/>
      <c r="M96" s="47"/>
      <c r="N96" s="47"/>
      <c r="O96" s="71"/>
    </row>
    <row r="97" spans="1:15" s="18" customFormat="1" hidden="1" outlineLevel="1">
      <c r="A97" s="4"/>
      <c r="B97" s="538" t="s">
        <v>514</v>
      </c>
      <c r="C97" s="797"/>
      <c r="D97" s="47"/>
      <c r="E97" s="47"/>
      <c r="F97" s="47"/>
      <c r="G97" s="47"/>
      <c r="H97" s="47"/>
      <c r="I97" s="47"/>
      <c r="J97" s="47"/>
      <c r="K97" s="47"/>
      <c r="L97" s="47"/>
      <c r="M97" s="47"/>
      <c r="N97" s="47"/>
      <c r="O97" s="71"/>
    </row>
    <row r="98" spans="1:15" s="18" customFormat="1" hidden="1" outlineLevel="1">
      <c r="A98" s="4"/>
      <c r="B98" s="538" t="s">
        <v>492</v>
      </c>
      <c r="C98" s="797"/>
      <c r="D98" s="47"/>
      <c r="E98" s="47"/>
      <c r="F98" s="47"/>
      <c r="G98" s="47"/>
      <c r="H98" s="47"/>
      <c r="I98" s="47"/>
      <c r="J98" s="47"/>
      <c r="K98" s="47"/>
      <c r="L98" s="47"/>
      <c r="M98" s="47"/>
      <c r="N98" s="47"/>
      <c r="O98" s="71"/>
    </row>
    <row r="99" spans="1:15" s="18" customFormat="1" collapsed="1">
      <c r="A99" s="4"/>
      <c r="B99" s="538" t="s">
        <v>515</v>
      </c>
      <c r="C99" s="800"/>
      <c r="D99" s="67">
        <f>SUM(D95:D98)</f>
        <v>0</v>
      </c>
      <c r="E99" s="67">
        <f>SUM(E95:E98)</f>
        <v>0</v>
      </c>
      <c r="F99" s="67">
        <f t="shared" ref="F99:N99" si="25">SUM(F95:F98)</f>
        <v>0</v>
      </c>
      <c r="G99" s="67">
        <f t="shared" si="25"/>
        <v>0</v>
      </c>
      <c r="H99" s="67">
        <f t="shared" si="25"/>
        <v>0</v>
      </c>
      <c r="I99" s="67">
        <f t="shared" si="25"/>
        <v>0</v>
      </c>
      <c r="J99" s="67">
        <f t="shared" si="25"/>
        <v>0</v>
      </c>
      <c r="K99" s="67">
        <f t="shared" si="25"/>
        <v>0</v>
      </c>
      <c r="L99" s="67">
        <f t="shared" si="25"/>
        <v>0</v>
      </c>
      <c r="M99" s="67">
        <f t="shared" si="25"/>
        <v>0</v>
      </c>
      <c r="N99" s="67">
        <f t="shared" si="25"/>
        <v>0</v>
      </c>
      <c r="O99" s="79"/>
    </row>
    <row r="100" spans="1:15" s="14" customFormat="1">
      <c r="A100" s="74"/>
      <c r="B100" s="494" t="s">
        <v>516</v>
      </c>
      <c r="C100" s="490"/>
      <c r="D100" s="73"/>
      <c r="E100" s="486">
        <f t="shared" ref="E100:N100" si="26">ROUND(SUM(D99*E16+E99*E17)/12,4)</f>
        <v>0</v>
      </c>
      <c r="F100" s="486">
        <f t="shared" si="26"/>
        <v>0</v>
      </c>
      <c r="G100" s="486">
        <f t="shared" si="26"/>
        <v>0</v>
      </c>
      <c r="H100" s="486">
        <f t="shared" si="26"/>
        <v>0</v>
      </c>
      <c r="I100" s="486">
        <f t="shared" si="26"/>
        <v>0</v>
      </c>
      <c r="J100" s="486">
        <f t="shared" si="26"/>
        <v>0</v>
      </c>
      <c r="K100" s="486">
        <f t="shared" si="26"/>
        <v>0</v>
      </c>
      <c r="L100" s="486">
        <f t="shared" si="26"/>
        <v>0</v>
      </c>
      <c r="M100" s="486">
        <f t="shared" si="26"/>
        <v>0</v>
      </c>
      <c r="N100" s="486">
        <f t="shared" si="26"/>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99">
        <f>'2. LRAMVA Threshold'!P43</f>
        <v>0</v>
      </c>
      <c r="D102" s="47"/>
      <c r="E102" s="47"/>
      <c r="F102" s="47"/>
      <c r="G102" s="47"/>
      <c r="H102" s="47"/>
      <c r="I102" s="47"/>
      <c r="J102" s="47"/>
      <c r="K102" s="47"/>
      <c r="L102" s="47"/>
      <c r="M102" s="47"/>
      <c r="N102" s="47"/>
      <c r="O102" s="71"/>
    </row>
    <row r="103" spans="1:15" s="18" customFormat="1" hidden="1" outlineLevel="1">
      <c r="A103" s="4"/>
      <c r="B103" s="538" t="s">
        <v>513</v>
      </c>
      <c r="C103" s="797"/>
      <c r="D103" s="47"/>
      <c r="E103" s="47"/>
      <c r="F103" s="47"/>
      <c r="G103" s="47"/>
      <c r="H103" s="47"/>
      <c r="I103" s="47"/>
      <c r="J103" s="47"/>
      <c r="K103" s="47"/>
      <c r="L103" s="47"/>
      <c r="M103" s="47"/>
      <c r="N103" s="47"/>
      <c r="O103" s="71"/>
    </row>
    <row r="104" spans="1:15" s="18" customFormat="1" hidden="1" outlineLevel="1">
      <c r="A104" s="4"/>
      <c r="B104" s="538" t="s">
        <v>514</v>
      </c>
      <c r="C104" s="797"/>
      <c r="D104" s="47"/>
      <c r="E104" s="47"/>
      <c r="F104" s="47"/>
      <c r="G104" s="47"/>
      <c r="H104" s="47"/>
      <c r="I104" s="47"/>
      <c r="J104" s="47"/>
      <c r="K104" s="47"/>
      <c r="L104" s="47"/>
      <c r="M104" s="47"/>
      <c r="N104" s="47"/>
      <c r="O104" s="71"/>
    </row>
    <row r="105" spans="1:15" s="18" customFormat="1" hidden="1" outlineLevel="1">
      <c r="A105" s="4"/>
      <c r="B105" s="538" t="s">
        <v>492</v>
      </c>
      <c r="C105" s="797"/>
      <c r="D105" s="47"/>
      <c r="E105" s="47"/>
      <c r="F105" s="47"/>
      <c r="G105" s="47"/>
      <c r="H105" s="47"/>
      <c r="I105" s="47"/>
      <c r="J105" s="47"/>
      <c r="K105" s="47"/>
      <c r="L105" s="47"/>
      <c r="M105" s="47"/>
      <c r="N105" s="47"/>
      <c r="O105" s="71"/>
    </row>
    <row r="106" spans="1:15" s="18" customFormat="1" collapsed="1">
      <c r="A106" s="4"/>
      <c r="B106" s="538" t="s">
        <v>515</v>
      </c>
      <c r="C106" s="800"/>
      <c r="D106" s="67">
        <f>SUM(D102:D105)</f>
        <v>0</v>
      </c>
      <c r="E106" s="67">
        <f>SUM(E102:E105)</f>
        <v>0</v>
      </c>
      <c r="F106" s="67">
        <f>SUM(F102:F105)</f>
        <v>0</v>
      </c>
      <c r="G106" s="67">
        <f t="shared" ref="G106:N106" si="27">SUM(G102:G105)</f>
        <v>0</v>
      </c>
      <c r="H106" s="67">
        <f t="shared" si="27"/>
        <v>0</v>
      </c>
      <c r="I106" s="67">
        <f t="shared" si="27"/>
        <v>0</v>
      </c>
      <c r="J106" s="67">
        <f t="shared" si="27"/>
        <v>0</v>
      </c>
      <c r="K106" s="67">
        <f t="shared" si="27"/>
        <v>0</v>
      </c>
      <c r="L106" s="67">
        <f t="shared" si="27"/>
        <v>0</v>
      </c>
      <c r="M106" s="67">
        <f t="shared" si="27"/>
        <v>0</v>
      </c>
      <c r="N106" s="67">
        <f t="shared" si="27"/>
        <v>0</v>
      </c>
      <c r="O106" s="79"/>
    </row>
    <row r="107" spans="1:15" s="14" customFormat="1">
      <c r="A107" s="74"/>
      <c r="B107" s="494" t="s">
        <v>516</v>
      </c>
      <c r="C107" s="490"/>
      <c r="D107" s="73"/>
      <c r="E107" s="486">
        <f t="shared" ref="E107:N107" si="28">ROUND(SUM(D106*E16+E106*E17)/12,4)</f>
        <v>0</v>
      </c>
      <c r="F107" s="486">
        <f t="shared" si="28"/>
        <v>0</v>
      </c>
      <c r="G107" s="486">
        <f t="shared" si="28"/>
        <v>0</v>
      </c>
      <c r="H107" s="486">
        <f t="shared" si="28"/>
        <v>0</v>
      </c>
      <c r="I107" s="486">
        <f t="shared" si="28"/>
        <v>0</v>
      </c>
      <c r="J107" s="486">
        <f t="shared" si="28"/>
        <v>0</v>
      </c>
      <c r="K107" s="486">
        <f t="shared" si="28"/>
        <v>0</v>
      </c>
      <c r="L107" s="486">
        <f t="shared" si="28"/>
        <v>0</v>
      </c>
      <c r="M107" s="486">
        <f t="shared" si="28"/>
        <v>0</v>
      </c>
      <c r="N107" s="486">
        <f t="shared" si="28"/>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99">
        <f>'2. LRAMVA Threshold'!Q43</f>
        <v>0</v>
      </c>
      <c r="D109" s="47"/>
      <c r="E109" s="47"/>
      <c r="F109" s="47"/>
      <c r="G109" s="47"/>
      <c r="H109" s="47"/>
      <c r="I109" s="47"/>
      <c r="J109" s="47"/>
      <c r="K109" s="47"/>
      <c r="L109" s="47"/>
      <c r="M109" s="47"/>
      <c r="N109" s="47"/>
      <c r="O109" s="71"/>
    </row>
    <row r="110" spans="1:15" s="18" customFormat="1" hidden="1" outlineLevel="1">
      <c r="A110" s="4"/>
      <c r="B110" s="538" t="s">
        <v>513</v>
      </c>
      <c r="C110" s="797"/>
      <c r="D110" s="47"/>
      <c r="E110" s="47"/>
      <c r="F110" s="47"/>
      <c r="G110" s="47"/>
      <c r="H110" s="47"/>
      <c r="I110" s="47"/>
      <c r="J110" s="47"/>
      <c r="K110" s="47"/>
      <c r="L110" s="47"/>
      <c r="M110" s="47"/>
      <c r="N110" s="47"/>
      <c r="O110" s="71"/>
    </row>
    <row r="111" spans="1:15" s="18" customFormat="1" hidden="1" outlineLevel="1">
      <c r="A111" s="4"/>
      <c r="B111" s="538" t="s">
        <v>514</v>
      </c>
      <c r="C111" s="797"/>
      <c r="D111" s="47"/>
      <c r="E111" s="47"/>
      <c r="F111" s="47"/>
      <c r="G111" s="47"/>
      <c r="H111" s="47"/>
      <c r="I111" s="47"/>
      <c r="J111" s="47"/>
      <c r="K111" s="47"/>
      <c r="L111" s="47"/>
      <c r="M111" s="47"/>
      <c r="N111" s="47"/>
      <c r="O111" s="71"/>
    </row>
    <row r="112" spans="1:15" s="18" customFormat="1" hidden="1" outlineLevel="1">
      <c r="A112" s="4"/>
      <c r="B112" s="538" t="s">
        <v>492</v>
      </c>
      <c r="C112" s="797"/>
      <c r="D112" s="47"/>
      <c r="E112" s="47"/>
      <c r="F112" s="47"/>
      <c r="G112" s="47"/>
      <c r="H112" s="47"/>
      <c r="I112" s="47"/>
      <c r="J112" s="47"/>
      <c r="K112" s="47"/>
      <c r="L112" s="47"/>
      <c r="M112" s="47"/>
      <c r="N112" s="47"/>
      <c r="O112" s="71"/>
    </row>
    <row r="113" spans="1:17" s="18" customFormat="1" collapsed="1">
      <c r="A113" s="4"/>
      <c r="B113" s="538" t="s">
        <v>515</v>
      </c>
      <c r="C113" s="800"/>
      <c r="D113" s="67">
        <f>SUM(D109:D112)</f>
        <v>0</v>
      </c>
      <c r="E113" s="67">
        <f>SUM(E109:E112)</f>
        <v>0</v>
      </c>
      <c r="F113" s="67">
        <f>SUM(F109:F112)</f>
        <v>0</v>
      </c>
      <c r="G113" s="67">
        <f>SUM(G109:G112)</f>
        <v>0</v>
      </c>
      <c r="H113" s="67">
        <f t="shared" ref="H113:N113" si="29">SUM(H109:H112)</f>
        <v>0</v>
      </c>
      <c r="I113" s="67">
        <f t="shared" si="29"/>
        <v>0</v>
      </c>
      <c r="J113" s="67">
        <f t="shared" si="29"/>
        <v>0</v>
      </c>
      <c r="K113" s="67">
        <f t="shared" si="29"/>
        <v>0</v>
      </c>
      <c r="L113" s="67">
        <f t="shared" si="29"/>
        <v>0</v>
      </c>
      <c r="M113" s="67">
        <f t="shared" si="29"/>
        <v>0</v>
      </c>
      <c r="N113" s="67">
        <f t="shared" si="29"/>
        <v>0</v>
      </c>
      <c r="O113" s="79"/>
    </row>
    <row r="114" spans="1:17" s="14" customFormat="1">
      <c r="A114" s="74"/>
      <c r="B114" s="494" t="s">
        <v>516</v>
      </c>
      <c r="C114" s="490"/>
      <c r="D114" s="73"/>
      <c r="E114" s="486">
        <f t="shared" ref="E114:N114" si="30">ROUND(SUM(D113*E16+E113*E17)/12,4)</f>
        <v>0</v>
      </c>
      <c r="F114" s="486">
        <f t="shared" si="30"/>
        <v>0</v>
      </c>
      <c r="G114" s="486">
        <f t="shared" si="30"/>
        <v>0</v>
      </c>
      <c r="H114" s="486">
        <f t="shared" si="30"/>
        <v>0</v>
      </c>
      <c r="I114" s="486">
        <f t="shared" si="30"/>
        <v>0</v>
      </c>
      <c r="J114" s="486">
        <f t="shared" si="30"/>
        <v>0</v>
      </c>
      <c r="K114" s="486">
        <f t="shared" si="30"/>
        <v>0</v>
      </c>
      <c r="L114" s="486">
        <f t="shared" si="30"/>
        <v>0</v>
      </c>
      <c r="M114" s="486">
        <f t="shared" si="30"/>
        <v>0</v>
      </c>
      <c r="N114" s="486">
        <f t="shared" si="30"/>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624</v>
      </c>
      <c r="C116" s="100"/>
      <c r="D116" s="501"/>
      <c r="E116" s="501"/>
      <c r="F116" s="501"/>
      <c r="G116" s="501"/>
      <c r="H116" s="501"/>
      <c r="I116" s="501"/>
      <c r="J116" s="501"/>
      <c r="K116" s="501"/>
      <c r="L116" s="501"/>
      <c r="M116" s="501"/>
      <c r="N116" s="501"/>
      <c r="O116" s="501"/>
    </row>
    <row r="119" spans="1:17" ht="15.75">
      <c r="B119" s="120" t="s">
        <v>486</v>
      </c>
      <c r="J119" s="18"/>
    </row>
    <row r="120" spans="1:17" s="14" customFormat="1" ht="55.5" customHeight="1">
      <c r="A120" s="74"/>
      <c r="B120" s="804" t="s">
        <v>626</v>
      </c>
      <c r="C120" s="804"/>
      <c r="D120" s="804"/>
      <c r="E120" s="804"/>
      <c r="F120" s="804"/>
      <c r="G120" s="804"/>
      <c r="H120" s="804"/>
      <c r="I120" s="804"/>
      <c r="J120" s="804"/>
      <c r="K120" s="804"/>
      <c r="L120" s="804"/>
      <c r="M120" s="804"/>
      <c r="N120" s="804"/>
      <c r="O120" s="804"/>
      <c r="P120" s="804"/>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GS&gt;50-4999 kW</v>
      </c>
      <c r="F122" s="246" t="str">
        <f>'1.  LRAMVA Summary'!G50</f>
        <v>USL</v>
      </c>
      <c r="G122" s="246" t="str">
        <f>'1.  LRAMVA Summary'!H50</f>
        <v>Sentinel Lighting</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kWh</v>
      </c>
      <c r="G123" s="588" t="str">
        <f>'1.  LRAMVA Summary'!H51</f>
        <v>kW</v>
      </c>
      <c r="H123" s="588" t="str">
        <f>'1.  LRAMVA Summary'!I51</f>
        <v>kW</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1">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1"/>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2">HLOOKUP(B125,$E$15:$O$114,100,FALSE)</f>
        <v>0</v>
      </c>
    </row>
    <row r="126" spans="1:17">
      <c r="B126" s="503">
        <v>2013</v>
      </c>
      <c r="C126" s="686">
        <f t="shared" si="31"/>
        <v>0</v>
      </c>
      <c r="D126" s="687">
        <f t="shared" ref="D126:D133" si="33">HLOOKUP(B126,$E$15:$O$114,16,FALSE)</f>
        <v>0</v>
      </c>
      <c r="E126" s="688">
        <f t="shared" ref="E126:E133" si="34">HLOOKUP(B126,$E$15:$O$114,23,FALSE)</f>
        <v>0</v>
      </c>
      <c r="F126" s="687">
        <f t="shared" ref="F126:F133" si="35">HLOOKUP(B126,$E$15:$O$114,30,FALSE)</f>
        <v>0</v>
      </c>
      <c r="G126" s="688">
        <f t="shared" ref="G126:G132" si="36">HLOOKUP(B126,$E$15:$O$114,37,FALSE)</f>
        <v>0</v>
      </c>
      <c r="H126" s="687">
        <f t="shared" ref="H126:H133" si="37">HLOOKUP(B126,$E$15:$O$114,44,FALSE)</f>
        <v>0</v>
      </c>
      <c r="I126" s="688">
        <f t="shared" ref="I126:I133" si="38">HLOOKUP(B126,$E$15:$O$114,51,FALSE)</f>
        <v>0</v>
      </c>
      <c r="J126" s="688">
        <f t="shared" ref="J126:J133" si="39">HLOOKUP(B126,$E$15:$O$114,58,FALSE)</f>
        <v>0</v>
      </c>
      <c r="K126" s="688">
        <f t="shared" ref="K126:K133" si="40">HLOOKUP(B126,$E$15:$O$114,65,FALSE)</f>
        <v>0</v>
      </c>
      <c r="L126" s="688">
        <f>HLOOKUP(B126,$E$15:$O$114,72,FALSE)</f>
        <v>0</v>
      </c>
      <c r="M126" s="688">
        <f t="shared" ref="M126:M133" si="41">HLOOKUP(B126,$E$15:$O$114,79,FALSE)</f>
        <v>0</v>
      </c>
      <c r="N126" s="688">
        <f t="shared" ref="N126:N133" si="42">HLOOKUP(B126,$E$15:$O$114,86,FALSE)</f>
        <v>0</v>
      </c>
      <c r="O126" s="688">
        <f t="shared" ref="O126:O133" si="43">HLOOKUP(B126,$E$15:$O$114,93,FALSE)</f>
        <v>0</v>
      </c>
      <c r="P126" s="688">
        <f t="shared" si="32"/>
        <v>0</v>
      </c>
    </row>
    <row r="127" spans="1:17">
      <c r="B127" s="503">
        <v>2014</v>
      </c>
      <c r="C127" s="686">
        <f t="shared" si="31"/>
        <v>1.04E-2</v>
      </c>
      <c r="D127" s="687">
        <f>HLOOKUP(B127,$E$15:$O$114,16,FALSE)</f>
        <v>7.1999999999999998E-3</v>
      </c>
      <c r="E127" s="688">
        <f>HLOOKUP(B127,$E$15:$O$114,23,FALSE)</f>
        <v>1.3872</v>
      </c>
      <c r="F127" s="687">
        <f>HLOOKUP(B127,$E$15:$O$114,30,FALSE)</f>
        <v>1.52E-2</v>
      </c>
      <c r="G127" s="688">
        <f>HLOOKUP(B127,$E$15:$O$114,37,FALSE)</f>
        <v>18.925899999999999</v>
      </c>
      <c r="H127" s="687">
        <f>HLOOKUP(B127,$E$15:$O$114,44,FALSE)</f>
        <v>3.2141999999999999</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1"/>
        <v>1.5699999999999999E-2</v>
      </c>
      <c r="D128" s="687">
        <f t="shared" si="33"/>
        <v>1.09E-2</v>
      </c>
      <c r="E128" s="688">
        <f t="shared" si="34"/>
        <v>2.0989</v>
      </c>
      <c r="F128" s="687">
        <f t="shared" si="35"/>
        <v>2.3E-2</v>
      </c>
      <c r="G128" s="688">
        <f t="shared" si="36"/>
        <v>28.635000000000002</v>
      </c>
      <c r="H128" s="687">
        <f t="shared" si="37"/>
        <v>4.8631000000000002</v>
      </c>
      <c r="I128" s="688">
        <f t="shared" si="38"/>
        <v>0</v>
      </c>
      <c r="J128" s="688">
        <f t="shared" si="39"/>
        <v>0</v>
      </c>
      <c r="K128" s="688">
        <f t="shared" si="40"/>
        <v>0</v>
      </c>
      <c r="L128" s="688">
        <f t="shared" ref="L128:L133" si="44">HLOOKUP(B128,$E$15:$O$114,72,FALSE)</f>
        <v>0</v>
      </c>
      <c r="M128" s="688">
        <f t="shared" si="41"/>
        <v>0</v>
      </c>
      <c r="N128" s="688">
        <f t="shared" si="42"/>
        <v>0</v>
      </c>
      <c r="O128" s="688">
        <f t="shared" si="43"/>
        <v>0</v>
      </c>
      <c r="P128" s="688">
        <f t="shared" si="32"/>
        <v>0</v>
      </c>
    </row>
    <row r="129" spans="2:16">
      <c r="B129" s="503">
        <v>2016</v>
      </c>
      <c r="C129" s="686">
        <f t="shared" si="31"/>
        <v>1.3299999999999999E-2</v>
      </c>
      <c r="D129" s="687">
        <f t="shared" si="33"/>
        <v>1.0999999999999999E-2</v>
      </c>
      <c r="E129" s="688">
        <f t="shared" si="34"/>
        <v>2.1332</v>
      </c>
      <c r="F129" s="687">
        <f t="shared" si="35"/>
        <v>2.3400000000000001E-2</v>
      </c>
      <c r="G129" s="688">
        <f t="shared" si="36"/>
        <v>29.103100000000001</v>
      </c>
      <c r="H129" s="687">
        <f t="shared" si="37"/>
        <v>4.9425999999999997</v>
      </c>
      <c r="I129" s="688">
        <f t="shared" si="38"/>
        <v>0</v>
      </c>
      <c r="J129" s="688">
        <f t="shared" si="39"/>
        <v>0</v>
      </c>
      <c r="K129" s="688">
        <f t="shared" si="40"/>
        <v>0</v>
      </c>
      <c r="L129" s="688">
        <f t="shared" si="44"/>
        <v>0</v>
      </c>
      <c r="M129" s="688">
        <f t="shared" si="41"/>
        <v>0</v>
      </c>
      <c r="N129" s="688">
        <f t="shared" si="42"/>
        <v>0</v>
      </c>
      <c r="O129" s="688">
        <f t="shared" si="43"/>
        <v>0</v>
      </c>
      <c r="P129" s="688">
        <f t="shared" si="32"/>
        <v>0</v>
      </c>
    </row>
    <row r="130" spans="2:16" hidden="1">
      <c r="B130" s="503">
        <v>2017</v>
      </c>
      <c r="C130" s="686">
        <f>HLOOKUP(B130,$E$15:$O$114,9,FALSE)</f>
        <v>9.4999999999999998E-3</v>
      </c>
      <c r="D130" s="687">
        <f t="shared" si="33"/>
        <v>4.5999999999999999E-3</v>
      </c>
      <c r="E130" s="688">
        <f t="shared" si="34"/>
        <v>2.1686999999999999</v>
      </c>
      <c r="F130" s="687">
        <f t="shared" si="35"/>
        <v>2.3800000000000002E-2</v>
      </c>
      <c r="G130" s="688">
        <f t="shared" si="36"/>
        <v>29.587900000000001</v>
      </c>
      <c r="H130" s="687">
        <f t="shared" si="37"/>
        <v>5.0250000000000004</v>
      </c>
      <c r="I130" s="688">
        <f t="shared" si="38"/>
        <v>0</v>
      </c>
      <c r="J130" s="688">
        <f t="shared" si="39"/>
        <v>0</v>
      </c>
      <c r="K130" s="688">
        <f t="shared" si="40"/>
        <v>0</v>
      </c>
      <c r="L130" s="688">
        <f t="shared" si="44"/>
        <v>0</v>
      </c>
      <c r="M130" s="688">
        <f t="shared" si="41"/>
        <v>0</v>
      </c>
      <c r="N130" s="688">
        <f t="shared" si="42"/>
        <v>0</v>
      </c>
      <c r="O130" s="688">
        <f t="shared" si="43"/>
        <v>0</v>
      </c>
      <c r="P130" s="688">
        <f t="shared" si="32"/>
        <v>0</v>
      </c>
    </row>
    <row r="131" spans="2:16" hidden="1">
      <c r="B131" s="503">
        <v>2018</v>
      </c>
      <c r="C131" s="686">
        <f t="shared" ref="C131:C133" si="45">HLOOKUP(B131,$E$15:$O$114,9,FALSE)</f>
        <v>2.7000000000000001E-3</v>
      </c>
      <c r="D131" s="687">
        <f t="shared" si="33"/>
        <v>4.0000000000000002E-4</v>
      </c>
      <c r="E131" s="688">
        <f t="shared" si="34"/>
        <v>0.72670000000000001</v>
      </c>
      <c r="F131" s="687">
        <f t="shared" si="35"/>
        <v>8.0000000000000002E-3</v>
      </c>
      <c r="G131" s="688">
        <f t="shared" si="36"/>
        <v>9.9146999999999998</v>
      </c>
      <c r="H131" s="687">
        <f t="shared" si="37"/>
        <v>1.6838</v>
      </c>
      <c r="I131" s="688">
        <f t="shared" si="38"/>
        <v>0</v>
      </c>
      <c r="J131" s="688">
        <f t="shared" si="39"/>
        <v>0</v>
      </c>
      <c r="K131" s="688">
        <f t="shared" si="40"/>
        <v>0</v>
      </c>
      <c r="L131" s="688">
        <f t="shared" si="44"/>
        <v>0</v>
      </c>
      <c r="M131" s="688">
        <f t="shared" si="41"/>
        <v>0</v>
      </c>
      <c r="N131" s="688">
        <f t="shared" si="42"/>
        <v>0</v>
      </c>
      <c r="O131" s="688">
        <f t="shared" si="43"/>
        <v>0</v>
      </c>
      <c r="P131" s="688">
        <f t="shared" si="32"/>
        <v>0</v>
      </c>
    </row>
    <row r="132" spans="2:16" hidden="1">
      <c r="B132" s="503">
        <v>2019</v>
      </c>
      <c r="C132" s="686">
        <f t="shared" si="45"/>
        <v>0</v>
      </c>
      <c r="D132" s="687">
        <f t="shared" si="33"/>
        <v>0</v>
      </c>
      <c r="E132" s="688">
        <f t="shared" si="34"/>
        <v>0</v>
      </c>
      <c r="F132" s="687">
        <f t="shared" si="35"/>
        <v>0</v>
      </c>
      <c r="G132" s="688">
        <f t="shared" si="36"/>
        <v>0</v>
      </c>
      <c r="H132" s="687">
        <f t="shared" si="37"/>
        <v>0</v>
      </c>
      <c r="I132" s="688">
        <f t="shared" si="38"/>
        <v>0</v>
      </c>
      <c r="J132" s="688">
        <f t="shared" si="39"/>
        <v>0</v>
      </c>
      <c r="K132" s="688">
        <f t="shared" si="40"/>
        <v>0</v>
      </c>
      <c r="L132" s="688">
        <f t="shared" si="44"/>
        <v>0</v>
      </c>
      <c r="M132" s="688">
        <f t="shared" si="41"/>
        <v>0</v>
      </c>
      <c r="N132" s="688">
        <f t="shared" si="42"/>
        <v>0</v>
      </c>
      <c r="O132" s="688">
        <f t="shared" si="43"/>
        <v>0</v>
      </c>
      <c r="P132" s="688">
        <f t="shared" si="32"/>
        <v>0</v>
      </c>
    </row>
    <row r="133" spans="2:16" hidden="1">
      <c r="B133" s="504">
        <v>2020</v>
      </c>
      <c r="C133" s="689">
        <f t="shared" si="45"/>
        <v>0</v>
      </c>
      <c r="D133" s="690">
        <f t="shared" si="33"/>
        <v>0</v>
      </c>
      <c r="E133" s="691">
        <f t="shared" si="34"/>
        <v>0</v>
      </c>
      <c r="F133" s="690">
        <f t="shared" si="35"/>
        <v>0</v>
      </c>
      <c r="G133" s="691">
        <f>HLOOKUP(B133,$E$15:$O$114,37,FALSE)</f>
        <v>0</v>
      </c>
      <c r="H133" s="690">
        <f t="shared" si="37"/>
        <v>0</v>
      </c>
      <c r="I133" s="691">
        <f t="shared" si="38"/>
        <v>0</v>
      </c>
      <c r="J133" s="691">
        <f t="shared" si="39"/>
        <v>0</v>
      </c>
      <c r="K133" s="691">
        <f t="shared" si="40"/>
        <v>0</v>
      </c>
      <c r="L133" s="691">
        <f t="shared" si="44"/>
        <v>0</v>
      </c>
      <c r="M133" s="691">
        <f t="shared" si="41"/>
        <v>0</v>
      </c>
      <c r="N133" s="691">
        <f t="shared" si="42"/>
        <v>0</v>
      </c>
      <c r="O133" s="691">
        <f t="shared" si="43"/>
        <v>0</v>
      </c>
      <c r="P133" s="691">
        <f t="shared" si="32"/>
        <v>0</v>
      </c>
    </row>
    <row r="134" spans="2:16" ht="18.75" customHeight="1">
      <c r="B134" s="500" t="s">
        <v>643</v>
      </c>
      <c r="C134" s="600"/>
      <c r="D134" s="601"/>
      <c r="E134" s="602"/>
      <c r="F134" s="601"/>
      <c r="G134" s="601"/>
      <c r="H134" s="601"/>
      <c r="I134" s="601"/>
      <c r="J134" s="601"/>
      <c r="K134" s="601"/>
      <c r="L134" s="601"/>
      <c r="M134" s="601"/>
      <c r="N134" s="601"/>
      <c r="O134" s="601"/>
      <c r="P134" s="601"/>
    </row>
    <row r="136" spans="2:16">
      <c r="B136" s="594"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B16" sqref="B16:X16"/>
    </sheetView>
  </sheetViews>
  <sheetFormatPr defaultColWidth="9.140625" defaultRowHeight="15"/>
  <cols>
    <col min="1" max="16384" width="9.140625" style="12"/>
  </cols>
  <sheetData>
    <row r="14" spans="2:24" ht="15.75">
      <c r="B14" s="590" t="s">
        <v>507</v>
      </c>
    </row>
    <row r="15" spans="2:24" ht="15.75">
      <c r="B15" s="590"/>
    </row>
    <row r="16" spans="2:24" s="670" customFormat="1" ht="28.5" customHeight="1">
      <c r="B16" s="805" t="s">
        <v>648</v>
      </c>
      <c r="C16" s="805"/>
      <c r="D16" s="805"/>
      <c r="E16" s="805"/>
      <c r="F16" s="805"/>
      <c r="G16" s="805"/>
      <c r="H16" s="805"/>
      <c r="I16" s="805"/>
      <c r="J16" s="805"/>
      <c r="K16" s="805"/>
      <c r="L16" s="805"/>
      <c r="M16" s="805"/>
      <c r="N16" s="805"/>
      <c r="O16" s="805"/>
      <c r="P16" s="805"/>
      <c r="Q16" s="805"/>
      <c r="R16" s="805"/>
      <c r="S16" s="805"/>
      <c r="T16" s="805"/>
      <c r="U16" s="805"/>
      <c r="V16" s="805"/>
      <c r="W16" s="805"/>
      <c r="X16" s="80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2017-11-17T19:49:35Z</dcterms:modified>
</cp:coreProperties>
</file>