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Rate Submissions\2018\Interrogatories\DVA IR\Second DVA IRR Nov 14 2017\Wrapping Up\"/>
    </mc:Choice>
  </mc:AlternateContent>
  <bookViews>
    <workbookView xWindow="0" yWindow="0" windowWidth="28800" windowHeight="11910" firstSheet="1" activeTab="1"/>
  </bookViews>
  <sheets>
    <sheet name="Instructions" sheetId="2" r:id="rId1"/>
    <sheet name="GA Analysis " sheetId="4" r:id="rId2"/>
    <sheet name="Test" sheetId="10" r:id="rId3"/>
    <sheet name="1.Adjustments" sheetId="5" r:id="rId4"/>
    <sheet name="2.GA Detailed Analysis" sheetId="6" r:id="rId5"/>
    <sheet name="3.RPP True-up" sheetId="7" r:id="rId6"/>
    <sheet name="4.IESO Invoice Analysis" sheetId="8" r:id="rId7"/>
    <sheet name="5.UBR Retailer Contract" sheetId="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s>
  <definedNames>
    <definedName name="GARate" localSheetId="5">#REF!</definedName>
    <definedName name="GARate" localSheetId="6">#REF!</definedName>
    <definedName name="GARate" localSheetId="7">#REF!</definedName>
    <definedName name="GARate" localSheetId="1">#REF!</definedName>
    <definedName name="GARate">#REF!</definedName>
    <definedName name="_xlnm.Print_Area" localSheetId="1">'GA Analysis '!$A$12:$K$108</definedName>
    <definedName name="_xlnm.Print_Area" localSheetId="0">Instructions!$A$11:$C$83</definedName>
  </definedNames>
  <calcPr calcId="152511"/>
</workbook>
</file>

<file path=xl/calcChain.xml><?xml version="1.0" encoding="utf-8"?>
<calcChain xmlns="http://schemas.openxmlformats.org/spreadsheetml/2006/main">
  <c r="D65" i="4" l="1"/>
  <c r="K9" i="5" l="1"/>
  <c r="M27" i="6" l="1"/>
  <c r="D68" i="4" l="1"/>
  <c r="D69" i="4" l="1"/>
  <c r="K10" i="5" s="1"/>
  <c r="I25" i="6" l="1"/>
  <c r="I24" i="6"/>
  <c r="I23" i="6"/>
  <c r="I22" i="6"/>
  <c r="I21" i="6"/>
  <c r="I20" i="6"/>
  <c r="I19" i="6"/>
  <c r="I18" i="6"/>
  <c r="I17" i="6"/>
  <c r="I16" i="6"/>
  <c r="I15" i="6"/>
  <c r="I14" i="6"/>
  <c r="H14" i="6"/>
  <c r="H15" i="6"/>
  <c r="H16" i="6"/>
  <c r="H17" i="6"/>
  <c r="H18" i="6"/>
  <c r="H19" i="6"/>
  <c r="H20" i="6"/>
  <c r="H21" i="6"/>
  <c r="H22" i="6"/>
  <c r="H23" i="6"/>
  <c r="H24" i="6"/>
  <c r="H25" i="6"/>
  <c r="F3" i="10" l="1"/>
  <c r="C4" i="10" l="1"/>
  <c r="J7" i="6" l="1"/>
  <c r="D26" i="4"/>
  <c r="D25" i="4"/>
  <c r="D15" i="9" l="1"/>
  <c r="C15" i="9"/>
  <c r="B15" i="9"/>
  <c r="D14" i="9"/>
  <c r="C14" i="9"/>
  <c r="B14" i="9"/>
  <c r="D13" i="9"/>
  <c r="C13" i="9"/>
  <c r="B13" i="9"/>
  <c r="D12" i="9"/>
  <c r="C12" i="9"/>
  <c r="B12" i="9"/>
  <c r="D11" i="9"/>
  <c r="C11" i="9"/>
  <c r="B11" i="9"/>
  <c r="D10" i="9"/>
  <c r="C10" i="9"/>
  <c r="B10" i="9"/>
  <c r="D9" i="9"/>
  <c r="C9" i="9"/>
  <c r="B9" i="9"/>
  <c r="D8" i="9"/>
  <c r="C8" i="9"/>
  <c r="B8" i="9"/>
  <c r="D7" i="9"/>
  <c r="C7" i="9"/>
  <c r="B7" i="9"/>
  <c r="D6" i="9"/>
  <c r="C6" i="9"/>
  <c r="B6" i="9"/>
  <c r="D5" i="9"/>
  <c r="C5" i="9"/>
  <c r="B5" i="9"/>
  <c r="D4" i="9"/>
  <c r="C4" i="9"/>
  <c r="B4" i="9"/>
  <c r="D3" i="9"/>
  <c r="C3" i="9"/>
  <c r="B3" i="9"/>
  <c r="H3" i="9" s="1"/>
  <c r="F42" i="8"/>
  <c r="H41" i="8"/>
  <c r="I41" i="8" s="1"/>
  <c r="D41" i="8"/>
  <c r="C41" i="8"/>
  <c r="H40" i="8"/>
  <c r="I40" i="8" s="1"/>
  <c r="D40" i="8"/>
  <c r="C40" i="8"/>
  <c r="H39" i="8"/>
  <c r="I39" i="8" s="1"/>
  <c r="D39" i="8"/>
  <c r="C39" i="8"/>
  <c r="H38" i="8"/>
  <c r="I38" i="8" s="1"/>
  <c r="D38" i="8"/>
  <c r="C38" i="8"/>
  <c r="H37" i="8"/>
  <c r="I37" i="8" s="1"/>
  <c r="C37" i="8"/>
  <c r="E37" i="8" s="1"/>
  <c r="G37" i="8" s="1"/>
  <c r="H36" i="8"/>
  <c r="I36" i="8" s="1"/>
  <c r="C36" i="8"/>
  <c r="E36" i="8" s="1"/>
  <c r="G36" i="8" s="1"/>
  <c r="F34" i="8"/>
  <c r="H33" i="8"/>
  <c r="I33" i="8" s="1"/>
  <c r="D16" i="8" s="1"/>
  <c r="G16" i="8" s="1"/>
  <c r="D33" i="8"/>
  <c r="C33" i="8"/>
  <c r="H32" i="8"/>
  <c r="I32" i="8" s="1"/>
  <c r="D15" i="8" s="1"/>
  <c r="G15" i="8" s="1"/>
  <c r="C32" i="8"/>
  <c r="E32" i="8" s="1"/>
  <c r="H31" i="8"/>
  <c r="I31" i="8" s="1"/>
  <c r="D14" i="8" s="1"/>
  <c r="G14" i="8" s="1"/>
  <c r="C31" i="8"/>
  <c r="E31" i="8" s="1"/>
  <c r="H30" i="8"/>
  <c r="I30" i="8" s="1"/>
  <c r="D13" i="8" s="1"/>
  <c r="G13" i="8" s="1"/>
  <c r="D30" i="8"/>
  <c r="C30" i="8"/>
  <c r="H29" i="8"/>
  <c r="I29" i="8" s="1"/>
  <c r="D12" i="8" s="1"/>
  <c r="G12" i="8" s="1"/>
  <c r="D29" i="8"/>
  <c r="C29" i="8"/>
  <c r="H28" i="8"/>
  <c r="I28" i="8" s="1"/>
  <c r="D11" i="8" s="1"/>
  <c r="G11" i="8" s="1"/>
  <c r="D28" i="8"/>
  <c r="C28" i="8"/>
  <c r="H27" i="8"/>
  <c r="I27" i="8" s="1"/>
  <c r="D10" i="8" s="1"/>
  <c r="G10" i="8" s="1"/>
  <c r="D27" i="8"/>
  <c r="C27" i="8"/>
  <c r="H26" i="8"/>
  <c r="I26" i="8" s="1"/>
  <c r="D9" i="8" s="1"/>
  <c r="G9" i="8" s="1"/>
  <c r="D26" i="8"/>
  <c r="C26" i="8"/>
  <c r="H25" i="8"/>
  <c r="I25" i="8" s="1"/>
  <c r="D8" i="8" s="1"/>
  <c r="G8" i="8" s="1"/>
  <c r="C25" i="8"/>
  <c r="E25" i="8" s="1"/>
  <c r="G25" i="8" s="1"/>
  <c r="H24" i="8"/>
  <c r="I24" i="8" s="1"/>
  <c r="D7" i="8" s="1"/>
  <c r="G7" i="8" s="1"/>
  <c r="D24" i="8"/>
  <c r="C24" i="8"/>
  <c r="H23" i="8"/>
  <c r="I23" i="8" s="1"/>
  <c r="D6" i="8" s="1"/>
  <c r="G6" i="8" s="1"/>
  <c r="D23" i="8"/>
  <c r="C23" i="8"/>
  <c r="H22" i="8"/>
  <c r="I22" i="8" s="1"/>
  <c r="D5" i="8" s="1"/>
  <c r="G5" i="8" s="1"/>
  <c r="C22" i="8"/>
  <c r="E22" i="8" s="1"/>
  <c r="G22" i="8" s="1"/>
  <c r="C16" i="8"/>
  <c r="F16" i="8" s="1"/>
  <c r="C15" i="8"/>
  <c r="F15" i="8" s="1"/>
  <c r="C14" i="8"/>
  <c r="F14" i="8" s="1"/>
  <c r="C13" i="8"/>
  <c r="F13" i="8" s="1"/>
  <c r="C12" i="8"/>
  <c r="F12" i="8" s="1"/>
  <c r="C11" i="8"/>
  <c r="F11" i="8" s="1"/>
  <c r="C10" i="8"/>
  <c r="F10" i="8" s="1"/>
  <c r="C9" i="8"/>
  <c r="F9" i="8" s="1"/>
  <c r="C8" i="8"/>
  <c r="F8" i="8" s="1"/>
  <c r="C7" i="8"/>
  <c r="F7" i="8" s="1"/>
  <c r="C6" i="8"/>
  <c r="F6" i="8" s="1"/>
  <c r="C5" i="8"/>
  <c r="F5" i="8" s="1"/>
  <c r="D53" i="7"/>
  <c r="C53" i="7"/>
  <c r="B53" i="7"/>
  <c r="D52" i="7"/>
  <c r="C52" i="7"/>
  <c r="B52" i="7"/>
  <c r="D51" i="7"/>
  <c r="C51" i="7"/>
  <c r="B51" i="7"/>
  <c r="D46" i="7"/>
  <c r="C46" i="7"/>
  <c r="B46" i="7"/>
  <c r="D45" i="7"/>
  <c r="C45" i="7"/>
  <c r="B45" i="7"/>
  <c r="D44" i="7"/>
  <c r="C44" i="7"/>
  <c r="B44" i="7"/>
  <c r="F44" i="7" s="1"/>
  <c r="D39" i="7"/>
  <c r="C39" i="7"/>
  <c r="B39" i="7"/>
  <c r="D38" i="7"/>
  <c r="C38" i="7"/>
  <c r="B38" i="7"/>
  <c r="D37" i="7"/>
  <c r="C37" i="7"/>
  <c r="B37" i="7"/>
  <c r="D32" i="7"/>
  <c r="C32" i="7"/>
  <c r="B32" i="7"/>
  <c r="F32" i="7" s="1"/>
  <c r="D31" i="7"/>
  <c r="C31" i="7"/>
  <c r="B31" i="7"/>
  <c r="D30" i="7"/>
  <c r="C30" i="7"/>
  <c r="B30" i="7"/>
  <c r="F30" i="7" s="1"/>
  <c r="D25" i="7"/>
  <c r="C25" i="7"/>
  <c r="B25" i="7"/>
  <c r="D24" i="7"/>
  <c r="C24" i="7"/>
  <c r="B24" i="7"/>
  <c r="D23" i="7"/>
  <c r="C23" i="7"/>
  <c r="B23" i="7"/>
  <c r="D18" i="7"/>
  <c r="C18" i="7"/>
  <c r="B18" i="7"/>
  <c r="D17" i="7"/>
  <c r="C17" i="7"/>
  <c r="B17" i="7"/>
  <c r="D16" i="7"/>
  <c r="C16" i="7"/>
  <c r="B16" i="7"/>
  <c r="D11" i="7"/>
  <c r="C11" i="7"/>
  <c r="B11" i="7"/>
  <c r="D10" i="7"/>
  <c r="C10" i="7"/>
  <c r="B10" i="7"/>
  <c r="D9" i="7"/>
  <c r="C9" i="7"/>
  <c r="B9" i="7"/>
  <c r="E9" i="7" s="1"/>
  <c r="D4" i="7"/>
  <c r="C4" i="7"/>
  <c r="B4" i="7"/>
  <c r="E4" i="7" s="1"/>
  <c r="D3" i="7"/>
  <c r="C3" i="7"/>
  <c r="B3" i="7"/>
  <c r="D2" i="7"/>
  <c r="C2" i="7"/>
  <c r="B2" i="7"/>
  <c r="K38" i="6"/>
  <c r="M29" i="6"/>
  <c r="G27" i="6"/>
  <c r="I26" i="6"/>
  <c r="H26" i="6"/>
  <c r="P25" i="6"/>
  <c r="J25" i="6"/>
  <c r="C25" i="6"/>
  <c r="G29" i="6" s="1"/>
  <c r="B25" i="6"/>
  <c r="P24" i="6"/>
  <c r="J24" i="6"/>
  <c r="C24" i="6"/>
  <c r="D25" i="6" s="1"/>
  <c r="B24" i="6"/>
  <c r="P23" i="6"/>
  <c r="J23" i="6"/>
  <c r="C23" i="6"/>
  <c r="D24" i="6" s="1"/>
  <c r="B23" i="6"/>
  <c r="P22" i="6"/>
  <c r="J22" i="6"/>
  <c r="C22" i="6"/>
  <c r="D23" i="6" s="1"/>
  <c r="B22" i="6"/>
  <c r="P21" i="6"/>
  <c r="J21" i="6"/>
  <c r="C21" i="6"/>
  <c r="D22" i="6" s="1"/>
  <c r="B21" i="6"/>
  <c r="P20" i="6"/>
  <c r="J20" i="6"/>
  <c r="C20" i="6"/>
  <c r="D21" i="6" s="1"/>
  <c r="B20" i="6"/>
  <c r="P19" i="6"/>
  <c r="J19" i="6"/>
  <c r="C19" i="6"/>
  <c r="D20" i="6" s="1"/>
  <c r="B19" i="6"/>
  <c r="P18" i="6"/>
  <c r="J18" i="6"/>
  <c r="C18" i="6"/>
  <c r="D19" i="6" s="1"/>
  <c r="B18" i="6"/>
  <c r="P17" i="6"/>
  <c r="J17" i="6"/>
  <c r="C17" i="6"/>
  <c r="D18" i="6" s="1"/>
  <c r="B17" i="6"/>
  <c r="P16" i="6"/>
  <c r="J16" i="6"/>
  <c r="C16" i="6"/>
  <c r="D17" i="6" s="1"/>
  <c r="B16" i="6"/>
  <c r="P15" i="6"/>
  <c r="J15" i="6"/>
  <c r="C15" i="6"/>
  <c r="B15" i="6"/>
  <c r="P14" i="6"/>
  <c r="J14" i="6"/>
  <c r="J26" i="6" s="1"/>
  <c r="D14" i="6"/>
  <c r="C14" i="6"/>
  <c r="B14" i="6"/>
  <c r="J5" i="6"/>
  <c r="J4" i="6"/>
  <c r="N15" i="5"/>
  <c r="M15" i="5"/>
  <c r="N14" i="5"/>
  <c r="M14" i="5"/>
  <c r="F4" i="10" l="1"/>
  <c r="O14" i="6"/>
  <c r="F5" i="10"/>
  <c r="F6" i="10"/>
  <c r="F7" i="10"/>
  <c r="O17" i="6"/>
  <c r="F8" i="10"/>
  <c r="O18" i="6"/>
  <c r="F9" i="10"/>
  <c r="O19" i="6"/>
  <c r="F10" i="10"/>
  <c r="O20" i="6"/>
  <c r="F11" i="10"/>
  <c r="O21" i="6"/>
  <c r="F12" i="10"/>
  <c r="O22" i="6"/>
  <c r="F13" i="10"/>
  <c r="O23" i="6"/>
  <c r="F14" i="10"/>
  <c r="O24" i="6"/>
  <c r="F15" i="10"/>
  <c r="O25" i="6"/>
  <c r="E3" i="7"/>
  <c r="F31" i="7"/>
  <c r="F33" i="7" s="1"/>
  <c r="P26" i="6"/>
  <c r="F16" i="10" s="1"/>
  <c r="Q14" i="6"/>
  <c r="E2" i="7"/>
  <c r="E5" i="7" s="1"/>
  <c r="E10" i="7"/>
  <c r="E29" i="8"/>
  <c r="G29" i="8" s="1"/>
  <c r="D42" i="8"/>
  <c r="E41" i="8"/>
  <c r="J41" i="8" s="1"/>
  <c r="O14" i="5"/>
  <c r="C26" i="6"/>
  <c r="F2" i="7"/>
  <c r="F3" i="7"/>
  <c r="G3" i="7" s="1"/>
  <c r="F4" i="7"/>
  <c r="G4" i="7" s="1"/>
  <c r="E16" i="7"/>
  <c r="E24" i="7"/>
  <c r="E38" i="7"/>
  <c r="E52" i="7"/>
  <c r="E7" i="9"/>
  <c r="F7" i="9" s="1"/>
  <c r="E11" i="9"/>
  <c r="F11" i="9" s="1"/>
  <c r="E15" i="9"/>
  <c r="F16" i="7"/>
  <c r="F18" i="7"/>
  <c r="B26" i="6"/>
  <c r="Q17" i="6"/>
  <c r="Q19" i="6"/>
  <c r="Q21" i="6"/>
  <c r="Q23" i="6"/>
  <c r="Q25" i="6"/>
  <c r="E17" i="7"/>
  <c r="F17" i="7"/>
  <c r="E25" i="7"/>
  <c r="E39" i="7"/>
  <c r="E51" i="7"/>
  <c r="E53" i="7"/>
  <c r="E40" i="8"/>
  <c r="J40" i="8" s="1"/>
  <c r="E6" i="9"/>
  <c r="F6" i="9" s="1"/>
  <c r="E10" i="9"/>
  <c r="F10" i="9" s="1"/>
  <c r="E14" i="9"/>
  <c r="F14" i="9" s="1"/>
  <c r="Q16" i="6"/>
  <c r="L5" i="6"/>
  <c r="E18" i="7"/>
  <c r="E23" i="7"/>
  <c r="E28" i="8"/>
  <c r="J28" i="8" s="1"/>
  <c r="E5" i="9"/>
  <c r="F5" i="9" s="1"/>
  <c r="E9" i="9"/>
  <c r="F9" i="9" s="1"/>
  <c r="E13" i="9"/>
  <c r="F13" i="9" s="1"/>
  <c r="Q15" i="6"/>
  <c r="Q18" i="6"/>
  <c r="Q20" i="6"/>
  <c r="Q22" i="6"/>
  <c r="Q24" i="6"/>
  <c r="O15" i="5"/>
  <c r="L7" i="6"/>
  <c r="E11" i="7"/>
  <c r="E30" i="7"/>
  <c r="G30" i="7" s="1"/>
  <c r="E31" i="7"/>
  <c r="E32" i="7"/>
  <c r="G32" i="7" s="1"/>
  <c r="E37" i="7"/>
  <c r="E46" i="7"/>
  <c r="D34" i="8"/>
  <c r="E38" i="8"/>
  <c r="J38" i="8" s="1"/>
  <c r="E39" i="8"/>
  <c r="G39" i="8" s="1"/>
  <c r="E3" i="9"/>
  <c r="F3" i="9" s="1"/>
  <c r="E4" i="9"/>
  <c r="F4" i="9" s="1"/>
  <c r="E8" i="9"/>
  <c r="F8" i="9" s="1"/>
  <c r="E12" i="9"/>
  <c r="F12" i="9" s="1"/>
  <c r="E23" i="8"/>
  <c r="J23" i="8" s="1"/>
  <c r="E24" i="8"/>
  <c r="J24" i="8" s="1"/>
  <c r="E26" i="8"/>
  <c r="J26" i="8" s="1"/>
  <c r="E27" i="8"/>
  <c r="J27" i="8" s="1"/>
  <c r="E30" i="8"/>
  <c r="G30" i="8" s="1"/>
  <c r="E33" i="8"/>
  <c r="J33" i="8" s="1"/>
  <c r="G23" i="8"/>
  <c r="J31" i="8"/>
  <c r="G31" i="8"/>
  <c r="J32" i="8"/>
  <c r="G32" i="8"/>
  <c r="J22" i="8"/>
  <c r="J25" i="8"/>
  <c r="J36" i="8"/>
  <c r="J37" i="8"/>
  <c r="B12" i="7"/>
  <c r="B26" i="7"/>
  <c r="B40" i="7"/>
  <c r="B5" i="7"/>
  <c r="F9" i="7"/>
  <c r="F10" i="7"/>
  <c r="F11" i="7"/>
  <c r="G11" i="7" s="1"/>
  <c r="B19" i="7"/>
  <c r="F23" i="7"/>
  <c r="F24" i="7"/>
  <c r="F25" i="7"/>
  <c r="B33" i="7"/>
  <c r="F37" i="7"/>
  <c r="F38" i="7"/>
  <c r="F39" i="7"/>
  <c r="E44" i="7"/>
  <c r="B47" i="7"/>
  <c r="E45" i="7"/>
  <c r="F45" i="7"/>
  <c r="F46" i="7"/>
  <c r="F51" i="7"/>
  <c r="F52" i="7"/>
  <c r="F53" i="7"/>
  <c r="B54" i="7"/>
  <c r="F17" i="6"/>
  <c r="F19" i="6"/>
  <c r="F21" i="6"/>
  <c r="F23" i="6"/>
  <c r="F25" i="6"/>
  <c r="F14" i="6"/>
  <c r="D16" i="6"/>
  <c r="F16" i="6" s="1"/>
  <c r="E17" i="6"/>
  <c r="G17" i="6"/>
  <c r="F18" i="6"/>
  <c r="E19" i="6"/>
  <c r="G19" i="6"/>
  <c r="F20" i="6"/>
  <c r="E21" i="6"/>
  <c r="G21" i="6"/>
  <c r="F22" i="6"/>
  <c r="E23" i="6"/>
  <c r="G23" i="6"/>
  <c r="F24" i="6"/>
  <c r="E25" i="6"/>
  <c r="G25" i="6"/>
  <c r="J6" i="6"/>
  <c r="E14" i="6"/>
  <c r="G14" i="6"/>
  <c r="D15" i="6"/>
  <c r="G15" i="6" s="1"/>
  <c r="E18" i="6"/>
  <c r="G18" i="6"/>
  <c r="E20" i="6"/>
  <c r="G20" i="6"/>
  <c r="E22" i="6"/>
  <c r="G22" i="6"/>
  <c r="E24" i="6"/>
  <c r="G24" i="6"/>
  <c r="G38" i="8" l="1"/>
  <c r="G25" i="7"/>
  <c r="O16" i="6"/>
  <c r="E12" i="7"/>
  <c r="G41" i="8"/>
  <c r="G38" i="7"/>
  <c r="G40" i="8"/>
  <c r="O15" i="6"/>
  <c r="G31" i="7"/>
  <c r="G34" i="7" s="1"/>
  <c r="H34" i="7" s="1"/>
  <c r="O16" i="5"/>
  <c r="G52" i="7"/>
  <c r="G10" i="7"/>
  <c r="G2" i="7"/>
  <c r="G6" i="7" s="1"/>
  <c r="H6" i="7" s="1"/>
  <c r="J29" i="8"/>
  <c r="J30" i="8"/>
  <c r="G26" i="8"/>
  <c r="G27" i="8"/>
  <c r="I3" i="9"/>
  <c r="J3" i="9" s="1"/>
  <c r="G53" i="7"/>
  <c r="F15" i="9"/>
  <c r="F19" i="9" s="1"/>
  <c r="E19" i="7"/>
  <c r="E54" i="7"/>
  <c r="G16" i="7"/>
  <c r="F15" i="6"/>
  <c r="L15" i="6" s="1"/>
  <c r="G24" i="7"/>
  <c r="F19" i="7"/>
  <c r="F5" i="7"/>
  <c r="G5" i="7" s="1"/>
  <c r="E26" i="7"/>
  <c r="G17" i="7"/>
  <c r="G18" i="7"/>
  <c r="G16" i="6"/>
  <c r="G26" i="6" s="1"/>
  <c r="G28" i="6" s="1"/>
  <c r="G46" i="7"/>
  <c r="G39" i="7"/>
  <c r="G28" i="8"/>
  <c r="E40" i="7"/>
  <c r="E15" i="6"/>
  <c r="E34" i="8"/>
  <c r="E42" i="8"/>
  <c r="J39" i="8"/>
  <c r="G33" i="8"/>
  <c r="G24" i="8"/>
  <c r="G42" i="8"/>
  <c r="E33" i="7"/>
  <c r="G33" i="7" s="1"/>
  <c r="F20" i="9"/>
  <c r="G51" i="7"/>
  <c r="F54" i="7"/>
  <c r="E47" i="7"/>
  <c r="G44" i="7"/>
  <c r="G45" i="7"/>
  <c r="G37" i="7"/>
  <c r="F40" i="7"/>
  <c r="G23" i="7"/>
  <c r="F26" i="7"/>
  <c r="G9" i="7"/>
  <c r="F12" i="7"/>
  <c r="G12" i="7" s="1"/>
  <c r="F47" i="7"/>
  <c r="K16" i="6"/>
  <c r="L16" i="6"/>
  <c r="L6" i="6"/>
  <c r="J8" i="6"/>
  <c r="L25" i="6"/>
  <c r="K25" i="6"/>
  <c r="L21" i="6"/>
  <c r="K21" i="6"/>
  <c r="L17" i="6"/>
  <c r="K17" i="6"/>
  <c r="D26" i="6"/>
  <c r="E26" i="6" s="1"/>
  <c r="E16" i="6"/>
  <c r="K24" i="6"/>
  <c r="L24" i="6"/>
  <c r="K22" i="6"/>
  <c r="L22" i="6"/>
  <c r="K20" i="6"/>
  <c r="L20" i="6"/>
  <c r="K18" i="6"/>
  <c r="L18" i="6"/>
  <c r="K14" i="6"/>
  <c r="L14" i="6"/>
  <c r="L23" i="6"/>
  <c r="K23" i="6"/>
  <c r="L19" i="6"/>
  <c r="K19" i="6"/>
  <c r="G19" i="7" l="1"/>
  <c r="G55" i="7"/>
  <c r="D67" i="4" s="1"/>
  <c r="G13" i="7"/>
  <c r="H13" i="7" s="1"/>
  <c r="F21" i="9"/>
  <c r="G26" i="7"/>
  <c r="K15" i="6"/>
  <c r="K26" i="6" s="1"/>
  <c r="G40" i="7"/>
  <c r="F26" i="6"/>
  <c r="F28" i="6" s="1"/>
  <c r="G54" i="7"/>
  <c r="F16" i="9"/>
  <c r="M19" i="6"/>
  <c r="M18" i="6"/>
  <c r="M22" i="6"/>
  <c r="M21" i="6"/>
  <c r="G27" i="7"/>
  <c r="D66" i="4" s="1"/>
  <c r="G41" i="7"/>
  <c r="H41" i="7" s="1"/>
  <c r="G34" i="8"/>
  <c r="G20" i="7"/>
  <c r="H20" i="7" s="1"/>
  <c r="O26" i="6"/>
  <c r="H55" i="7"/>
  <c r="M23" i="6"/>
  <c r="M25" i="6"/>
  <c r="M17" i="6"/>
  <c r="M20" i="6"/>
  <c r="M24" i="6"/>
  <c r="G47" i="7"/>
  <c r="G48" i="7"/>
  <c r="H48" i="7" s="1"/>
  <c r="M14" i="6"/>
  <c r="L26" i="6"/>
  <c r="M16" i="6"/>
  <c r="L8" i="6"/>
  <c r="B28" i="6"/>
  <c r="D76" i="4" l="1"/>
  <c r="K6" i="5"/>
  <c r="M15" i="6"/>
  <c r="O27" i="6"/>
  <c r="D77" i="4" s="1"/>
  <c r="G57" i="7"/>
  <c r="K4" i="5" s="1"/>
  <c r="H27" i="7"/>
  <c r="M26" i="6"/>
  <c r="M28" i="6" s="1"/>
  <c r="K8" i="5" l="1"/>
  <c r="K11" i="5" s="1"/>
  <c r="M31" i="6" s="1"/>
  <c r="E89" i="4"/>
  <c r="H57" i="7"/>
  <c r="D89" i="4"/>
  <c r="M32" i="6" l="1"/>
  <c r="F89" i="4"/>
  <c r="D80" i="4"/>
  <c r="I47" i="4"/>
  <c r="I48" i="4"/>
  <c r="I49" i="4"/>
  <c r="I50" i="4"/>
  <c r="I51" i="4"/>
  <c r="I52" i="4"/>
  <c r="I53" i="4"/>
  <c r="I54" i="4"/>
  <c r="I55" i="4"/>
  <c r="I56" i="4"/>
  <c r="I57" i="4"/>
  <c r="I58" i="4"/>
  <c r="G47" i="4"/>
  <c r="G48" i="4"/>
  <c r="G49" i="4"/>
  <c r="G50" i="4"/>
  <c r="G51" i="4"/>
  <c r="G52" i="4"/>
  <c r="G53" i="4"/>
  <c r="G54" i="4"/>
  <c r="G55" i="4"/>
  <c r="G56" i="4"/>
  <c r="G57" i="4"/>
  <c r="G58" i="4"/>
  <c r="D15" i="10" s="1"/>
  <c r="E58" i="4"/>
  <c r="D58" i="4"/>
  <c r="C58" i="4"/>
  <c r="B15" i="10" s="1"/>
  <c r="E57" i="4"/>
  <c r="D57" i="4"/>
  <c r="C57" i="4"/>
  <c r="B14" i="10" s="1"/>
  <c r="E56" i="4"/>
  <c r="D56" i="4"/>
  <c r="C56" i="4"/>
  <c r="B13" i="10" s="1"/>
  <c r="E55" i="4"/>
  <c r="D55" i="4"/>
  <c r="C55" i="4"/>
  <c r="B12" i="10" s="1"/>
  <c r="E54" i="4"/>
  <c r="D54" i="4"/>
  <c r="C54" i="4"/>
  <c r="B11" i="10" s="1"/>
  <c r="E53" i="4"/>
  <c r="D53" i="4"/>
  <c r="C53" i="4"/>
  <c r="B10" i="10" s="1"/>
  <c r="E52" i="4"/>
  <c r="D52" i="4"/>
  <c r="C52" i="4"/>
  <c r="B9" i="10" s="1"/>
  <c r="E51" i="4"/>
  <c r="D51" i="4"/>
  <c r="C51" i="4"/>
  <c r="B8" i="10" s="1"/>
  <c r="E50" i="4"/>
  <c r="D50" i="4"/>
  <c r="C50" i="4"/>
  <c r="B7" i="10" s="1"/>
  <c r="E49" i="4"/>
  <c r="D49" i="4"/>
  <c r="C49" i="4"/>
  <c r="B6" i="10" s="1"/>
  <c r="E48" i="4"/>
  <c r="D48" i="4"/>
  <c r="C48" i="4"/>
  <c r="B5" i="10" s="1"/>
  <c r="E47" i="4"/>
  <c r="D47" i="4"/>
  <c r="C47" i="4"/>
  <c r="B4" i="10" s="1"/>
  <c r="D23" i="4"/>
  <c r="C14" i="10" l="1"/>
  <c r="D13" i="10"/>
  <c r="C10" i="10"/>
  <c r="D9" i="10"/>
  <c r="C6" i="10"/>
  <c r="D5" i="10"/>
  <c r="D12" i="10"/>
  <c r="C13" i="10"/>
  <c r="D8" i="10"/>
  <c r="C9" i="10"/>
  <c r="D4" i="10"/>
  <c r="E4" i="10" s="1"/>
  <c r="C5" i="10"/>
  <c r="D11" i="10"/>
  <c r="C12" i="10"/>
  <c r="C8" i="10"/>
  <c r="D7" i="10"/>
  <c r="D14" i="10"/>
  <c r="C15" i="10"/>
  <c r="D10" i="10"/>
  <c r="C11" i="10"/>
  <c r="D6" i="10"/>
  <c r="C7" i="10"/>
  <c r="F47" i="4"/>
  <c r="F90" i="4"/>
  <c r="G90" i="4" s="1"/>
  <c r="F91" i="4"/>
  <c r="G91" i="4" s="1"/>
  <c r="F92" i="4"/>
  <c r="G92" i="4" s="1"/>
  <c r="J47" i="4" l="1"/>
  <c r="H47" i="4"/>
  <c r="K47" i="4" l="1"/>
  <c r="F51" i="4" l="1"/>
  <c r="F52" i="4"/>
  <c r="J52" i="4" s="1"/>
  <c r="F53" i="4"/>
  <c r="F54" i="4"/>
  <c r="H54" i="4" s="1"/>
  <c r="F58" i="4"/>
  <c r="F56" i="4"/>
  <c r="J56" i="4" s="1"/>
  <c r="F57" i="4"/>
  <c r="I92" i="4"/>
  <c r="I91" i="4"/>
  <c r="I90" i="4"/>
  <c r="D93" i="4"/>
  <c r="F93" i="4"/>
  <c r="C59" i="4"/>
  <c r="J51" i="4" l="1"/>
  <c r="E59" i="4"/>
  <c r="F55" i="4"/>
  <c r="J55" i="4" s="1"/>
  <c r="D59" i="4"/>
  <c r="H58" i="4"/>
  <c r="F50" i="4"/>
  <c r="H50" i="4" s="1"/>
  <c r="F49" i="4"/>
  <c r="H49" i="4" s="1"/>
  <c r="F48" i="4"/>
  <c r="J54" i="4"/>
  <c r="K54" i="4" s="1"/>
  <c r="H57" i="4"/>
  <c r="J57" i="4"/>
  <c r="H53" i="4"/>
  <c r="J58" i="4"/>
  <c r="J53" i="4"/>
  <c r="H52" i="4"/>
  <c r="K52" i="4" s="1"/>
  <c r="H56" i="4"/>
  <c r="K56" i="4" s="1"/>
  <c r="H51" i="4"/>
  <c r="K51" i="4" s="1"/>
  <c r="H55" i="4" l="1"/>
  <c r="K55" i="4" s="1"/>
  <c r="J48" i="4"/>
  <c r="F59" i="4"/>
  <c r="F61" i="4" s="1"/>
  <c r="J50" i="4"/>
  <c r="K50" i="4" s="1"/>
  <c r="K58" i="4"/>
  <c r="J49" i="4"/>
  <c r="K49" i="4" s="1"/>
  <c r="K53" i="4"/>
  <c r="D24" i="4"/>
  <c r="D22" i="4" s="1"/>
  <c r="F24" i="4" s="1"/>
  <c r="H48" i="4"/>
  <c r="K57" i="4"/>
  <c r="K48" i="4" l="1"/>
  <c r="K59" i="4" s="1"/>
  <c r="H59" i="4"/>
  <c r="F23" i="4"/>
  <c r="F25" i="4"/>
  <c r="F26" i="4"/>
  <c r="J59" i="4"/>
  <c r="H89" i="4" s="1"/>
  <c r="C89" i="4" l="1"/>
  <c r="G89" i="4" s="1"/>
  <c r="G93" i="4" s="1"/>
  <c r="D81" i="4"/>
  <c r="D82" i="4" s="1"/>
  <c r="H93" i="4"/>
  <c r="I89" i="4" l="1"/>
  <c r="C93" i="4"/>
  <c r="E93" i="4"/>
  <c r="D83" i="4" l="1"/>
  <c r="E83" i="4" s="1"/>
</calcChain>
</file>

<file path=xl/comments1.xml><?xml version="1.0" encoding="utf-8"?>
<comments xmlns="http://schemas.openxmlformats.org/spreadsheetml/2006/main">
  <authors>
    <author>Cristina</author>
  </authors>
  <commentList>
    <comment ref="O16" authorId="0" shapeId="0">
      <text>
        <r>
          <rPr>
            <b/>
            <sz val="9"/>
            <color indexed="81"/>
            <rFont val="Tahoma"/>
            <family val="2"/>
          </rPr>
          <t>Cristina:</t>
        </r>
        <r>
          <rPr>
            <sz val="9"/>
            <color indexed="81"/>
            <rFont val="Tahoma"/>
            <family val="2"/>
          </rPr>
          <t xml:space="preserve">
it reconciles with Tab 2.Ga Detailed Analysis Cell G27</t>
        </r>
      </text>
    </comment>
  </commentList>
</comments>
</file>

<file path=xl/sharedStrings.xml><?xml version="1.0" encoding="utf-8"?>
<sst xmlns="http://schemas.openxmlformats.org/spreadsheetml/2006/main" count="472" uniqueCount="323">
  <si>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</si>
  <si>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</si>
  <si>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</si>
  <si>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</si>
  <si>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</si>
  <si>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</si>
  <si>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</si>
  <si>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</si>
  <si>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</si>
  <si>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</si>
  <si>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</si>
  <si>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</si>
  <si>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</si>
  <si>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</si>
  <si>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</si>
  <si>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</si>
  <si>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</si>
  <si>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</si>
  <si>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</si>
  <si>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</si>
  <si>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</si>
  <si>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</si>
  <si>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</si>
  <si>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</si>
  <si>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</si>
  <si>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</si>
  <si>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</si>
  <si>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</si>
  <si>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</si>
  <si>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</si>
  <si>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</si>
  <si>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</si>
  <si>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</si>
  <si>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</si>
  <si>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</si>
  <si>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</si>
  <si>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</si>
  <si>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</si>
  <si>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</si>
  <si>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</si>
  <si>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</si>
  <si>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</si>
  <si>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</si>
  <si>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</si>
  <si>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</si>
  <si>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</si>
  <si>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</si>
  <si>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</si>
  <si>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</si>
  <si>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</si>
  <si>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</si>
  <si>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</si>
  <si>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</si>
  <si>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</si>
  <si>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</si>
  <si>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</si>
  <si>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</si>
  <si>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</si>
  <si>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</si>
  <si>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</si>
  <si>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</si>
  <si>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</si>
  <si>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</si>
  <si>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</si>
  <si>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</si>
  <si>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</si>
  <si>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</si>
  <si>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</si>
  <si>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</si>
  <si>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</si>
  <si>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</si>
  <si>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</si>
  <si>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</si>
  <si>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</si>
  <si>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</si>
  <si>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</si>
  <si>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</si>
  <si>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</si>
  <si>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</si>
  <si>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</si>
  <si>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</si>
  <si>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</si>
  <si>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</si>
  <si>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</si>
  <si>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</si>
  <si>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</si>
  <si>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</si>
  <si>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</si>
  <si>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</si>
  <si>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</si>
  <si>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</si>
  <si>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</si>
  <si>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</si>
  <si>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</si>
  <si>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</si>
  <si>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</si>
  <si>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</si>
  <si>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</si>
  <si>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</si>
  <si>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</si>
  <si>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</si>
  <si>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</si>
  <si>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</si>
  <si>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</si>
  <si>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</si>
  <si>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</si>
  <si>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</si>
  <si>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</si>
  <si>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</si>
  <si>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</si>
  <si>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</si>
  <si>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</si>
  <si>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</si>
  <si>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</si>
  <si>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</si>
  <si>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</si>
  <si>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</si>
  <si>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</si>
  <si>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</si>
  <si>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</si>
  <si>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</si>
  <si>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</si>
  <si>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</si>
  <si>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</si>
  <si>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</si>
  <si>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</si>
  <si>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</si>
  <si>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</si>
  <si>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</si>
  <si>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</si>
  <si>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</si>
  <si>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</si>
  <si>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</si>
  <si>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</si>
  <si>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</si>
  <si>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</si>
  <si>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</si>
  <si>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</si>
  <si>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</si>
  <si>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</si>
  <si>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</si>
  <si>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</si>
  <si>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</si>
  <si>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</si>
  <si>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</si>
  <si>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</si>
  <si>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</si>
  <si>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</si>
  <si>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</si>
  <si>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</si>
  <si>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</si>
  <si>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</si>
  <si>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</si>
  <si>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</si>
  <si>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</si>
  <si>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</si>
  <si>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</si>
  <si>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</si>
  <si>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</si>
  <si>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</si>
  <si>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</si>
  <si>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</si>
  <si>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RPP true-up was done quaterly - Q4 2016 minus Q4 2015 is (see tab RPP True-up)</t>
  </si>
  <si>
    <t>For accounts with retailer contract, the unbilled revenue was calculated based on historical weighted average GA rate;</t>
  </si>
  <si>
    <t>The billing cycle is not on a calendar month for most customers; our billing system uses a weighted average daily rate for applying Global Adjustment to bills</t>
  </si>
  <si>
    <t>TOTAL ADJUSTMENTS</t>
  </si>
  <si>
    <t>UBR= Unbilled Revenue</t>
  </si>
  <si>
    <t>Class B UBR</t>
  </si>
  <si>
    <t>GA UBR [kWh]</t>
  </si>
  <si>
    <t>GA 1st Estimate Rate December</t>
  </si>
  <si>
    <t>Total GA $ on 1st Estimate</t>
  </si>
  <si>
    <t>Difference</t>
  </si>
  <si>
    <t>V2</t>
  </si>
  <si>
    <t>2016 Global Adjustment Analysis</t>
  </si>
  <si>
    <t xml:space="preserve">Input cells </t>
  </si>
  <si>
    <t>Allocation Method for Class B RSVA-Global Adjustment.</t>
  </si>
  <si>
    <t>IRM Total Metered</t>
  </si>
  <si>
    <t>remove wmp</t>
  </si>
  <si>
    <t xml:space="preserve">IRM RPP </t>
  </si>
  <si>
    <t>IRM Non RPP</t>
  </si>
  <si>
    <t>remove WMP</t>
  </si>
  <si>
    <t>IRM Class A</t>
  </si>
  <si>
    <t>IRM Net Class B</t>
  </si>
  <si>
    <t>Class B (Non RPP and Non Class A) RSVA GA Analysis - Allocation Method</t>
  </si>
  <si>
    <t>Billed Class B Non-RPP Spot</t>
  </si>
  <si>
    <t>Actual Month</t>
  </si>
  <si>
    <t>Previous Month</t>
  </si>
  <si>
    <t>UBR trued-up</t>
  </si>
  <si>
    <t>kWh True-up</t>
  </si>
  <si>
    <t>UBR true-up</t>
  </si>
  <si>
    <t>First Estimate GA Rate</t>
  </si>
  <si>
    <t>Actual  GA Rate</t>
  </si>
  <si>
    <t>Retail - Final</t>
  </si>
  <si>
    <t>Class B Non-RPP</t>
  </si>
  <si>
    <t>Est. Variance</t>
  </si>
  <si>
    <t>kWh *</t>
  </si>
  <si>
    <t>Unbilled kWh</t>
  </si>
  <si>
    <t>$</t>
  </si>
  <si>
    <t>$/kWh</t>
  </si>
  <si>
    <t>@ 1st Estimate GA</t>
  </si>
  <si>
    <t>@ Actual GA</t>
  </si>
  <si>
    <t>Retail less Final</t>
  </si>
  <si>
    <t>M=N+BxG-(CxH at previous month rate)</t>
  </si>
  <si>
    <t>N</t>
  </si>
  <si>
    <t>B</t>
  </si>
  <si>
    <t>C</t>
  </si>
  <si>
    <t>D=B-C</t>
  </si>
  <si>
    <t>E=A+B-C</t>
  </si>
  <si>
    <t>I=G-H</t>
  </si>
  <si>
    <t>J=E x G</t>
  </si>
  <si>
    <t>K=E x H</t>
  </si>
  <si>
    <t>L=K-J</t>
  </si>
  <si>
    <t>Billed 1st estimate (query)+UBR true-up</t>
  </si>
  <si>
    <t>Query - Billed</t>
  </si>
  <si>
    <t>Billed Average Rate</t>
  </si>
  <si>
    <t>1st estimate</t>
  </si>
  <si>
    <t>2017 IRM Rate Continuity Schedule Amount</t>
  </si>
  <si>
    <t>A-B</t>
  </si>
  <si>
    <t>LDC's Materiality Threshold</t>
  </si>
  <si>
    <t>Adjustments - see Tab "Adjustments"</t>
  </si>
  <si>
    <t>Guelph Hydro materiality  0.5% COS Distr Revenue requirement:</t>
  </si>
  <si>
    <t>Global Adjustment (¢/kWh)</t>
  </si>
  <si>
    <t>Jan</t>
  </si>
  <si>
    <t>Feb</t>
  </si>
  <si>
    <t>Mar</t>
  </si>
  <si>
    <t>Apr</t>
  </si>
  <si>
    <t>Jun</t>
  </si>
  <si>
    <t>Jul</t>
  </si>
  <si>
    <t>Aug</t>
  </si>
  <si>
    <t>Sep</t>
  </si>
  <si>
    <t>Oct</t>
  </si>
  <si>
    <t>Nov</t>
  </si>
  <si>
    <t>Dec</t>
  </si>
  <si>
    <t> 8.42</t>
  </si>
  <si>
    <t>10.38 </t>
  </si>
  <si>
    <t>9.02 </t>
  </si>
  <si>
    <t>12.1 </t>
  </si>
  <si>
    <t>10.4 </t>
  </si>
  <si>
    <t>11.7 </t>
  </si>
  <si>
    <t>7.67 </t>
  </si>
  <si>
    <t>8.57 </t>
  </si>
  <si>
    <t> 7.06</t>
  </si>
  <si>
    <t> 9.72</t>
  </si>
  <si>
    <t>12.3 </t>
  </si>
  <si>
    <t> 10.6</t>
  </si>
  <si>
    <t>2nd Estimate</t>
  </si>
  <si>
    <t> 9.21</t>
  </si>
  <si>
    <t> 9.68</t>
  </si>
  <si>
    <t> 10.3</t>
  </si>
  <si>
    <t> 11.2</t>
  </si>
  <si>
    <t> 11.5</t>
  </si>
  <si>
    <t> 9.15</t>
  </si>
  <si>
    <t> 11.8</t>
  </si>
  <si>
    <t> 7.87</t>
  </si>
  <si>
    <t> 9.18</t>
  </si>
  <si>
    <t> 9.85</t>
  </si>
  <si>
    <t> 10.61</t>
  </si>
  <si>
    <t> 11.13</t>
  </si>
  <si>
    <t> 10.75</t>
  </si>
  <si>
    <t> 9.55</t>
  </si>
  <si>
    <t> 7.10</t>
  </si>
  <si>
    <t> 9.53</t>
  </si>
  <si>
    <t> 11.1</t>
  </si>
  <si>
    <t>Kwh submitted</t>
  </si>
  <si>
    <t>Estimated GA Rate</t>
  </si>
  <si>
    <t>Actual GA Rate</t>
  </si>
  <si>
    <t>Estimated GA Amount</t>
  </si>
  <si>
    <t>Actual GA Amount</t>
  </si>
  <si>
    <t>True-Up</t>
  </si>
  <si>
    <t>Total</t>
  </si>
  <si>
    <t>payment to IESO</t>
  </si>
  <si>
    <t>Payment from IESO</t>
  </si>
  <si>
    <t>November</t>
  </si>
  <si>
    <t>2016 Class B GA Rate Comparison</t>
  </si>
  <si>
    <t>Month</t>
  </si>
  <si>
    <t>IESO Invoice 148 Class B GA Rate (less embedded gen)</t>
  </si>
  <si>
    <t>IESO Invoice 148 Class B GA Rate (incl. embedded gen)</t>
  </si>
  <si>
    <t>IESO Actual GA Rate on website</t>
  </si>
  <si>
    <t>Difference 1</t>
  </si>
  <si>
    <t>Difference 2</t>
  </si>
  <si>
    <t>http://www.ieso.ca/en/sector-participants/settlements/global-adjustment-for-class-b</t>
  </si>
  <si>
    <t>D = A - C</t>
  </si>
  <si>
    <t>E = B - C</t>
  </si>
  <si>
    <t>Guelph Hydro STPP &amp; IESO Invoice GA Calculation</t>
  </si>
  <si>
    <t>STPP 148 Detail</t>
  </si>
  <si>
    <t>STPP 148 Adjustments</t>
  </si>
  <si>
    <t>STPP Total 148</t>
  </si>
  <si>
    <t>148 per IESO Invoice</t>
  </si>
  <si>
    <t>148 Difference</t>
  </si>
  <si>
    <t>STPP Class B + Embedded Generation [MWh]</t>
  </si>
  <si>
    <t>IESO Invoice 148 Class B GA Rate</t>
  </si>
  <si>
    <t>STPP 148 Class B GA Rate</t>
  </si>
  <si>
    <t>C = A + B</t>
  </si>
  <si>
    <t>E = D - C</t>
  </si>
  <si>
    <t>G = D/F/1000</t>
  </si>
  <si>
    <t>H = C/F/1000</t>
  </si>
  <si>
    <t>UBR Customers with Retailer UBR $</t>
  </si>
  <si>
    <t>UBR Customers with Retailer UBR kWh</t>
  </si>
  <si>
    <t>GA 1st estimate</t>
  </si>
  <si>
    <t>UBR Cust. With Retailer kWh @ 1st estimate</t>
  </si>
  <si>
    <t>D = B x C</t>
  </si>
  <si>
    <t>E = A - D</t>
  </si>
  <si>
    <t>True-up @ average</t>
  </si>
  <si>
    <t>True-up @ 1st Estimate</t>
  </si>
  <si>
    <t>Diff.</t>
  </si>
  <si>
    <t>Add: Dec 2016</t>
  </si>
  <si>
    <t>Less: Dec 2015</t>
  </si>
  <si>
    <t>RPP true-up was done quarterly and Q4 2016 was not included in the 1589 balance  (see Tab '3.RPP True-up")</t>
  </si>
  <si>
    <t>Unbilled revenue differences</t>
  </si>
  <si>
    <t>Billed GA differences</t>
  </si>
  <si>
    <t>Y</t>
  </si>
  <si>
    <t>For RPP accounts with retailer contract, the unbilled revenue was calculated based on historical weighted average GA rate; Please see Tab "5.UBR Retailer Contract"</t>
  </si>
  <si>
    <t>Billed</t>
  </si>
  <si>
    <t>prior month</t>
  </si>
  <si>
    <t>actual month</t>
  </si>
  <si>
    <t>RPP true-up was done quarterly and Q4 2015 was not included in the 1589 balance  (see Tab '3.RPP True-up")</t>
  </si>
  <si>
    <t>See IRR 3.b</t>
  </si>
  <si>
    <t>GA UBR amounts relating to RPP customers were incorrectly grouped with other classes and included in account 1589 versus the correct account 1588</t>
  </si>
  <si>
    <t>2b ii</t>
  </si>
  <si>
    <t xml:space="preserve">2b </t>
  </si>
  <si>
    <t>Adjs. 2a and 2b - See Tab GA Analysis</t>
  </si>
  <si>
    <t>IR 3 (h) Nov. 14</t>
  </si>
  <si>
    <t>Please see second IRR 3 (h): GA UBR amounts relating to RPP customers were incorrectly grouped with other classes and included in account 1589 versus the correct account 1588</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</si>
</sst>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8" formatCode="&quot;$&quot;#,##0.00;[Red]\-&quot;$&quot;#,##0.00"/>
    <numFmt numFmtId="44" formatCode="_-&quot;$&quot;* #,##0.00_-;\-&quot;$&quot;* #,##0.00_-;_-&quot;$&quot;* &quot;-&quot;??_-;_-@_-"/>
    <numFmt numFmtId="43" formatCode="_-* #,##0.00_-;\-* #,##0.00_-;_-* &quot;-&quot;??_-;_-@_-"/>
    <numFmt numFmtId="164" formatCode="&quot;$&quot;#,##0_);[Red]\(&quot;$&quot;#,##0\)"/>
    <numFmt numFmtId="165" formatCode="&quot;$&quot;#,##0.00_);[Red]\(&quot;$&quot;#,##0.00\)"/>
    <numFmt numFmtId="166" formatCode="0.0%"/>
    <numFmt numFmtId="167" formatCode="_-&quot;$&quot;* #,##0_-;\-&quot;$&quot;* #,##0_-;_-&quot;$&quot;* &quot;-&quot;??_-;_-@_-"/>
    <numFmt numFmtId="168" formatCode="0.00000"/>
    <numFmt numFmtId="169" formatCode="_-* #,##0_-;\-* #,##0_-;_-* &quot;-&quot;??_-;_-@_-"/>
    <numFmt numFmtId="170" formatCode="_(* #,##0_);_(* \(#,##0\);_(* &quot;-&quot;??_);_(@_)"/>
    <numFmt numFmtId="171" formatCode="&quot;$&quot;#,##0.00000;[Red]\-&quot;$&quot;#,##0.00000"/>
    <numFmt numFmtId="172" formatCode="#,##0.00000"/>
    <numFmt numFmtId="173" formatCode="&quot;$&quot;#,##0.00000_);[Red]\(&quot;$&quot;#,##0.00000\)"/>
    <numFmt numFmtId="174" formatCode="&quot;$&quot;#,##0.00;[Red]&quot;$&quot;#,##0.00"/>
    <numFmt numFmtId="175" formatCode="&quot;$&quot;#,##0.00"/>
    <numFmt numFmtId="176" formatCode="&quot;$&quot;#,##0.00000"/>
    <numFmt numFmtId="177" formatCode="_-* #,##0.0000_-;\-* #,##0.0000_-;_-* &quot;-&quot;??_-;_-@_-"/>
    <numFmt numFmtId="178" formatCode="&quot;$&quot;#,##0.000000_);[Red]\(&quot;$&quot;#,##0.000000\)"/>
  </numFmts>
  <fonts count="39">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b/>
      <sz val="11"/>
      <color theme="1"/>
      <name val="Calibri"/>
      <family val="2"/>
      <scheme val="minor"/>
    </font>
    <font>
      <sz val="10"/>
      <name val="Times New Roman"/>
      <family val="1"/>
    </font>
    <font>
      <b/>
      <u/>
      <sz val="10"/>
      <name val="Times New Roman"/>
      <family val="1"/>
    </font>
    <font>
      <b/>
      <sz val="10"/>
      <name val="Times New Roman"/>
      <family val="1"/>
    </font>
    <font>
      <b/>
      <sz val="10"/>
      <name val="Arial"/>
      <family val="2"/>
    </font>
    <font>
      <b/>
      <sz val="9"/>
      <color indexed="81"/>
      <name val="Tahoma"/>
      <family val="2"/>
    </font>
    <font>
      <sz val="9"/>
      <color indexed="81"/>
      <name val="Tahoma"/>
      <family val="2"/>
    </font>
    <font>
      <b/>
      <sz val="14"/>
      <name val="Times New Roman"/>
      <family val="1"/>
    </font>
    <font>
      <sz val="10"/>
      <color indexed="8"/>
      <name val="Times New Roman"/>
      <family val="1"/>
    </font>
    <font>
      <sz val="11"/>
      <color indexed="8"/>
      <name val="Times New Roman"/>
      <family val="1"/>
    </font>
    <font>
      <b/>
      <sz val="11"/>
      <color indexed="8"/>
      <name val="Times New Roman"/>
      <family val="1"/>
    </font>
    <font>
      <b/>
      <sz val="10"/>
      <color indexed="8"/>
      <name val="Times New Roman"/>
      <family val="1"/>
    </font>
    <font>
      <b/>
      <sz val="11"/>
      <name val="Times New Roman"/>
      <family val="1"/>
    </font>
    <font>
      <sz val="13.2"/>
      <color rgb="FF1E7D83"/>
      <name val="Inherit"/>
    </font>
    <font>
      <sz val="11"/>
      <color rgb="FF333333"/>
      <name val="Whitney SSm A"/>
    </font>
    <font>
      <b/>
      <sz val="14"/>
      <color theme="1"/>
      <name val="Calibri"/>
      <family val="2"/>
      <scheme val="minor"/>
    </font>
    <font>
      <sz val="10"/>
      <color indexed="63"/>
      <name val="Arial"/>
      <family val="2"/>
    </font>
    <font>
      <sz val="10"/>
      <color rgb="FF333333"/>
      <name val="Arial"/>
      <family val="2"/>
    </font>
    <font>
      <b/>
      <sz val="16"/>
      <color theme="1"/>
      <name val="Arial"/>
      <family val="2"/>
    </font>
    <font>
      <sz val="12"/>
      <color theme="1"/>
      <name val="Arial"/>
      <family val="2"/>
    </font>
    <font>
      <b/>
      <sz val="12"/>
      <color theme="1"/>
      <name val="Arial"/>
      <family val="2"/>
    </font>
    <font>
      <u/>
      <sz val="11"/>
      <color theme="10"/>
      <name val="Calibri"/>
      <family val="2"/>
      <scheme val="minor"/>
    </font>
    <font>
      <sz val="12"/>
      <color theme="1"/>
      <name val="Calibri"/>
      <family val="2"/>
      <scheme val="minor"/>
    </font>
  </fonts>
  <fills count="9">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rgb="FFF4F4F4"/>
        <bgColor indexed="64"/>
      </patternFill>
    </fill>
    <fill>
      <patternFill patternType="solid">
        <fgColor rgb="FFFFFF00"/>
        <bgColor indexed="64"/>
      </patternFill>
    </fill>
    <fill>
      <patternFill patternType="solid">
        <fgColor rgb="FFFFC000"/>
        <bgColor indexed="64"/>
      </patternFill>
    </fill>
  </fills>
  <borders count="4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rgb="FFD7D7D7"/>
      </bottom>
      <diagonal/>
    </border>
    <border>
      <left/>
      <right/>
      <top/>
      <bottom style="medium">
        <color rgb="FF010101"/>
      </bottom>
      <diagonal/>
    </border>
  </borders>
  <cellStyleXfs count="8">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37" fillId="0" borderId="0" applyNumberFormat="0" applyFill="0" applyBorder="0" applyAlignment="0" applyProtection="0"/>
  </cellStyleXfs>
  <cellXfs count="406">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44" fontId="12" fillId="0" borderId="0" xfId="1" applyFont="1" applyBorder="1"/>
    <xf numFmtId="9" fontId="12" fillId="0" borderId="0" xfId="4" applyFont="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9" fontId="6" fillId="0" borderId="2" xfId="4" applyFont="1" applyBorder="1" applyAlignment="1">
      <alignment horizontal="center" wrapText="1"/>
    </xf>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43" fontId="2" fillId="0" borderId="0" xfId="5" applyFont="1"/>
    <xf numFmtId="169" fontId="7" fillId="0" borderId="16"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44" fontId="2" fillId="0" borderId="0" xfId="0" applyNumberFormat="1" applyFont="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3" fontId="7" fillId="2" borderId="2" xfId="0" applyNumberFormat="1" applyFont="1" applyFill="1" applyBorder="1" applyAlignment="1">
      <alignment horizontal="center" vertical="center"/>
    </xf>
    <xf numFmtId="3" fontId="2" fillId="2" borderId="1" xfId="0" applyNumberFormat="1" applyFont="1" applyFill="1" applyBorder="1"/>
    <xf numFmtId="3" fontId="2" fillId="2" borderId="2" xfId="0" applyNumberFormat="1" applyFont="1" applyFill="1" applyBorder="1"/>
    <xf numFmtId="3" fontId="2" fillId="2" borderId="3" xfId="0" applyNumberFormat="1" applyFont="1" applyFill="1" applyBorder="1"/>
    <xf numFmtId="3" fontId="2" fillId="2" borderId="11" xfId="0" applyNumberFormat="1" applyFont="1" applyFill="1" applyBorder="1"/>
    <xf numFmtId="44" fontId="0" fillId="0" borderId="0" xfId="0" applyNumberFormat="1"/>
    <xf numFmtId="8" fontId="0" fillId="0" borderId="0" xfId="0" applyNumberFormat="1"/>
    <xf numFmtId="0" fontId="16" fillId="0" borderId="0" xfId="0" applyFont="1"/>
    <xf numFmtId="8" fontId="16" fillId="0" borderId="0" xfId="0" applyNumberFormat="1" applyFont="1"/>
    <xf numFmtId="0" fontId="17" fillId="0" borderId="0" xfId="2" applyFont="1" applyAlignment="1">
      <alignment vertical="center"/>
    </xf>
    <xf numFmtId="0" fontId="18" fillId="0" borderId="0" xfId="2" applyFont="1" applyAlignment="1">
      <alignment vertical="center" wrapText="1"/>
    </xf>
    <xf numFmtId="170" fontId="19" fillId="0" borderId="0" xfId="2" applyNumberFormat="1" applyFont="1" applyFill="1" applyBorder="1" applyAlignment="1">
      <alignment vertical="center" wrapText="1"/>
    </xf>
    <xf numFmtId="170" fontId="19" fillId="0" borderId="0" xfId="2" applyNumberFormat="1" applyFont="1" applyFill="1" applyBorder="1" applyAlignment="1">
      <alignment horizontal="center" vertical="center" wrapText="1"/>
    </xf>
    <xf numFmtId="170" fontId="19" fillId="0" borderId="0" xfId="2" applyNumberFormat="1" applyFont="1" applyFill="1" applyBorder="1" applyAlignment="1">
      <alignment horizontal="right" vertical="center" wrapText="1"/>
    </xf>
    <xf numFmtId="0" fontId="20" fillId="0" borderId="0" xfId="2" applyFont="1" applyBorder="1" applyAlignment="1">
      <alignment vertical="center" wrapText="1"/>
    </xf>
    <xf numFmtId="0" fontId="5" fillId="0" borderId="0" xfId="2" applyBorder="1" applyAlignment="1">
      <alignment vertical="center" wrapText="1"/>
    </xf>
    <xf numFmtId="4" fontId="17" fillId="0" borderId="0" xfId="2" applyNumberFormat="1" applyFont="1" applyAlignment="1">
      <alignment vertical="center"/>
    </xf>
    <xf numFmtId="171" fontId="0" fillId="0" borderId="0" xfId="0" applyNumberFormat="1" applyFont="1"/>
    <xf numFmtId="8" fontId="0" fillId="0" borderId="0" xfId="0" applyNumberFormat="1" applyFont="1"/>
    <xf numFmtId="8" fontId="16" fillId="0" borderId="0" xfId="0" applyNumberFormat="1" applyFont="1" applyBorder="1"/>
    <xf numFmtId="0" fontId="5" fillId="0" borderId="0" xfId="2" applyBorder="1" applyAlignment="1">
      <alignment vertical="center"/>
    </xf>
    <xf numFmtId="0" fontId="17" fillId="0" borderId="24" xfId="2" applyFont="1" applyBorder="1" applyAlignment="1">
      <alignment vertical="center"/>
    </xf>
    <xf numFmtId="4" fontId="17" fillId="0" borderId="24" xfId="2" applyNumberFormat="1" applyFont="1" applyBorder="1" applyAlignment="1">
      <alignment vertical="center"/>
    </xf>
    <xf numFmtId="171" fontId="0" fillId="0" borderId="24" xfId="0" applyNumberFormat="1" applyFont="1" applyBorder="1"/>
    <xf numFmtId="8" fontId="0" fillId="0" borderId="24" xfId="0" applyNumberFormat="1" applyFont="1" applyBorder="1"/>
    <xf numFmtId="8" fontId="0" fillId="0" borderId="0" xfId="0" applyNumberFormat="1" applyFont="1" applyBorder="1"/>
    <xf numFmtId="0" fontId="5" fillId="0" borderId="0" xfId="2" applyAlignment="1">
      <alignment vertical="center"/>
    </xf>
    <xf numFmtId="172" fontId="17" fillId="0" borderId="0" xfId="2" applyNumberFormat="1" applyFont="1" applyFill="1" applyBorder="1" applyAlignment="1">
      <alignment vertical="center"/>
    </xf>
    <xf numFmtId="0" fontId="0" fillId="0" borderId="0" xfId="0" applyBorder="1"/>
    <xf numFmtId="170" fontId="19" fillId="0" borderId="0" xfId="2" applyNumberFormat="1" applyFont="1" applyFill="1" applyBorder="1" applyAlignment="1">
      <alignment horizontal="right" vertical="center"/>
    </xf>
    <xf numFmtId="0" fontId="17" fillId="0" borderId="0" xfId="2" applyFont="1" applyBorder="1" applyAlignment="1">
      <alignment vertical="center"/>
    </xf>
    <xf numFmtId="44" fontId="17" fillId="0" borderId="0" xfId="1" applyFont="1" applyFill="1" applyBorder="1" applyAlignment="1">
      <alignment vertical="center"/>
    </xf>
    <xf numFmtId="8" fontId="5" fillId="0" borderId="0" xfId="2" applyNumberFormat="1" applyAlignment="1">
      <alignment vertical="center"/>
    </xf>
    <xf numFmtId="8" fontId="5" fillId="0" borderId="0" xfId="2" applyNumberFormat="1" applyBorder="1" applyAlignment="1">
      <alignment vertical="center"/>
    </xf>
    <xf numFmtId="8" fontId="19" fillId="0" borderId="0" xfId="1" applyNumberFormat="1" applyFont="1" applyFill="1" applyBorder="1" applyAlignment="1">
      <alignment vertical="center"/>
    </xf>
    <xf numFmtId="0" fontId="20" fillId="0" borderId="0" xfId="2" applyFont="1" applyAlignment="1">
      <alignment horizontal="center" vertical="center"/>
    </xf>
    <xf numFmtId="0" fontId="5" fillId="0" borderId="0" xfId="2" applyFill="1" applyAlignment="1">
      <alignment vertical="center"/>
    </xf>
    <xf numFmtId="40" fontId="5" fillId="0" borderId="0" xfId="2" applyNumberFormat="1" applyAlignment="1">
      <alignment vertical="center"/>
    </xf>
    <xf numFmtId="0" fontId="23" fillId="2" borderId="25" xfId="0" applyFont="1" applyFill="1" applyBorder="1" applyAlignment="1">
      <alignment horizontal="center" vertical="center"/>
    </xf>
    <xf numFmtId="0" fontId="23" fillId="2" borderId="0" xfId="0" applyFont="1" applyFill="1" applyBorder="1" applyAlignment="1">
      <alignment horizontal="center" vertical="center"/>
    </xf>
    <xf numFmtId="0" fontId="17" fillId="0" borderId="0" xfId="0" applyFont="1"/>
    <xf numFmtId="0" fontId="17" fillId="0" borderId="0" xfId="0" applyFont="1" applyFill="1"/>
    <xf numFmtId="0" fontId="17" fillId="0" borderId="26" xfId="0" applyFont="1" applyBorder="1" applyAlignment="1">
      <alignment horizontal="centerContinuous" vertical="center"/>
    </xf>
    <xf numFmtId="0" fontId="17" fillId="0" borderId="27" xfId="0" applyFont="1" applyBorder="1" applyAlignment="1">
      <alignment horizontal="centerContinuous" vertical="center"/>
    </xf>
    <xf numFmtId="0" fontId="24" fillId="0" borderId="23" xfId="0" applyFont="1" applyBorder="1" applyAlignment="1">
      <alignment horizontal="centerContinuous"/>
    </xf>
    <xf numFmtId="0" fontId="17" fillId="0" borderId="23" xfId="0" applyFont="1" applyBorder="1" applyAlignment="1">
      <alignment horizontal="centerContinuous"/>
    </xf>
    <xf numFmtId="0" fontId="17" fillId="0" borderId="1" xfId="0" applyFont="1" applyBorder="1" applyAlignment="1">
      <alignment horizontal="centerContinuous"/>
    </xf>
    <xf numFmtId="0" fontId="17" fillId="0" borderId="2" xfId="0" applyFont="1" applyBorder="1" applyAlignment="1">
      <alignment horizontal="centerContinuous" vertical="center"/>
    </xf>
    <xf numFmtId="0" fontId="24" fillId="0" borderId="2" xfId="0" applyFont="1" applyBorder="1" applyAlignment="1">
      <alignment horizontal="centerContinuous"/>
    </xf>
    <xf numFmtId="0" fontId="17" fillId="0" borderId="2" xfId="2" applyFont="1" applyBorder="1" applyAlignment="1">
      <alignment horizontal="centerContinuous" vertical="center"/>
    </xf>
    <xf numFmtId="170" fontId="17" fillId="2" borderId="1" xfId="0" applyNumberFormat="1" applyFont="1" applyFill="1" applyBorder="1" applyAlignment="1">
      <alignment vertical="center"/>
    </xf>
    <xf numFmtId="0" fontId="17" fillId="0" borderId="2" xfId="0" applyFont="1" applyBorder="1" applyAlignment="1">
      <alignment horizontal="center" vertical="center"/>
    </xf>
    <xf numFmtId="9" fontId="17" fillId="0" borderId="2" xfId="3" applyFont="1" applyBorder="1" applyAlignment="1">
      <alignment horizontal="right" vertical="center"/>
    </xf>
    <xf numFmtId="166" fontId="17" fillId="0" borderId="2" xfId="3" applyNumberFormat="1" applyFont="1" applyBorder="1" applyAlignment="1">
      <alignment horizontal="right" vertical="center"/>
    </xf>
    <xf numFmtId="170" fontId="17" fillId="0" borderId="1" xfId="0" applyNumberFormat="1" applyFont="1" applyBorder="1" applyAlignment="1">
      <alignment vertical="center"/>
    </xf>
    <xf numFmtId="0" fontId="17" fillId="0" borderId="3" xfId="0" applyFont="1" applyBorder="1" applyAlignment="1">
      <alignment horizontal="centerContinuous" vertical="center"/>
    </xf>
    <xf numFmtId="0" fontId="24" fillId="0" borderId="3" xfId="0" applyFont="1" applyBorder="1" applyAlignment="1">
      <alignment horizontal="centerContinuous" vertical="center"/>
    </xf>
    <xf numFmtId="0" fontId="17" fillId="0" borderId="3" xfId="2" applyFont="1" applyBorder="1" applyAlignment="1">
      <alignment horizontal="centerContinuous" vertical="center"/>
    </xf>
    <xf numFmtId="170" fontId="17" fillId="2" borderId="11" xfId="0" applyNumberFormat="1" applyFont="1" applyFill="1" applyBorder="1" applyAlignment="1">
      <alignment vertical="center"/>
    </xf>
    <xf numFmtId="0" fontId="17" fillId="0" borderId="3" xfId="0" applyFont="1" applyBorder="1" applyAlignment="1">
      <alignment horizontal="center" vertical="center"/>
    </xf>
    <xf numFmtId="166" fontId="17" fillId="0" borderId="3" xfId="3" applyNumberFormat="1" applyFont="1" applyBorder="1" applyAlignment="1">
      <alignment horizontal="right" vertical="center"/>
    </xf>
    <xf numFmtId="0" fontId="17" fillId="0" borderId="18" xfId="0" applyFont="1" applyBorder="1" applyAlignment="1">
      <alignment horizontal="centerContinuous" vertical="center"/>
    </xf>
    <xf numFmtId="0" fontId="17" fillId="0" borderId="19" xfId="0" applyFont="1" applyBorder="1" applyAlignment="1">
      <alignment horizontal="centerContinuous" vertical="center"/>
    </xf>
    <xf numFmtId="0" fontId="24" fillId="0" borderId="19" xfId="0" applyFont="1" applyBorder="1" applyAlignment="1">
      <alignment horizontal="centerContinuous" vertical="center"/>
    </xf>
    <xf numFmtId="0" fontId="17" fillId="0" borderId="28" xfId="2" applyFont="1" applyBorder="1" applyAlignment="1">
      <alignment horizontal="centerContinuous" vertical="center"/>
    </xf>
    <xf numFmtId="170" fontId="17" fillId="0" borderId="28" xfId="0" applyNumberFormat="1" applyFont="1" applyFill="1" applyBorder="1" applyAlignment="1">
      <alignment vertical="center"/>
    </xf>
    <xf numFmtId="0" fontId="17" fillId="0" borderId="25" xfId="0" applyFont="1" applyBorder="1" applyAlignment="1">
      <alignment horizontal="center" vertical="center"/>
    </xf>
    <xf numFmtId="166" fontId="17" fillId="0" borderId="25" xfId="3" applyNumberFormat="1" applyFont="1" applyFill="1" applyBorder="1" applyAlignment="1">
      <alignment horizontal="right" vertical="center"/>
    </xf>
    <xf numFmtId="0" fontId="17" fillId="0" borderId="0" xfId="0" applyFont="1" applyBorder="1" applyAlignment="1">
      <alignment horizontal="centerContinuous" vertical="center"/>
    </xf>
    <xf numFmtId="170" fontId="17" fillId="0" borderId="0" xfId="0" applyNumberFormat="1" applyFont="1" applyFill="1" applyBorder="1" applyAlignment="1">
      <alignment horizontal="centerContinuous" vertical="center"/>
    </xf>
    <xf numFmtId="170" fontId="17" fillId="0" borderId="0" xfId="2" applyNumberFormat="1" applyFont="1" applyAlignment="1">
      <alignment vertical="center"/>
    </xf>
    <xf numFmtId="43" fontId="17" fillId="0" borderId="0" xfId="2" applyNumberFormat="1" applyFont="1" applyAlignment="1">
      <alignment vertical="center"/>
    </xf>
    <xf numFmtId="0" fontId="17" fillId="0" borderId="0" xfId="2" applyFont="1" applyFill="1" applyAlignment="1">
      <alignment vertical="center"/>
    </xf>
    <xf numFmtId="0" fontId="17" fillId="0" borderId="9" xfId="2" applyFont="1" applyBorder="1" applyAlignment="1">
      <alignment horizontal="centerContinuous" vertical="center"/>
    </xf>
    <xf numFmtId="0" fontId="17" fillId="0" borderId="23" xfId="2" applyFont="1" applyBorder="1" applyAlignment="1">
      <alignment horizontal="centerContinuous" vertical="center"/>
    </xf>
    <xf numFmtId="0" fontId="17" fillId="0" borderId="10" xfId="2" applyFont="1" applyBorder="1" applyAlignment="1">
      <alignment horizontal="centerContinuous" vertical="center"/>
    </xf>
    <xf numFmtId="0" fontId="17" fillId="0" borderId="1" xfId="2" applyFont="1" applyBorder="1" applyAlignment="1">
      <alignment horizontal="centerContinuous" vertical="center"/>
    </xf>
    <xf numFmtId="0" fontId="17" fillId="0" borderId="0" xfId="2" applyFont="1" applyBorder="1" applyAlignment="1">
      <alignment horizontal="centerContinuous" vertical="center"/>
    </xf>
    <xf numFmtId="0" fontId="5" fillId="0" borderId="0" xfId="2" applyAlignment="1">
      <alignment vertical="center" wrapText="1"/>
    </xf>
    <xf numFmtId="0" fontId="17" fillId="0" borderId="29" xfId="2" applyFont="1" applyBorder="1" applyAlignment="1">
      <alignment horizontal="center" wrapText="1"/>
    </xf>
    <xf numFmtId="0" fontId="17" fillId="0" borderId="30" xfId="2" applyFont="1" applyBorder="1" applyAlignment="1">
      <alignment horizontal="center" wrapText="1"/>
    </xf>
    <xf numFmtId="0" fontId="17" fillId="0" borderId="3" xfId="2" applyFont="1" applyBorder="1" applyAlignment="1">
      <alignment horizontal="center" vertical="top" wrapText="1"/>
    </xf>
    <xf numFmtId="0" fontId="17" fillId="0" borderId="11" xfId="2" applyFont="1" applyBorder="1" applyAlignment="1">
      <alignment horizontal="center" wrapText="1"/>
    </xf>
    <xf numFmtId="0" fontId="17" fillId="0" borderId="3" xfId="2" applyFont="1" applyBorder="1" applyAlignment="1">
      <alignment horizontal="center" wrapText="1"/>
    </xf>
    <xf numFmtId="0" fontId="17" fillId="0" borderId="0" xfId="2" applyFont="1" applyBorder="1" applyAlignment="1">
      <alignment horizontal="center" wrapText="1"/>
    </xf>
    <xf numFmtId="0" fontId="17" fillId="0" borderId="31" xfId="2" applyFont="1" applyBorder="1" applyAlignment="1">
      <alignment horizontal="center" vertical="top" wrapText="1"/>
    </xf>
    <xf numFmtId="0" fontId="17" fillId="0" borderId="26" xfId="2" applyFont="1" applyBorder="1" applyAlignment="1">
      <alignment horizontal="center" vertical="top" wrapText="1"/>
    </xf>
    <xf numFmtId="0" fontId="17" fillId="0" borderId="32" xfId="2" applyFont="1" applyBorder="1" applyAlignment="1">
      <alignment horizontal="center" vertical="top" wrapText="1"/>
    </xf>
    <xf numFmtId="0" fontId="17" fillId="0" borderId="31" xfId="2" quotePrefix="1" applyFont="1" applyBorder="1" applyAlignment="1">
      <alignment horizontal="center" vertical="top" wrapText="1"/>
    </xf>
    <xf numFmtId="0" fontId="17" fillId="0" borderId="0" xfId="2" applyFont="1" applyBorder="1" applyAlignment="1">
      <alignment horizontal="center" vertical="top" wrapText="1"/>
    </xf>
    <xf numFmtId="40" fontId="5" fillId="0" borderId="0" xfId="2" applyNumberFormat="1" applyAlignment="1">
      <alignment vertical="center" wrapText="1"/>
    </xf>
    <xf numFmtId="0" fontId="17" fillId="0" borderId="30" xfId="2" applyFont="1" applyBorder="1" applyAlignment="1">
      <alignment horizontal="center" vertical="top"/>
    </xf>
    <xf numFmtId="0" fontId="17" fillId="0" borderId="33" xfId="2" applyFont="1" applyBorder="1" applyAlignment="1">
      <alignment horizontal="center" vertical="top"/>
    </xf>
    <xf numFmtId="0" fontId="17" fillId="0" borderId="34" xfId="2" applyFont="1" applyBorder="1" applyAlignment="1">
      <alignment horizontal="center" vertical="top"/>
    </xf>
    <xf numFmtId="0" fontId="17" fillId="0" borderId="29" xfId="2" applyFont="1" applyBorder="1" applyAlignment="1">
      <alignment horizontal="center" vertical="top"/>
    </xf>
    <xf numFmtId="0" fontId="17" fillId="0" borderId="34" xfId="2" quotePrefix="1" applyFont="1" applyBorder="1" applyAlignment="1">
      <alignment horizontal="center" vertical="top"/>
    </xf>
    <xf numFmtId="0" fontId="17" fillId="0" borderId="0" xfId="2" applyFont="1" applyBorder="1" applyAlignment="1">
      <alignment horizontal="center" vertical="top"/>
    </xf>
    <xf numFmtId="15" fontId="5" fillId="0" borderId="0" xfId="2" applyNumberFormat="1" applyAlignment="1">
      <alignment vertical="center"/>
    </xf>
    <xf numFmtId="170" fontId="25" fillId="2" borderId="3" xfId="6" applyNumberFormat="1" applyFont="1" applyFill="1" applyBorder="1" applyAlignment="1">
      <alignment vertical="center"/>
    </xf>
    <xf numFmtId="170" fontId="25" fillId="2" borderId="0" xfId="6" applyNumberFormat="1" applyFont="1" applyFill="1" applyBorder="1" applyAlignment="1">
      <alignment vertical="center"/>
    </xf>
    <xf numFmtId="170" fontId="25" fillId="2" borderId="30" xfId="6" applyNumberFormat="1" applyFont="1" applyFill="1" applyBorder="1" applyAlignment="1">
      <alignment vertical="center"/>
    </xf>
    <xf numFmtId="170" fontId="25" fillId="2" borderId="35" xfId="6" applyNumberFormat="1" applyFont="1" applyFill="1" applyBorder="1" applyAlignment="1">
      <alignment vertical="center"/>
    </xf>
    <xf numFmtId="164" fontId="25" fillId="2" borderId="3" xfId="6" applyNumberFormat="1" applyFont="1" applyFill="1" applyBorder="1" applyAlignment="1">
      <alignment vertical="center"/>
    </xf>
    <xf numFmtId="173" fontId="17" fillId="5" borderId="36" xfId="2" applyNumberFormat="1" applyFont="1" applyFill="1" applyBorder="1" applyAlignment="1">
      <alignment vertical="center"/>
    </xf>
    <xf numFmtId="173" fontId="17" fillId="5" borderId="37" xfId="2" applyNumberFormat="1" applyFont="1" applyFill="1" applyBorder="1" applyAlignment="1">
      <alignment vertical="center"/>
    </xf>
    <xf numFmtId="173" fontId="17" fillId="5" borderId="38" xfId="2" applyNumberFormat="1" applyFont="1" applyFill="1" applyBorder="1" applyAlignment="1">
      <alignment vertical="center"/>
    </xf>
    <xf numFmtId="164" fontId="25" fillId="0" borderId="29" xfId="6" applyNumberFormat="1" applyFont="1" applyBorder="1" applyAlignment="1">
      <alignment vertical="center"/>
    </xf>
    <xf numFmtId="164" fontId="25" fillId="0" borderId="37" xfId="6" applyNumberFormat="1" applyFont="1" applyBorder="1" applyAlignment="1">
      <alignment vertical="center"/>
    </xf>
    <xf numFmtId="164" fontId="25" fillId="0" borderId="0" xfId="6" applyNumberFormat="1" applyFont="1" applyBorder="1" applyAlignment="1">
      <alignment vertical="center"/>
    </xf>
    <xf numFmtId="174" fontId="25" fillId="0" borderId="0" xfId="6" applyNumberFormat="1" applyFont="1" applyBorder="1" applyAlignment="1">
      <alignment vertical="center"/>
    </xf>
    <xf numFmtId="171" fontId="5" fillId="0" borderId="0" xfId="2" applyNumberFormat="1" applyAlignment="1">
      <alignment vertical="center"/>
    </xf>
    <xf numFmtId="173" fontId="17" fillId="5" borderId="0" xfId="2" applyNumberFormat="1" applyFont="1" applyFill="1" applyBorder="1" applyAlignment="1">
      <alignment vertical="center"/>
    </xf>
    <xf numFmtId="170" fontId="25" fillId="2" borderId="29" xfId="6" applyNumberFormat="1" applyFont="1" applyFill="1" applyBorder="1" applyAlignment="1">
      <alignment vertical="center"/>
    </xf>
    <xf numFmtId="170" fontId="25" fillId="2" borderId="39" xfId="6" applyNumberFormat="1" applyFont="1" applyFill="1" applyBorder="1" applyAlignment="1">
      <alignment vertical="center"/>
    </xf>
    <xf numFmtId="164" fontId="25" fillId="2" borderId="29" xfId="6" applyNumberFormat="1" applyFont="1" applyFill="1" applyBorder="1" applyAlignment="1">
      <alignment vertical="center"/>
    </xf>
    <xf numFmtId="173" fontId="17" fillId="5" borderId="40" xfId="2" applyNumberFormat="1" applyFont="1" applyFill="1" applyBorder="1" applyAlignment="1">
      <alignment vertical="center"/>
    </xf>
    <xf numFmtId="173" fontId="17" fillId="5" borderId="29" xfId="2" applyNumberFormat="1" applyFont="1" applyFill="1" applyBorder="1" applyAlignment="1">
      <alignment vertical="center"/>
    </xf>
    <xf numFmtId="173" fontId="17" fillId="5" borderId="30" xfId="2" applyNumberFormat="1" applyFont="1" applyFill="1" applyBorder="1" applyAlignment="1">
      <alignment vertical="center"/>
    </xf>
    <xf numFmtId="164" fontId="25" fillId="5" borderId="29" xfId="6" applyNumberFormat="1" applyFont="1" applyFill="1" applyBorder="1" applyAlignment="1">
      <alignment vertical="center"/>
    </xf>
    <xf numFmtId="164" fontId="25" fillId="5" borderId="0" xfId="6" applyNumberFormat="1" applyFont="1" applyFill="1" applyBorder="1" applyAlignment="1">
      <alignment vertical="center"/>
    </xf>
    <xf numFmtId="170" fontId="25" fillId="2" borderId="31" xfId="6" applyNumberFormat="1" applyFont="1" applyFill="1" applyBorder="1" applyAlignment="1">
      <alignment vertical="center"/>
    </xf>
    <xf numFmtId="170" fontId="25" fillId="2" borderId="41" xfId="6" applyNumberFormat="1" applyFont="1" applyFill="1" applyBorder="1" applyAlignment="1">
      <alignment vertical="center"/>
    </xf>
    <xf numFmtId="170" fontId="25" fillId="2" borderId="33" xfId="6" applyNumberFormat="1" applyFont="1" applyFill="1" applyBorder="1" applyAlignment="1">
      <alignment vertical="center"/>
    </xf>
    <xf numFmtId="170" fontId="25" fillId="2" borderId="42" xfId="6" applyNumberFormat="1" applyFont="1" applyFill="1" applyBorder="1" applyAlignment="1">
      <alignment vertical="center"/>
    </xf>
    <xf numFmtId="170" fontId="25" fillId="2" borderId="22" xfId="6" applyNumberFormat="1" applyFont="1" applyFill="1" applyBorder="1" applyAlignment="1">
      <alignment vertical="center"/>
    </xf>
    <xf numFmtId="164" fontId="25" fillId="2" borderId="31" xfId="6" applyNumberFormat="1" applyFont="1" applyFill="1" applyBorder="1" applyAlignment="1">
      <alignment vertical="center"/>
    </xf>
    <xf numFmtId="173" fontId="17" fillId="5" borderId="41" xfId="2" applyNumberFormat="1" applyFont="1" applyFill="1" applyBorder="1" applyAlignment="1">
      <alignment vertical="center"/>
    </xf>
    <xf numFmtId="173" fontId="17" fillId="5" borderId="34" xfId="2" applyNumberFormat="1" applyFont="1" applyFill="1" applyBorder="1" applyAlignment="1">
      <alignment vertical="center"/>
    </xf>
    <xf numFmtId="173" fontId="17" fillId="5" borderId="33" xfId="2" applyNumberFormat="1" applyFont="1" applyFill="1" applyBorder="1" applyAlignment="1">
      <alignment vertical="center"/>
    </xf>
    <xf numFmtId="164" fontId="25" fillId="0" borderId="34" xfId="6" applyNumberFormat="1" applyFont="1" applyBorder="1" applyAlignment="1">
      <alignment vertical="center"/>
    </xf>
    <xf numFmtId="164" fontId="25" fillId="5" borderId="34" xfId="6" applyNumberFormat="1" applyFont="1" applyFill="1" applyBorder="1" applyAlignment="1">
      <alignment vertical="center"/>
    </xf>
    <xf numFmtId="164" fontId="25" fillId="0" borderId="27" xfId="6" applyNumberFormat="1" applyFont="1" applyBorder="1" applyAlignment="1">
      <alignment vertical="center"/>
    </xf>
    <xf numFmtId="170" fontId="17" fillId="0" borderId="31" xfId="2" applyNumberFormat="1" applyFont="1" applyBorder="1" applyAlignment="1">
      <alignment vertical="center"/>
    </xf>
    <xf numFmtId="173" fontId="17" fillId="5" borderId="31" xfId="2" applyNumberFormat="1" applyFont="1" applyFill="1" applyBorder="1" applyAlignment="1">
      <alignment vertical="center"/>
    </xf>
    <xf numFmtId="164" fontId="25" fillId="0" borderId="31" xfId="6" applyNumberFormat="1" applyFont="1" applyBorder="1" applyAlignment="1">
      <alignment vertical="center"/>
    </xf>
    <xf numFmtId="164" fontId="26" fillId="0" borderId="31" xfId="6" applyNumberFormat="1" applyFont="1" applyBorder="1" applyAlignment="1">
      <alignment vertical="center"/>
    </xf>
    <xf numFmtId="164" fontId="26" fillId="0" borderId="0" xfId="6" applyNumberFormat="1" applyFont="1" applyFill="1" applyBorder="1" applyAlignment="1">
      <alignment vertical="center"/>
    </xf>
    <xf numFmtId="174" fontId="5" fillId="0" borderId="0" xfId="2" applyNumberFormat="1" applyAlignment="1">
      <alignment vertical="center"/>
    </xf>
    <xf numFmtId="164" fontId="20" fillId="0" borderId="0" xfId="2" applyNumberFormat="1" applyFont="1" applyAlignment="1">
      <alignment vertical="center"/>
    </xf>
    <xf numFmtId="8" fontId="17" fillId="0" borderId="0" xfId="2" applyNumberFormat="1" applyFont="1" applyAlignment="1">
      <alignment vertical="center"/>
    </xf>
    <xf numFmtId="170" fontId="17" fillId="0" borderId="10" xfId="2" quotePrefix="1" applyNumberFormat="1" applyFont="1" applyBorder="1" applyAlignment="1">
      <alignment vertical="center"/>
    </xf>
    <xf numFmtId="170" fontId="17" fillId="0" borderId="10" xfId="2" applyNumberFormat="1" applyFont="1" applyBorder="1" applyAlignment="1">
      <alignment horizontal="right" vertical="center"/>
    </xf>
    <xf numFmtId="164" fontId="26" fillId="2" borderId="31" xfId="6" applyNumberFormat="1" applyFont="1" applyFill="1" applyBorder="1" applyAlignment="1">
      <alignment vertical="center"/>
    </xf>
    <xf numFmtId="174" fontId="26" fillId="0" borderId="31" xfId="6" applyNumberFormat="1" applyFont="1" applyBorder="1" applyAlignment="1">
      <alignment vertical="center"/>
    </xf>
    <xf numFmtId="164" fontId="26" fillId="0" borderId="0" xfId="6" applyNumberFormat="1" applyFont="1" applyBorder="1" applyAlignment="1">
      <alignment vertical="center"/>
    </xf>
    <xf numFmtId="164" fontId="5" fillId="0" borderId="0" xfId="2" applyNumberFormat="1" applyAlignment="1">
      <alignment vertical="center"/>
    </xf>
    <xf numFmtId="10" fontId="17" fillId="0" borderId="0" xfId="2" applyNumberFormat="1" applyFont="1" applyAlignment="1">
      <alignment vertical="center"/>
    </xf>
    <xf numFmtId="170" fontId="17" fillId="0" borderId="0" xfId="2" quotePrefix="1" applyNumberFormat="1" applyFont="1" applyBorder="1" applyAlignment="1">
      <alignment vertical="center"/>
    </xf>
    <xf numFmtId="170" fontId="17" fillId="0" borderId="0" xfId="2" applyNumberFormat="1" applyFont="1" applyBorder="1" applyAlignment="1">
      <alignment horizontal="right" vertical="center"/>
    </xf>
    <xf numFmtId="175" fontId="17" fillId="0" borderId="0" xfId="2" applyNumberFormat="1" applyFont="1" applyAlignment="1">
      <alignment vertical="center"/>
    </xf>
    <xf numFmtId="170" fontId="17" fillId="0" borderId="0" xfId="2" applyNumberFormat="1" applyFont="1" applyBorder="1" applyAlignment="1">
      <alignment vertical="center"/>
    </xf>
    <xf numFmtId="164" fontId="27" fillId="2" borderId="31" xfId="6" applyNumberFormat="1" applyFont="1" applyFill="1" applyBorder="1" applyAlignment="1">
      <alignment vertical="center"/>
    </xf>
    <xf numFmtId="164" fontId="27" fillId="0" borderId="0" xfId="6" applyNumberFormat="1" applyFont="1" applyFill="1" applyBorder="1" applyAlignment="1">
      <alignment vertical="center"/>
    </xf>
    <xf numFmtId="0" fontId="20" fillId="0" borderId="0" xfId="2" applyFont="1" applyAlignment="1">
      <alignment vertical="center"/>
    </xf>
    <xf numFmtId="0" fontId="16" fillId="0" borderId="0" xfId="0" applyFont="1" applyFill="1"/>
    <xf numFmtId="0" fontId="0" fillId="0" borderId="0" xfId="0" applyFill="1"/>
    <xf numFmtId="175" fontId="0" fillId="0" borderId="0" xfId="0" applyNumberFormat="1" applyFill="1" applyAlignment="1">
      <alignment wrapText="1"/>
    </xf>
    <xf numFmtId="40" fontId="0" fillId="0" borderId="0" xfId="0" applyNumberFormat="1" applyFill="1"/>
    <xf numFmtId="40" fontId="5" fillId="0" borderId="0" xfId="2" applyNumberFormat="1" applyFill="1" applyAlignment="1">
      <alignment vertical="center"/>
    </xf>
    <xf numFmtId="8" fontId="0" fillId="0" borderId="0" xfId="0" applyNumberFormat="1" applyFill="1"/>
    <xf numFmtId="40" fontId="27" fillId="0" borderId="0" xfId="6" applyNumberFormat="1" applyFont="1" applyFill="1" applyBorder="1" applyAlignment="1">
      <alignment vertical="center"/>
    </xf>
    <xf numFmtId="15" fontId="5" fillId="0" borderId="0" xfId="2" applyNumberFormat="1" applyFill="1" applyAlignment="1">
      <alignment vertical="center"/>
    </xf>
    <xf numFmtId="44" fontId="19" fillId="0" borderId="0" xfId="1" applyFont="1" applyFill="1" applyBorder="1" applyAlignment="1">
      <alignment vertical="center"/>
    </xf>
    <xf numFmtId="0" fontId="28" fillId="0" borderId="0" xfId="0" quotePrefix="1" applyFont="1" applyAlignment="1">
      <alignment vertical="center"/>
    </xf>
    <xf numFmtId="170" fontId="20" fillId="0" borderId="0" xfId="5" applyNumberFormat="1" applyFont="1" applyAlignment="1">
      <alignment vertical="center"/>
    </xf>
    <xf numFmtId="0" fontId="29" fillId="0" borderId="0" xfId="0" applyFont="1" applyAlignment="1">
      <alignment horizontal="center" vertical="center"/>
    </xf>
    <xf numFmtId="0" fontId="0" fillId="0" borderId="0" xfId="0" applyAlignment="1">
      <alignment horizontal="center"/>
    </xf>
    <xf numFmtId="0" fontId="30" fillId="6" borderId="43" xfId="0" applyFont="1" applyFill="1" applyBorder="1" applyAlignment="1">
      <alignment horizontal="center" vertical="top" wrapText="1"/>
    </xf>
    <xf numFmtId="40" fontId="0" fillId="0" borderId="0" xfId="0" applyNumberFormat="1" applyAlignment="1">
      <alignment horizontal="center"/>
    </xf>
    <xf numFmtId="0" fontId="30" fillId="0" borderId="44" xfId="0" applyFont="1" applyBorder="1" applyAlignment="1">
      <alignment horizontal="center" vertical="top" wrapText="1"/>
    </xf>
    <xf numFmtId="40" fontId="30" fillId="0" borderId="44" xfId="0" applyNumberFormat="1" applyFont="1" applyBorder="1" applyAlignment="1">
      <alignment horizontal="center" vertical="top" wrapText="1"/>
    </xf>
    <xf numFmtId="40" fontId="30" fillId="6" borderId="43" xfId="0" applyNumberFormat="1" applyFont="1" applyFill="1" applyBorder="1" applyAlignment="1">
      <alignment horizontal="center" vertical="top" wrapText="1"/>
    </xf>
    <xf numFmtId="4" fontId="30" fillId="6" borderId="43" xfId="0" applyNumberFormat="1" applyFont="1" applyFill="1" applyBorder="1" applyAlignment="1">
      <alignment horizontal="center" vertical="top" wrapText="1"/>
    </xf>
    <xf numFmtId="0" fontId="5" fillId="0" borderId="0" xfId="2"/>
    <xf numFmtId="0" fontId="5" fillId="0" borderId="0" xfId="2" applyFill="1"/>
    <xf numFmtId="40" fontId="5" fillId="0" borderId="0" xfId="2" applyNumberFormat="1"/>
    <xf numFmtId="0" fontId="31" fillId="0" borderId="2" xfId="0" applyFont="1" applyFill="1" applyBorder="1" applyAlignment="1">
      <alignment wrapText="1"/>
    </xf>
    <xf numFmtId="4" fontId="0" fillId="0" borderId="2" xfId="0" applyNumberFormat="1" applyFill="1" applyBorder="1" applyAlignment="1">
      <alignment wrapText="1"/>
    </xf>
    <xf numFmtId="176" fontId="16" fillId="0" borderId="2" xfId="0" applyNumberFormat="1" applyFont="1" applyFill="1" applyBorder="1" applyAlignment="1">
      <alignment wrapText="1"/>
    </xf>
    <xf numFmtId="176" fontId="5" fillId="0" borderId="2" xfId="0" applyNumberFormat="1" applyFont="1" applyFill="1" applyBorder="1" applyAlignment="1">
      <alignment wrapText="1"/>
    </xf>
    <xf numFmtId="175" fontId="5" fillId="0" borderId="2" xfId="0" applyNumberFormat="1" applyFont="1" applyFill="1" applyBorder="1" applyAlignment="1">
      <alignment wrapText="1"/>
    </xf>
    <xf numFmtId="175" fontId="31" fillId="0" borderId="2" xfId="0" applyNumberFormat="1" applyFont="1" applyFill="1" applyBorder="1" applyAlignment="1">
      <alignment wrapText="1"/>
    </xf>
    <xf numFmtId="0" fontId="5" fillId="0" borderId="2" xfId="0" applyFont="1" applyFill="1" applyBorder="1"/>
    <xf numFmtId="4" fontId="0" fillId="0" borderId="2" xfId="0" applyNumberFormat="1" applyFill="1" applyBorder="1"/>
    <xf numFmtId="176" fontId="32" fillId="0" borderId="2" xfId="0" applyNumberFormat="1" applyFont="1" applyFill="1" applyBorder="1" applyAlignment="1">
      <alignment wrapText="1"/>
    </xf>
    <xf numFmtId="175" fontId="0" fillId="0" borderId="2" xfId="0" applyNumberFormat="1" applyFill="1" applyBorder="1"/>
    <xf numFmtId="4" fontId="20" fillId="7" borderId="2" xfId="0" applyNumberFormat="1" applyFont="1" applyFill="1" applyBorder="1"/>
    <xf numFmtId="176" fontId="33" fillId="0" borderId="2" xfId="0" applyNumberFormat="1" applyFont="1" applyFill="1" applyBorder="1" applyAlignment="1">
      <alignment wrapText="1"/>
    </xf>
    <xf numFmtId="4" fontId="0" fillId="0" borderId="0" xfId="0" applyNumberFormat="1" applyFill="1"/>
    <xf numFmtId="176" fontId="33" fillId="0" borderId="0" xfId="0" applyNumberFormat="1" applyFont="1" applyFill="1" applyBorder="1" applyAlignment="1">
      <alignment wrapText="1"/>
    </xf>
    <xf numFmtId="175" fontId="0" fillId="0" borderId="0" xfId="0" applyNumberFormat="1" applyFill="1"/>
    <xf numFmtId="175" fontId="5" fillId="0" borderId="0" xfId="0" applyNumberFormat="1" applyFont="1" applyFill="1"/>
    <xf numFmtId="175" fontId="16" fillId="0" borderId="42" xfId="0" applyNumberFormat="1" applyFont="1" applyFill="1" applyBorder="1"/>
    <xf numFmtId="0" fontId="5" fillId="0" borderId="0" xfId="0" applyFont="1"/>
    <xf numFmtId="175" fontId="0" fillId="7" borderId="0" xfId="0" applyNumberFormat="1" applyFill="1"/>
    <xf numFmtId="0" fontId="35" fillId="0" borderId="0" xfId="0" applyFont="1"/>
    <xf numFmtId="0" fontId="36" fillId="0" borderId="2" xfId="0" applyFont="1" applyBorder="1" applyAlignment="1">
      <alignment horizontal="center" vertical="center" wrapText="1"/>
    </xf>
    <xf numFmtId="0" fontId="37" fillId="7" borderId="0" xfId="7" applyFill="1"/>
    <xf numFmtId="0" fontId="35" fillId="7" borderId="0" xfId="0" applyFont="1" applyFill="1"/>
    <xf numFmtId="17" fontId="35" fillId="0" borderId="2" xfId="0" applyNumberFormat="1" applyFont="1" applyBorder="1"/>
    <xf numFmtId="168" fontId="35" fillId="0" borderId="2" xfId="0" applyNumberFormat="1" applyFont="1" applyBorder="1"/>
    <xf numFmtId="0" fontId="36" fillId="0" borderId="2" xfId="0" applyFont="1" applyBorder="1" applyAlignment="1">
      <alignment horizontal="center" wrapText="1"/>
    </xf>
    <xf numFmtId="44" fontId="35" fillId="0" borderId="2" xfId="1" applyFont="1" applyBorder="1"/>
    <xf numFmtId="0" fontId="35" fillId="0" borderId="2" xfId="0" applyFont="1" applyBorder="1"/>
    <xf numFmtId="44" fontId="35" fillId="0" borderId="2" xfId="0" applyNumberFormat="1" applyFont="1" applyBorder="1"/>
    <xf numFmtId="8" fontId="35" fillId="0" borderId="2" xfId="0" applyNumberFormat="1" applyFont="1" applyBorder="1"/>
    <xf numFmtId="43" fontId="35" fillId="0" borderId="2" xfId="5" applyFont="1" applyBorder="1"/>
    <xf numFmtId="168" fontId="35" fillId="0" borderId="0" xfId="0" applyNumberFormat="1" applyFont="1"/>
    <xf numFmtId="44" fontId="35" fillId="0" borderId="0" xfId="0" applyNumberFormat="1" applyFont="1"/>
    <xf numFmtId="17" fontId="35" fillId="8" borderId="2" xfId="0" applyNumberFormat="1" applyFont="1" applyFill="1" applyBorder="1"/>
    <xf numFmtId="44" fontId="35" fillId="8" borderId="2" xfId="1" applyFont="1" applyFill="1" applyBorder="1"/>
    <xf numFmtId="44" fontId="35" fillId="8" borderId="2" xfId="0" applyNumberFormat="1" applyFont="1" applyFill="1" applyBorder="1"/>
    <xf numFmtId="8" fontId="35" fillId="8" borderId="2" xfId="0" applyNumberFormat="1" applyFont="1" applyFill="1" applyBorder="1"/>
    <xf numFmtId="43" fontId="35" fillId="8" borderId="2" xfId="5" applyFont="1" applyFill="1" applyBorder="1"/>
    <xf numFmtId="168" fontId="35" fillId="8" borderId="2" xfId="0" applyNumberFormat="1" applyFont="1" applyFill="1" applyBorder="1"/>
    <xf numFmtId="8" fontId="35" fillId="0" borderId="0" xfId="0" applyNumberFormat="1" applyFont="1"/>
    <xf numFmtId="0" fontId="36" fillId="2" borderId="2" xfId="0" applyFont="1" applyFill="1" applyBorder="1" applyAlignment="1">
      <alignment horizontal="center" vertical="center" wrapText="1"/>
    </xf>
    <xf numFmtId="0" fontId="36" fillId="2" borderId="2" xfId="0" applyFont="1" applyFill="1" applyBorder="1" applyAlignment="1">
      <alignment horizontal="center"/>
    </xf>
    <xf numFmtId="0" fontId="35" fillId="0" borderId="0" xfId="0" applyFont="1" applyAlignment="1">
      <alignment wrapText="1"/>
    </xf>
    <xf numFmtId="44" fontId="36" fillId="0" borderId="0" xfId="0" applyNumberFormat="1" applyFont="1"/>
    <xf numFmtId="44" fontId="35" fillId="0" borderId="27" xfId="0" applyNumberFormat="1" applyFont="1" applyBorder="1"/>
    <xf numFmtId="44" fontId="35" fillId="7" borderId="0" xfId="0" applyNumberFormat="1" applyFont="1" applyFill="1"/>
    <xf numFmtId="8" fontId="35" fillId="0" borderId="27" xfId="0" applyNumberFormat="1" applyFont="1" applyBorder="1"/>
    <xf numFmtId="0" fontId="7" fillId="2" borderId="2" xfId="0" applyFont="1" applyFill="1" applyBorder="1" applyAlignment="1">
      <alignment wrapText="1"/>
    </xf>
    <xf numFmtId="44" fontId="2" fillId="2" borderId="2" xfId="1" applyNumberFormat="1" applyFont="1" applyFill="1" applyBorder="1"/>
    <xf numFmtId="44" fontId="2" fillId="2" borderId="2" xfId="1" applyNumberFormat="1" applyFont="1" applyFill="1" applyBorder="1" applyAlignment="1">
      <alignment horizontal="center"/>
    </xf>
    <xf numFmtId="177" fontId="2" fillId="0" borderId="0" xfId="0" applyNumberFormat="1" applyFont="1"/>
    <xf numFmtId="10" fontId="2" fillId="0" borderId="0" xfId="0" applyNumberFormat="1" applyFont="1"/>
    <xf numFmtId="3" fontId="0" fillId="0" borderId="0" xfId="0" applyNumberFormat="1"/>
    <xf numFmtId="165" fontId="0" fillId="0" borderId="0" xfId="0" applyNumberFormat="1"/>
    <xf numFmtId="40" fontId="0" fillId="0" borderId="0" xfId="0" applyNumberFormat="1"/>
    <xf numFmtId="178" fontId="0" fillId="0" borderId="0" xfId="0" applyNumberFormat="1"/>
    <xf numFmtId="0" fontId="2" fillId="7" borderId="2" xfId="0" applyFont="1" applyFill="1" applyBorder="1" applyAlignment="1">
      <alignment horizontal="center"/>
    </xf>
    <xf numFmtId="167" fontId="2" fillId="7" borderId="2" xfId="1" applyNumberFormat="1" applyFont="1" applyFill="1" applyBorder="1"/>
    <xf numFmtId="167" fontId="2" fillId="7" borderId="2" xfId="1" applyNumberFormat="1" applyFont="1" applyFill="1" applyBorder="1" applyAlignment="1">
      <alignment horizontal="center"/>
    </xf>
    <xf numFmtId="0" fontId="2" fillId="7" borderId="9" xfId="0" applyFont="1" applyFill="1" applyBorder="1" applyAlignment="1">
      <alignment horizontal="center"/>
    </xf>
    <xf numFmtId="0" fontId="7" fillId="0" borderId="0" xfId="0" applyFont="1" applyAlignment="1">
      <alignment wrapText="1"/>
    </xf>
    <xf numFmtId="0" fontId="6" fillId="0" borderId="0" xfId="0" applyFont="1" applyFill="1" applyBorder="1" applyAlignment="1">
      <alignment horizontal="left" vertical="center" wrapText="1"/>
    </xf>
    <xf numFmtId="0" fontId="8" fillId="0" borderId="0" xfId="0" applyFont="1" applyBorder="1" applyAlignment="1">
      <alignment vertical="center" wrapText="1"/>
    </xf>
    <xf numFmtId="0" fontId="7" fillId="0" borderId="2" xfId="0" applyFont="1" applyBorder="1" applyAlignment="1">
      <alignment horizontal="left" vertical="center" wrapText="1"/>
    </xf>
    <xf numFmtId="0" fontId="2" fillId="0" borderId="0" xfId="0" applyFont="1" applyAlignment="1">
      <alignment wrapText="1"/>
    </xf>
    <xf numFmtId="0" fontId="4" fillId="0" borderId="0" xfId="0" applyFont="1" applyAlignment="1">
      <alignment wrapText="1"/>
    </xf>
    <xf numFmtId="0" fontId="8" fillId="0" borderId="0" xfId="0" applyFont="1" applyAlignment="1">
      <alignment wrapText="1"/>
    </xf>
    <xf numFmtId="0" fontId="2" fillId="0" borderId="7" xfId="0" applyFont="1" applyBorder="1" applyAlignment="1">
      <alignment wrapText="1"/>
    </xf>
    <xf numFmtId="0" fontId="38" fillId="0" borderId="0" xfId="0" applyFont="1" applyAlignment="1">
      <alignment wrapText="1"/>
    </xf>
    <xf numFmtId="0" fontId="6" fillId="0" borderId="0" xfId="0" applyFont="1" applyBorder="1" applyAlignment="1">
      <alignment wrapText="1"/>
    </xf>
    <xf numFmtId="0" fontId="8" fillId="0" borderId="0" xfId="0" applyFont="1" applyBorder="1" applyAlignment="1">
      <alignment wrapText="1"/>
    </xf>
    <xf numFmtId="0" fontId="13" fillId="0" borderId="0" xfId="0" applyFont="1" applyBorder="1" applyAlignment="1">
      <alignment wrapText="1"/>
    </xf>
    <xf numFmtId="0" fontId="7" fillId="2" borderId="2" xfId="0" applyFont="1" applyFill="1" applyBorder="1" applyAlignment="1">
      <alignment horizontal="left" wrapText="1"/>
    </xf>
    <xf numFmtId="0" fontId="6" fillId="0" borderId="2" xfId="0" applyFont="1" applyBorder="1" applyAlignment="1">
      <alignment wrapText="1"/>
    </xf>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2" xfId="0" applyFont="1" applyFill="1" applyBorder="1" applyAlignment="1">
      <alignment horizontal="center"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xf numFmtId="0" fontId="2" fillId="2" borderId="9" xfId="0" applyFont="1" applyFill="1" applyBorder="1" applyAlignment="1">
      <alignment horizontal="left" wrapText="1"/>
    </xf>
    <xf numFmtId="0" fontId="0" fillId="0" borderId="23" xfId="0" applyBorder="1" applyAlignment="1">
      <alignment horizontal="left" wrapText="1"/>
    </xf>
    <xf numFmtId="0" fontId="0" fillId="0" borderId="1" xfId="0"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0" fillId="0" borderId="0" xfId="0" applyAlignment="1">
      <alignment wrapText="1"/>
    </xf>
    <xf numFmtId="0" fontId="0" fillId="0" borderId="0" xfId="0" applyAlignment="1">
      <alignment horizontal="left" vertical="top" wrapText="1"/>
    </xf>
    <xf numFmtId="0" fontId="38" fillId="0" borderId="0" xfId="0" applyFont="1" applyAlignment="1">
      <alignment wrapText="1"/>
    </xf>
    <xf numFmtId="0" fontId="20" fillId="0" borderId="0" xfId="2" applyFont="1" applyAlignment="1">
      <alignment horizontal="center" vertical="center"/>
    </xf>
    <xf numFmtId="0" fontId="34" fillId="3" borderId="2" xfId="0" applyFont="1" applyFill="1" applyBorder="1" applyAlignment="1">
      <alignment horizontal="center" vertical="center" wrapText="1"/>
    </xf>
    <xf numFmtId="0" fontId="36" fillId="0" borderId="3" xfId="0" applyFont="1" applyBorder="1" applyAlignment="1">
      <alignment horizontal="center" vertical="center"/>
    </xf>
    <xf numFmtId="0" fontId="36" fillId="0" borderId="31" xfId="0" applyFont="1" applyBorder="1" applyAlignment="1">
      <alignment horizontal="center" vertical="center"/>
    </xf>
    <xf numFmtId="0" fontId="34" fillId="3" borderId="2" xfId="0" applyFont="1" applyFill="1" applyBorder="1" applyAlignment="1">
      <alignment horizontal="center"/>
    </xf>
    <xf numFmtId="0" fontId="36" fillId="2" borderId="2" xfId="0" applyFont="1" applyFill="1" applyBorder="1" applyAlignment="1">
      <alignment horizontal="center" vertical="center"/>
    </xf>
  </cellXfs>
  <cellStyles count="8">
    <cellStyle name="Comma" xfId="5" builtinId="3"/>
    <cellStyle name="Comma 2" xfId="6"/>
    <cellStyle name="Currency" xfId="1" builtinId="4"/>
    <cellStyle name="Hyperlink" xfId="7" builtinId="8"/>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63" Type="http://schemas.openxmlformats.org/officeDocument/2006/relationships/externalLink" Target="externalLinks/externalLink55.xml"/><Relationship Id="rId68" Type="http://schemas.openxmlformats.org/officeDocument/2006/relationships/externalLink" Target="externalLinks/externalLink60.xml"/><Relationship Id="rId76" Type="http://schemas.openxmlformats.org/officeDocument/2006/relationships/externalLink" Target="externalLinks/externalLink68.xml"/><Relationship Id="rId84"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63.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externalLink" Target="externalLinks/externalLink45.xml"/><Relationship Id="rId58" Type="http://schemas.openxmlformats.org/officeDocument/2006/relationships/externalLink" Target="externalLinks/externalLink50.xml"/><Relationship Id="rId66" Type="http://schemas.openxmlformats.org/officeDocument/2006/relationships/externalLink" Target="externalLinks/externalLink58.xml"/><Relationship Id="rId74" Type="http://schemas.openxmlformats.org/officeDocument/2006/relationships/externalLink" Target="externalLinks/externalLink66.xml"/><Relationship Id="rId79" Type="http://schemas.openxmlformats.org/officeDocument/2006/relationships/externalLink" Target="externalLinks/externalLink71.xml"/><Relationship Id="rId5" Type="http://schemas.openxmlformats.org/officeDocument/2006/relationships/worksheet" Target="worksheets/sheet5.xml"/><Relationship Id="rId61" Type="http://schemas.openxmlformats.org/officeDocument/2006/relationships/externalLink" Target="externalLinks/externalLink53.xml"/><Relationship Id="rId82" Type="http://schemas.openxmlformats.org/officeDocument/2006/relationships/externalLink" Target="externalLinks/externalLink74.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56" Type="http://schemas.openxmlformats.org/officeDocument/2006/relationships/externalLink" Target="externalLinks/externalLink48.xml"/><Relationship Id="rId64" Type="http://schemas.openxmlformats.org/officeDocument/2006/relationships/externalLink" Target="externalLinks/externalLink56.xml"/><Relationship Id="rId69" Type="http://schemas.openxmlformats.org/officeDocument/2006/relationships/externalLink" Target="externalLinks/externalLink61.xml"/><Relationship Id="rId77" Type="http://schemas.openxmlformats.org/officeDocument/2006/relationships/externalLink" Target="externalLinks/externalLink69.xml"/><Relationship Id="rId8" Type="http://schemas.openxmlformats.org/officeDocument/2006/relationships/worksheet" Target="worksheets/sheet8.xml"/><Relationship Id="rId51" Type="http://schemas.openxmlformats.org/officeDocument/2006/relationships/externalLink" Target="externalLinks/externalLink43.xml"/><Relationship Id="rId72" Type="http://schemas.openxmlformats.org/officeDocument/2006/relationships/externalLink" Target="externalLinks/externalLink64.xml"/><Relationship Id="rId80" Type="http://schemas.openxmlformats.org/officeDocument/2006/relationships/externalLink" Target="externalLinks/externalLink72.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59" Type="http://schemas.openxmlformats.org/officeDocument/2006/relationships/externalLink" Target="externalLinks/externalLink51.xml"/><Relationship Id="rId67" Type="http://schemas.openxmlformats.org/officeDocument/2006/relationships/externalLink" Target="externalLinks/externalLink59.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54" Type="http://schemas.openxmlformats.org/officeDocument/2006/relationships/externalLink" Target="externalLinks/externalLink46.xml"/><Relationship Id="rId62" Type="http://schemas.openxmlformats.org/officeDocument/2006/relationships/externalLink" Target="externalLinks/externalLink54.xml"/><Relationship Id="rId70" Type="http://schemas.openxmlformats.org/officeDocument/2006/relationships/externalLink" Target="externalLinks/externalLink62.xml"/><Relationship Id="rId75" Type="http://schemas.openxmlformats.org/officeDocument/2006/relationships/externalLink" Target="externalLinks/externalLink67.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57" Type="http://schemas.openxmlformats.org/officeDocument/2006/relationships/externalLink" Target="externalLinks/externalLink49.xml"/><Relationship Id="rId10" Type="http://schemas.openxmlformats.org/officeDocument/2006/relationships/externalLink" Target="externalLinks/externalLink2.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externalLink" Target="externalLinks/externalLink44.xml"/><Relationship Id="rId60" Type="http://schemas.openxmlformats.org/officeDocument/2006/relationships/externalLink" Target="externalLinks/externalLink52.xml"/><Relationship Id="rId65" Type="http://schemas.openxmlformats.org/officeDocument/2006/relationships/externalLink" Target="externalLinks/externalLink57.xml"/><Relationship Id="rId73" Type="http://schemas.openxmlformats.org/officeDocument/2006/relationships/externalLink" Target="externalLinks/externalLink65.xml"/><Relationship Id="rId78" Type="http://schemas.openxmlformats.org/officeDocument/2006/relationships/externalLink" Target="externalLinks/externalLink70.xml"/><Relationship Id="rId81" Type="http://schemas.openxmlformats.org/officeDocument/2006/relationships/externalLink" Target="externalLinks/externalLink73.xml"/><Relationship Id="rId86"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xmlns=""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xmlns=""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xmlns=""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For billing cycles that span more than one load month, a weighted average Global Adjustment rate is used for billing. First estimate Global A djustment</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rate was used consistently for billing all non-RPP Class B customers.  For RPP accounts with retailer contract, the unbilled revenue was calculated based on historical weighted average GA rate; Please see Tab "5.UBR Retailer Contract"</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96</xdr:row>
      <xdr:rowOff>123825</xdr:rowOff>
    </xdr:from>
    <xdr:to>
      <xdr:col>8</xdr:col>
      <xdr:colOff>0</xdr:colOff>
      <xdr:row>108</xdr:row>
      <xdr:rowOff>0</xdr:rowOff>
    </xdr:to>
    <xdr:sp macro="" textlink="">
      <xdr:nvSpPr>
        <xdr:cNvPr id="3" name="TextBox 2">
          <a:extLst>
            <a:ext uri="{FF2B5EF4-FFF2-40B4-BE49-F238E27FC236}">
              <a16:creationId xmlns:a16="http://schemas.microsoft.com/office/drawing/2014/main" xmlns=""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Five additional tabs were created to better support the GA analysis: 1.Adjustments, 2. GA Detailed Analysis, 3.RPP True-up, 4.IESO Invoice Analysis, and 5.UBR Retailer Contract</a:t>
          </a: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xmlns=""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xmlns=""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xmlns=""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51</xdr:row>
      <xdr:rowOff>142875</xdr:rowOff>
    </xdr:from>
    <xdr:to>
      <xdr:col>12</xdr:col>
      <xdr:colOff>274320</xdr:colOff>
      <xdr:row>66</xdr:row>
      <xdr:rowOff>114300</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13049250"/>
          <a:ext cx="1115187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te%20Submissions/2018/Models/Guelph_GA%20Analysis%20Workform_2017081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2-2016-CIS%20Billed%20Revenue%20by%20Range%20grouped%20by%20rec%20code%20and%20rate%20components%20INCL_CAN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Rate%20Submissions/Regulatory%20Affairs/UBR/2016/2016%2002/Feb%202016%20vs%20Jan%202016%20Unbilled%20Revenu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3-2016-CIS%20Billed%20Revenue%20by%20Range%20grouped%20by%20rec%20code%20and%20rate%20components%20INCL_CANC.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Rate%20Submissions/Regulatory%20Affairs/UBR/2016/2016%2003/Mar%202016%20vs%20Feb%202016%20Unbilled%20Revenue.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4-2016-CIS%20Billed%20Revenue%20by%20Range%20grouped%20by%20rec%20code%20and%20rate%20components%20INCL_CAN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Rate%20Submissions/Regulatory%20Affairs/UBR/2016/2016%2004/Apr%202016%20vs%20Mar%202016%20Unbilled%20Revenue.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5-2016-CIS%20Billed%20Revenue%20by%20Range%20grouped%20by%20rec%20code%20and%20rate%20components%20INCL_CANC.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Rate%20Submissions/Regulatory%20Affairs/UBR/2016/2016%2005/May%202016%20vs%20Apr%202016%20Unbilled%20Revenu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6-2016-CIS%20Billed%20Revenue%20by%20Range%20grouped%20by%20rec%20code%20and%20rate%20components%20INCL_CANC.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Rate%20Submissions/Regulatory%20Affairs/UBR/2016/2016%2006/June%202016%20vs%20May%202016%20Unbilled%20Revenu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te%20Submissions/2018/Our%20Models/Class%20A%20transition%20Customers%202016.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7-2016-CIS%20Billed%20Revenue%20by%20Range%20grouped%20by%20rec%20code%20and%20rate%20components%20INCL_CANC.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Rate%20Submissions/Regulatory%20Affairs/UBR/2016/2016%2007/July%202016%20vs%20June%202016%20Unbilled%20Revenue.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8-2016-CIS%20Billed%20Revenue%20by%20Range%20grouped%20by%20rec%20code%20and%20rate%20components%20INCL_CANC.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Rate%20Submissions/Regulatory%20Affairs/UBR/2016/2016%2008/Aug%202016%20vs%20July%202016%20Unbilled%20Revenue.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9-2016-CIS%20Billed%20Revenue%20by%20Range%20grouped%20by%20rec%20code%20and%20rate%20components%20INCL_CANC.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Rate%20Submissions/Regulatory%20Affairs/UBR/2016/2016%2009/Sept%202016%20vs%20Aug%202016%20Unbilled%20Revenue.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10-2016-CIS%20Billed%20Revenue%20by%20Range%20grouped%20by%20rec%20code%20and%20rate%20components%20INCL_CANC.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Rate%20Submissions/Regulatory%20Affairs/UBR/2016/2016%2010/Oct%202016%20vs%20Sept%202016%20Unbilled%20Revenue.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11-2016-CIS%20Billed%20Revenue%20by%20Range%20grouped%20by%20rec%20code%20and%20rate%20components%20INCL_CANC.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Rate%20Submissions/Regulatory%20Affairs/UBR/2016/2016%2011/Nov%202016%20vs%20Oct%202016%20Unbilled%20Revenu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te%20Submissions/2018/Models/2018%20IRM%20Rate%20Generator%20Model%20-%20V1.0_20170814.xlsb"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12-2016-CIS%20Billed%20Revenue%20by%20Range%20grouped%20by%20rec%20code%20and%20rate%20components%20INCL_CAN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Rate%20Submissions/2018/GA%20Reasonableness%20Test/V2_GA%20Reasonable%20Test_Account%201589%20Global%20Adjustment%20Variance%20Account_20170607.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1/New%20OCEB%20_GHESI%2001%202015%20Input.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2/New%20OCEB%20_GHESI%2002%202015%20Input.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3/New%20OCEB%20_GHESI%2003%202015%20Input.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4/New%20OCEB%20_GHESI%2004%202015%20Input.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5/New%20OCEB%20_GHESI%2005%202015%20Input.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6/New%20OCEB%20_GHESI%2006%202015%20Input.xlsm"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7/New%20OCEB%20_GHESI%2007%202015%20Input.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8/New%20OCEB%20_GHESI%2008%202015%20Inpu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ate%20Submissions/Regulatory%20Affairs/UBR/UBR%20Test/2017%20Test/UBR%20vs.%20Billed%20Analysis_20170914.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9/New%20OCEB%20_GHESI%2009%202015%20Input.xlsm"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10/New%20OCEB%20_GHESI%2010%202015%20Input.xlsm"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11/New%20OCEB%20_GHESI%2011%202015%20Input.xlsm"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12/GHESI%2012%202015%20Input.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1/GHESI%2001%202016%20Input.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2/GHESI%2002%202016%20Input.xlsm"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3/GHESI%2003%202016%20Input.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4/GHESI%2004%202016%20Input.xlsm"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5/GHESI%2005%202016%20Input.xlsm"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6/GHESI%2006%202016%20Input.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ate%20Submissions/Regulatory%20Affairs/UBR/2015%2012/Nov%202015%20vs%20Dec%202015%20Unbilled%20Revenue.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7/GHESI%2007%202016%20Input.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8/GHESI%2008%202016%20Input.xlsm"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9/GHESI%2009%202016%20Input.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10/GHESI%2010%202016%20Input.xlsm"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11/GHESI%2011%202016%20Input.xlsm"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12/NEW%208%25%20Rebate_GHESI%2012%202016%20Input.xlsm"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IESO%20Statements/IESO%20Statements/GHESI/2016/Jan%202016_CNF-GUELPHHYDRO_ST-P-P_20160131_v1.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IESO%20Statements/IESO%20Statements/GHESI/2016/Feb%202016_CNF-GUELPHHYDRO_ST-P-P_20160229_v1.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IESO%20Statements/IESO%20Statements/GHESI/2016/March%202016_CNF-GUELPHHYDRO_ST-P-P_20160331_v1.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IESO%20Statements/IESO%20Statements/GHESI/2016/April%202016_CNF-GUELPHHYDRO_ST-P-P_20160430_v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ate%20Submissions/Regulatory%20Affairs/UBR/2016/2016%2012/Dec%202016%20vs%20Nov%202016%20Unbilled%20Revenue.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IESO%20Statements/IESO%20Statements/GHESI/2016/May%202016_CNF-GUELPHHYDRO_ST-P-P_20160531_v1.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IESO%20Statements/IESO%20Statements/GHESI/2016/June%202016_CNF-GUELPHHYDRO_ST-P-P_20160630_v1.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IESO%20Statements/IESO%20Statements/GHESI/2016/July%202016_CNF-GUELPHHYDRO_ST-P-P_20160731_v1.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IESO%20Statements/IESO%20Statements/GHESI/2016/Aug%202016_CNF-GUELPHHYDRO_ST-P-P_20160831_v1.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IESO%20Statements/IESO%20Statements/GHESI/2016/Sept%202016_CNF-GUELPHHYDRO_ST-P-P_20160930_v1.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IESO%20Statements/IESO%20Statements/GHESI/2016/Oct%202016_CNF-GUELPHHYDRO_ST-P-P_20161031_v1.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IESO%20Statements/IESO%20Statements/GHESI/2016/Nov%202016_CNF-GUELPHHYDRO_ST-P-P_20161130_v1.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IESO%20Statements/IESO%20Statements/GHESI/2016/Dec%202016_CNF-GUELPHHYDRO_ST-P-P_20161231_v1.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IESO%20Statements/IESO%20Statements/GHESI/2017/January%202017_CNF-GUELPHHYDRO_ST-P-P_20170131_v1.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IESO%20Statements/IESO%20Statements/GHESI/2017/February%202017_CNF-GUELPHHYDRO_ST-P-P_20170228_v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Rate%20Submissions/Regulatory%20Matters/OEB/2.1.5/2016/2.1.5.4%20Metered%20Consumption%202016_v2_retailers%20fixed.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IESO%20Statements/IESO%20Statements/GHESI/2017/March%202017_CNF-GUELPHHYDRO_ST-P-P_20170331_v1.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IESO%20Statements/IESO%20Statements/GHESI/2017/April%202017%20CNF-GUELPHHYDRO_ST-P-P_20170430_v1.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IESO%20Statements/IESO%20Statements/GHESI/2017/May%202017%20CNF-GUELPHHYDRO_ST-P-P_20170531.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IESO%20Statements/IESO%20Statements/GHESI/2017/June%202017%20CNF-GUELPHHYDRO_ST-P-P_20170630.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1722/Base%20period%20May%201%202015%20to%20April%2030%202016/Class%20A%20consumption%20July%202016-June%202017/Class%20A%20June%20201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1-2016-CIS%20Billed%20Revenue%20by%20Range%20grouped%20by%20rec%20code%20and%20rate%20components%20INCL_CAN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Rate%20Submissions/Regulatory%20Affairs/UBR/2016/2016%2001/Jan%202016%20vs%20Dec%202015%20Unbilled%20Reven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A Analysis"/>
      <sheetName val="1.Adjustments"/>
      <sheetName val="2.GA Detailed Analysis"/>
      <sheetName val="3.RPP True-up"/>
      <sheetName val="4.IESO Invoice Analysis"/>
      <sheetName val="5. UBR Retailer Contract"/>
    </sheetNames>
    <sheetDataSet>
      <sheetData sheetId="0"/>
      <sheetData sheetId="1">
        <row r="12">
          <cell r="D12">
            <v>499477250.51615453</v>
          </cell>
        </row>
        <row r="35">
          <cell r="C35">
            <v>58743140.229999997</v>
          </cell>
          <cell r="D35">
            <v>55645827.809999987</v>
          </cell>
          <cell r="E35">
            <v>48220273.359999992</v>
          </cell>
          <cell r="O35">
            <v>8.4229999999999999E-2</v>
          </cell>
        </row>
        <row r="36">
          <cell r="C36">
            <v>66960959.680000007</v>
          </cell>
          <cell r="D36">
            <v>48220273.359999992</v>
          </cell>
          <cell r="E36">
            <v>49525282.619999997</v>
          </cell>
          <cell r="O36">
            <v>0.10384</v>
          </cell>
        </row>
        <row r="37">
          <cell r="C37">
            <v>63947348.519999988</v>
          </cell>
          <cell r="D37">
            <v>49525282.619999997</v>
          </cell>
          <cell r="E37">
            <v>56319242.690000005</v>
          </cell>
          <cell r="O37">
            <v>9.0219999999999995E-2</v>
          </cell>
        </row>
        <row r="38">
          <cell r="C38">
            <v>61204250.079999991</v>
          </cell>
          <cell r="D38">
            <v>56319242.690000005</v>
          </cell>
          <cell r="E38">
            <v>51390282.439999998</v>
          </cell>
          <cell r="O38">
            <v>0.12114999999999999</v>
          </cell>
        </row>
        <row r="39">
          <cell r="C39">
            <v>63740323.479999997</v>
          </cell>
          <cell r="D39">
            <v>51390282.439999998</v>
          </cell>
          <cell r="E39">
            <v>52893171.68999999</v>
          </cell>
          <cell r="O39">
            <v>0.10405</v>
          </cell>
        </row>
        <row r="40">
          <cell r="C40">
            <v>63441195.579999983</v>
          </cell>
          <cell r="D40">
            <v>52893171.68999999</v>
          </cell>
          <cell r="E40">
            <v>52091310.640000001</v>
          </cell>
          <cell r="O40">
            <v>0.11650000000000001</v>
          </cell>
        </row>
        <row r="41">
          <cell r="C41">
            <v>58315662.649999984</v>
          </cell>
          <cell r="D41">
            <v>52091310.640000001</v>
          </cell>
          <cell r="E41">
            <v>55366136.819999993</v>
          </cell>
          <cell r="O41">
            <v>7.6670000000000002E-2</v>
          </cell>
        </row>
        <row r="42">
          <cell r="C42">
            <v>65694759.88000001</v>
          </cell>
          <cell r="D42">
            <v>55366136.819999993</v>
          </cell>
          <cell r="E42">
            <v>52839624.380000003</v>
          </cell>
          <cell r="O42">
            <v>8.5690000000000002E-2</v>
          </cell>
        </row>
        <row r="43">
          <cell r="C43">
            <v>66705999.039999999</v>
          </cell>
          <cell r="D43">
            <v>52839624.380000003</v>
          </cell>
          <cell r="E43">
            <v>56270547.780000001</v>
          </cell>
          <cell r="O43">
            <v>7.0599999999999996E-2</v>
          </cell>
        </row>
        <row r="44">
          <cell r="C44">
            <v>67194964.290000007</v>
          </cell>
          <cell r="D44">
            <v>56270547.780000001</v>
          </cell>
          <cell r="E44">
            <v>56697042.229999997</v>
          </cell>
          <cell r="O44">
            <v>9.7199999999999995E-2</v>
          </cell>
        </row>
        <row r="45">
          <cell r="C45">
            <v>64741531.880000003</v>
          </cell>
          <cell r="D45">
            <v>56697042.229999997</v>
          </cell>
          <cell r="E45">
            <v>52958002.010000013</v>
          </cell>
          <cell r="O45">
            <v>0.12271</v>
          </cell>
        </row>
        <row r="46">
          <cell r="C46">
            <v>63450204.320000008</v>
          </cell>
          <cell r="D46">
            <v>52958002.010000013</v>
          </cell>
          <cell r="E46">
            <v>57184248.389999993</v>
          </cell>
          <cell r="O46">
            <v>0.10594000000000001</v>
          </cell>
          <cell r="R46">
            <v>0.11462</v>
          </cell>
        </row>
      </sheetData>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5087">
          <cell r="H5087">
            <v>5939402.9900000012</v>
          </cell>
          <cell r="I5087">
            <v>66960959.680000007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K5">
            <v>668988.61</v>
          </cell>
        </row>
      </sheetData>
      <sheetData sheetId="1">
        <row r="244">
          <cell r="J244">
            <v>640.27</v>
          </cell>
        </row>
        <row r="245">
          <cell r="J245">
            <v>0</v>
          </cell>
        </row>
        <row r="246">
          <cell r="J246">
            <v>18688633.460000001</v>
          </cell>
        </row>
        <row r="247">
          <cell r="J247">
            <v>0</v>
          </cell>
        </row>
        <row r="248">
          <cell r="J248">
            <v>5690067.0700000003</v>
          </cell>
        </row>
        <row r="249">
          <cell r="J249">
            <v>0</v>
          </cell>
        </row>
        <row r="250">
          <cell r="J250">
            <v>19864521.279999997</v>
          </cell>
        </row>
        <row r="251">
          <cell r="J251">
            <v>0</v>
          </cell>
        </row>
        <row r="252">
          <cell r="J252">
            <v>26739845.690000001</v>
          </cell>
        </row>
        <row r="258">
          <cell r="D258">
            <v>252729.05</v>
          </cell>
          <cell r="E258">
            <v>2846986.5</v>
          </cell>
        </row>
        <row r="259">
          <cell r="D259">
            <v>6560.76</v>
          </cell>
          <cell r="E259">
            <v>73929.149999999994</v>
          </cell>
        </row>
        <row r="323">
          <cell r="L323">
            <v>624.05999999999995</v>
          </cell>
        </row>
        <row r="324">
          <cell r="L324">
            <v>16.21</v>
          </cell>
        </row>
        <row r="325">
          <cell r="L325">
            <v>18215266.190000001</v>
          </cell>
        </row>
        <row r="326">
          <cell r="L326">
            <v>-4.3600000000000003</v>
          </cell>
        </row>
        <row r="327">
          <cell r="L327">
            <v>473371.63</v>
          </cell>
        </row>
        <row r="328">
          <cell r="L328">
            <v>5545885.25</v>
          </cell>
        </row>
        <row r="329">
          <cell r="L329">
            <v>144181.82</v>
          </cell>
        </row>
      </sheetData>
      <sheetData sheetId="2">
        <row r="5">
          <cell r="D5">
            <v>5416.17</v>
          </cell>
        </row>
      </sheetData>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986">
          <cell r="H4986">
            <v>6488540.7300000014</v>
          </cell>
          <cell r="I4986">
            <v>63947348.519999988</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758426.70000000019</v>
          </cell>
        </row>
      </sheetData>
      <sheetData sheetId="1">
        <row r="243">
          <cell r="D243">
            <v>304289.91999999998</v>
          </cell>
          <cell r="E243">
            <v>3029736.96</v>
          </cell>
        </row>
        <row r="244">
          <cell r="D244">
            <v>7910.65</v>
          </cell>
          <cell r="E244">
            <v>78763.81</v>
          </cell>
          <cell r="J244">
            <v>801.68</v>
          </cell>
        </row>
        <row r="245">
          <cell r="J245">
            <v>0</v>
          </cell>
        </row>
        <row r="246">
          <cell r="J246">
            <v>20396345.23</v>
          </cell>
        </row>
        <row r="247">
          <cell r="J247">
            <v>0</v>
          </cell>
        </row>
        <row r="248">
          <cell r="J248">
            <v>7165818.0300000003</v>
          </cell>
        </row>
        <row r="249">
          <cell r="J249">
            <v>0</v>
          </cell>
        </row>
        <row r="250">
          <cell r="J250">
            <v>23226918.48</v>
          </cell>
        </row>
        <row r="251">
          <cell r="J251">
            <v>0</v>
          </cell>
        </row>
        <row r="252">
          <cell r="J252">
            <v>29983823.439999998</v>
          </cell>
        </row>
        <row r="321">
          <cell r="L321">
            <v>781.38</v>
          </cell>
        </row>
        <row r="322">
          <cell r="L322">
            <v>20.3</v>
          </cell>
        </row>
        <row r="323">
          <cell r="L323">
            <v>19879650.460000001</v>
          </cell>
        </row>
        <row r="324">
          <cell r="L324">
            <v>-13.42</v>
          </cell>
        </row>
        <row r="325">
          <cell r="L325">
            <v>516708.19</v>
          </cell>
        </row>
        <row r="326">
          <cell r="L326">
            <v>6984239.0899999999</v>
          </cell>
        </row>
        <row r="327">
          <cell r="L327">
            <v>181578.94</v>
          </cell>
        </row>
      </sheetData>
      <sheetData sheetId="2">
        <row r="5">
          <cell r="L5">
            <v>6188.09</v>
          </cell>
        </row>
      </sheetData>
      <sheetData sheetId="3"/>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404">
          <cell r="H4404">
            <v>5618220.0499999989</v>
          </cell>
          <cell r="I4404">
            <v>61204250.079999991</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611227.38</v>
          </cell>
        </row>
      </sheetData>
      <sheetData sheetId="1">
        <row r="244">
          <cell r="J244">
            <v>477.51</v>
          </cell>
        </row>
        <row r="245">
          <cell r="J245">
            <v>0</v>
          </cell>
        </row>
        <row r="246">
          <cell r="D246">
            <v>233026.55</v>
          </cell>
          <cell r="E246">
            <v>2380766.2200000002</v>
          </cell>
          <cell r="J246">
            <v>14550004.540000001</v>
          </cell>
        </row>
        <row r="247">
          <cell r="D247">
            <v>6057.57</v>
          </cell>
          <cell r="E247">
            <v>61887.01</v>
          </cell>
          <cell r="J247">
            <v>0</v>
          </cell>
        </row>
        <row r="248">
          <cell r="J248">
            <v>5448448.7700000005</v>
          </cell>
        </row>
        <row r="249">
          <cell r="J249">
            <v>0</v>
          </cell>
        </row>
        <row r="250">
          <cell r="J250">
            <v>20380282.640000001</v>
          </cell>
        </row>
        <row r="251">
          <cell r="J251">
            <v>0</v>
          </cell>
        </row>
        <row r="252">
          <cell r="J252">
            <v>28567346.57</v>
          </cell>
        </row>
        <row r="311">
          <cell r="L311">
            <v>465.42</v>
          </cell>
        </row>
        <row r="312">
          <cell r="L312">
            <v>12.09</v>
          </cell>
        </row>
        <row r="313">
          <cell r="L313">
            <v>14181548.470000001</v>
          </cell>
        </row>
        <row r="314">
          <cell r="L314">
            <v>-41.29</v>
          </cell>
        </row>
        <row r="315">
          <cell r="L315">
            <v>368497.36</v>
          </cell>
        </row>
        <row r="316">
          <cell r="L316">
            <v>5310393.28</v>
          </cell>
        </row>
        <row r="317">
          <cell r="L317">
            <v>138055.49</v>
          </cell>
        </row>
      </sheetData>
      <sheetData sheetId="2">
        <row r="5">
          <cell r="L5">
            <v>5602.52</v>
          </cell>
        </row>
      </sheetData>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5112">
          <cell r="H5112">
            <v>7453237.5300000012</v>
          </cell>
          <cell r="I5112">
            <v>63740323.479999997</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684135.40999999992</v>
          </cell>
        </row>
      </sheetData>
      <sheetData sheetId="1">
        <row r="365">
          <cell r="M365">
            <v>661.38</v>
          </cell>
        </row>
        <row r="366">
          <cell r="M366">
            <v>14435826.580000002</v>
          </cell>
        </row>
        <row r="367">
          <cell r="M367">
            <v>5488230.5899999989</v>
          </cell>
        </row>
        <row r="368">
          <cell r="M368">
            <v>20921582.859999999</v>
          </cell>
        </row>
        <row r="369">
          <cell r="M369">
            <v>29617387.529999997</v>
          </cell>
        </row>
        <row r="370">
          <cell r="M370">
            <v>0</v>
          </cell>
        </row>
        <row r="387">
          <cell r="G387">
            <v>64.150000000000006</v>
          </cell>
          <cell r="H387">
            <v>711.15</v>
          </cell>
        </row>
        <row r="388">
          <cell r="G388">
            <v>201469.83</v>
          </cell>
          <cell r="H388">
            <v>1662657.42</v>
          </cell>
        </row>
        <row r="389">
          <cell r="G389">
            <v>65706.789999999994</v>
          </cell>
          <cell r="H389">
            <v>631190.44999999995</v>
          </cell>
        </row>
        <row r="390">
          <cell r="G390">
            <v>1.66</v>
          </cell>
          <cell r="H390">
            <v>18.48</v>
          </cell>
        </row>
        <row r="391">
          <cell r="G391">
            <v>5237.1899999999996</v>
          </cell>
          <cell r="H391">
            <v>43220.91</v>
          </cell>
        </row>
        <row r="392">
          <cell r="G392">
            <v>1707.53</v>
          </cell>
          <cell r="H392">
            <v>16402.89</v>
          </cell>
        </row>
        <row r="510">
          <cell r="R510">
            <v>644.63</v>
          </cell>
        </row>
        <row r="511">
          <cell r="R511">
            <v>16.75</v>
          </cell>
        </row>
        <row r="512">
          <cell r="R512">
            <v>33963.370000000003</v>
          </cell>
        </row>
        <row r="513">
          <cell r="R513">
            <v>9678576.0800000001</v>
          </cell>
        </row>
        <row r="514">
          <cell r="R514">
            <v>4358206.4000000004</v>
          </cell>
        </row>
        <row r="515">
          <cell r="R515">
            <v>-469.03</v>
          </cell>
        </row>
        <row r="516">
          <cell r="R516">
            <v>882.4</v>
          </cell>
        </row>
        <row r="517">
          <cell r="R517">
            <v>251499.21</v>
          </cell>
        </row>
        <row r="518">
          <cell r="R518">
            <v>113168.15</v>
          </cell>
        </row>
        <row r="519">
          <cell r="R519">
            <v>447.65</v>
          </cell>
        </row>
        <row r="520">
          <cell r="R520">
            <v>423.58</v>
          </cell>
        </row>
        <row r="521">
          <cell r="R521">
            <v>9142.3799999999992</v>
          </cell>
        </row>
        <row r="522">
          <cell r="R522">
            <v>3168174.66</v>
          </cell>
        </row>
        <row r="523">
          <cell r="R523">
            <v>2170986.65</v>
          </cell>
        </row>
        <row r="524">
          <cell r="R524">
            <v>9.35</v>
          </cell>
        </row>
        <row r="525">
          <cell r="R525">
            <v>8.85</v>
          </cell>
        </row>
        <row r="526">
          <cell r="R526">
            <v>237.66</v>
          </cell>
        </row>
        <row r="527">
          <cell r="R527">
            <v>82363.289999999994</v>
          </cell>
        </row>
        <row r="528">
          <cell r="R528">
            <v>56436.52</v>
          </cell>
        </row>
      </sheetData>
      <sheetData sheetId="2">
        <row r="5">
          <cell r="L5">
            <v>5982.25</v>
          </cell>
        </row>
      </sheetData>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5207">
          <cell r="H5207">
            <v>6719774.3799999999</v>
          </cell>
          <cell r="I5207">
            <v>63441195.579999983</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705238.02</v>
          </cell>
        </row>
      </sheetData>
      <sheetData sheetId="1">
        <row r="365">
          <cell r="M365">
            <v>739</v>
          </cell>
        </row>
        <row r="366">
          <cell r="M366">
            <v>15713761.540000003</v>
          </cell>
        </row>
        <row r="367">
          <cell r="M367">
            <v>5898755.3199999994</v>
          </cell>
        </row>
        <row r="368">
          <cell r="M368">
            <v>20977242.150000002</v>
          </cell>
        </row>
        <row r="369">
          <cell r="M369">
            <v>28721035.68</v>
          </cell>
        </row>
        <row r="370">
          <cell r="M370">
            <v>0</v>
          </cell>
        </row>
        <row r="432">
          <cell r="G432">
            <v>70.13</v>
          </cell>
          <cell r="H432">
            <v>627.27</v>
          </cell>
        </row>
        <row r="433">
          <cell r="G433">
            <v>250789.48</v>
          </cell>
          <cell r="H433">
            <v>2331771.48</v>
          </cell>
        </row>
        <row r="434">
          <cell r="G434">
            <v>1.81</v>
          </cell>
          <cell r="H434">
            <v>16.3</v>
          </cell>
        </row>
        <row r="435">
          <cell r="G435">
            <v>6519.77</v>
          </cell>
          <cell r="H435">
            <v>60617.760000000002</v>
          </cell>
        </row>
        <row r="556">
          <cell r="R556">
            <v>720.29</v>
          </cell>
        </row>
        <row r="557">
          <cell r="R557">
            <v>18.71</v>
          </cell>
        </row>
        <row r="558">
          <cell r="R558">
            <v>66.88</v>
          </cell>
        </row>
        <row r="559">
          <cell r="R559">
            <v>23.85</v>
          </cell>
        </row>
        <row r="560">
          <cell r="R560">
            <v>35.200000000000003</v>
          </cell>
        </row>
        <row r="561">
          <cell r="R561">
            <v>11.73</v>
          </cell>
        </row>
        <row r="562">
          <cell r="R562">
            <v>71.959999999999994</v>
          </cell>
        </row>
        <row r="563">
          <cell r="R563">
            <v>23.85</v>
          </cell>
        </row>
        <row r="564">
          <cell r="R564">
            <v>123.95</v>
          </cell>
        </row>
        <row r="565">
          <cell r="R565">
            <v>4046.83</v>
          </cell>
        </row>
        <row r="566">
          <cell r="R566">
            <v>15312870.5</v>
          </cell>
        </row>
        <row r="567">
          <cell r="R567">
            <v>-1612.01</v>
          </cell>
        </row>
        <row r="568">
          <cell r="R568">
            <v>1.39</v>
          </cell>
        </row>
        <row r="569">
          <cell r="R569">
            <v>0.49</v>
          </cell>
        </row>
        <row r="570">
          <cell r="R570">
            <v>0.73</v>
          </cell>
        </row>
        <row r="571">
          <cell r="R571">
            <v>0.24</v>
          </cell>
        </row>
        <row r="572">
          <cell r="R572">
            <v>1.5</v>
          </cell>
        </row>
        <row r="573">
          <cell r="R573">
            <v>0.49</v>
          </cell>
        </row>
        <row r="574">
          <cell r="R574">
            <v>3.21</v>
          </cell>
        </row>
        <row r="575">
          <cell r="R575">
            <v>104.89</v>
          </cell>
        </row>
        <row r="576">
          <cell r="R576">
            <v>397985.86</v>
          </cell>
        </row>
        <row r="577">
          <cell r="R577">
            <v>1153784.8799999999</v>
          </cell>
        </row>
        <row r="578">
          <cell r="R578">
            <v>4595498.93</v>
          </cell>
        </row>
        <row r="579">
          <cell r="R579">
            <v>29998.34</v>
          </cell>
        </row>
        <row r="580">
          <cell r="R580">
            <v>119473.17</v>
          </cell>
        </row>
      </sheetData>
      <sheetData sheetId="2">
        <row r="5">
          <cell r="L5">
            <v>5603.74</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Cust. switch Class A to B"/>
      <sheetName val="2016 Cust. switch Class B to A"/>
      <sheetName val="2016 Class A Cust. entire Yr"/>
      <sheetName val="Cargill 2016 Billed kWh"/>
      <sheetName val="Polycon 2016 Billed kWh"/>
      <sheetName val="Owens Corning 2016 Billed kWh"/>
      <sheetName val="Camtac 2016 Billed kWh"/>
      <sheetName val="UofG 2016 Billed kWh"/>
      <sheetName val="Blount 2016 Billed kWh"/>
      <sheetName val="RBC 2016 Billed kWh"/>
      <sheetName val="Denso 2016 Billed kWh"/>
      <sheetName val="Brookfield 2016 Billed kWh"/>
      <sheetName val="Camcor 2016 Billed kWh"/>
      <sheetName val="Linamar Gear 2016 Billed kWh"/>
      <sheetName val="Hastech 2016 Billed kWh"/>
      <sheetName val="Roctel 2016 Billed kWh"/>
      <sheetName val="Vehcom 2016 Billed kWh"/>
    </sheetNames>
    <sheetDataSet>
      <sheetData sheetId="0">
        <row r="34">
          <cell r="F34">
            <v>368643155.18075246</v>
          </cell>
        </row>
        <row r="35">
          <cell r="F35">
            <v>50541133.349623784</v>
          </cell>
        </row>
        <row r="36">
          <cell r="F36">
            <v>749584027.59962356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115">
          <cell r="H4115">
            <v>6702633.9500000002</v>
          </cell>
          <cell r="I4115">
            <v>58315662.649999984</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653711.87999999989</v>
          </cell>
        </row>
      </sheetData>
      <sheetData sheetId="1">
        <row r="306">
          <cell r="G306">
            <v>39.96</v>
          </cell>
          <cell r="H306">
            <v>428.21</v>
          </cell>
        </row>
        <row r="307">
          <cell r="G307">
            <v>170592.43</v>
          </cell>
          <cell r="H307">
            <v>1705665.89</v>
          </cell>
        </row>
        <row r="308">
          <cell r="G308">
            <v>72877.789999999994</v>
          </cell>
          <cell r="H308">
            <v>625560.47</v>
          </cell>
        </row>
        <row r="309">
          <cell r="G309">
            <v>1.03</v>
          </cell>
          <cell r="H309">
            <v>11.13</v>
          </cell>
        </row>
        <row r="310">
          <cell r="G310">
            <v>4434.75</v>
          </cell>
          <cell r="H310">
            <v>44340.32</v>
          </cell>
        </row>
        <row r="311">
          <cell r="G311">
            <v>1894.82</v>
          </cell>
          <cell r="H311">
            <v>16264.56</v>
          </cell>
        </row>
        <row r="365">
          <cell r="M365">
            <v>532.27</v>
          </cell>
        </row>
        <row r="366">
          <cell r="M366">
            <v>16613279.659999998</v>
          </cell>
        </row>
        <row r="367">
          <cell r="M367">
            <v>5937537.3199999994</v>
          </cell>
        </row>
        <row r="368">
          <cell r="M368">
            <v>22034241.970000003</v>
          </cell>
        </row>
        <row r="369">
          <cell r="M369">
            <v>30939624.27</v>
          </cell>
        </row>
        <row r="370">
          <cell r="M370">
            <v>0</v>
          </cell>
        </row>
        <row r="421">
          <cell r="R421">
            <v>518.79</v>
          </cell>
        </row>
        <row r="422">
          <cell r="R422">
            <v>13.48</v>
          </cell>
        </row>
        <row r="423">
          <cell r="R423">
            <v>2261.6</v>
          </cell>
        </row>
        <row r="424">
          <cell r="R424">
            <v>16191738.43</v>
          </cell>
        </row>
        <row r="425">
          <cell r="R425">
            <v>-1638.16</v>
          </cell>
        </row>
        <row r="426">
          <cell r="R426">
            <v>58.79</v>
          </cell>
        </row>
        <row r="427">
          <cell r="R427">
            <v>420859</v>
          </cell>
        </row>
        <row r="428">
          <cell r="R428">
            <v>2672.3</v>
          </cell>
        </row>
        <row r="429">
          <cell r="R429">
            <v>1143547.1599999999</v>
          </cell>
        </row>
        <row r="430">
          <cell r="R430">
            <v>4640862.17</v>
          </cell>
        </row>
        <row r="431">
          <cell r="R431">
            <v>69.42</v>
          </cell>
        </row>
        <row r="432">
          <cell r="R432">
            <v>29732.14</v>
          </cell>
        </row>
        <row r="433">
          <cell r="R433">
            <v>120654.13</v>
          </cell>
        </row>
      </sheetData>
      <sheetData sheetId="2">
        <row r="5">
          <cell r="L5">
            <v>5990.5</v>
          </cell>
        </row>
      </sheetData>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660">
          <cell r="H4660">
            <v>5362347.8500000015</v>
          </cell>
          <cell r="I4660">
            <v>65694759.88000001</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718341.74</v>
          </cell>
        </row>
      </sheetData>
      <sheetData sheetId="1">
        <row r="252">
          <cell r="G252">
            <v>46.73</v>
          </cell>
          <cell r="H252">
            <v>569.54999999999995</v>
          </cell>
        </row>
        <row r="253">
          <cell r="G253">
            <v>163196.49</v>
          </cell>
          <cell r="H253">
            <v>2032744.71</v>
          </cell>
        </row>
        <row r="254">
          <cell r="G254">
            <v>49911.05</v>
          </cell>
          <cell r="H254">
            <v>650985.43000000005</v>
          </cell>
        </row>
        <row r="255">
          <cell r="G255">
            <v>1.21</v>
          </cell>
          <cell r="H255">
            <v>14.8</v>
          </cell>
        </row>
        <row r="256">
          <cell r="G256">
            <v>4242.47</v>
          </cell>
          <cell r="H256">
            <v>52843.12</v>
          </cell>
        </row>
        <row r="257">
          <cell r="G257">
            <v>1297.68</v>
          </cell>
          <cell r="H257">
            <v>16925.599999999999</v>
          </cell>
        </row>
        <row r="327">
          <cell r="R327">
            <v>717.19</v>
          </cell>
        </row>
        <row r="328">
          <cell r="R328">
            <v>18.63</v>
          </cell>
        </row>
        <row r="329">
          <cell r="R329">
            <v>21289353.850000001</v>
          </cell>
        </row>
        <row r="330">
          <cell r="R330">
            <v>-1005.1</v>
          </cell>
        </row>
        <row r="331">
          <cell r="R331">
            <v>553369.12</v>
          </cell>
        </row>
        <row r="332">
          <cell r="R332">
            <v>1425156.85</v>
          </cell>
        </row>
        <row r="333">
          <cell r="R333">
            <v>5245750.67</v>
          </cell>
        </row>
        <row r="334">
          <cell r="R334">
            <v>37054.019999999997</v>
          </cell>
        </row>
        <row r="335">
          <cell r="R335">
            <v>136379.92000000001</v>
          </cell>
        </row>
        <row r="365">
          <cell r="M365">
            <v>735.82</v>
          </cell>
        </row>
        <row r="366">
          <cell r="M366">
            <v>21841717.870000001</v>
          </cell>
        </row>
        <row r="367">
          <cell r="M367">
            <v>6844341.459999999</v>
          </cell>
        </row>
        <row r="368">
          <cell r="M368">
            <v>21368982.360000003</v>
          </cell>
        </row>
        <row r="369">
          <cell r="M369">
            <v>26719781.190000001</v>
          </cell>
        </row>
        <row r="370">
          <cell r="M370">
            <v>1996777.62</v>
          </cell>
        </row>
      </sheetData>
      <sheetData sheetId="2">
        <row r="5">
          <cell r="L5">
            <v>5806.49</v>
          </cell>
        </row>
      </sheetData>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285">
          <cell r="H4285">
            <v>5652296.5200000023</v>
          </cell>
          <cell r="I4285">
            <v>66705999.039999999</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607560.95000000007</v>
          </cell>
        </row>
      </sheetData>
      <sheetData sheetId="1">
        <row r="281">
          <cell r="G281">
            <v>30.28</v>
          </cell>
          <cell r="H281">
            <v>392.06</v>
          </cell>
        </row>
        <row r="282">
          <cell r="G282">
            <v>136862.43</v>
          </cell>
          <cell r="H282">
            <v>1706309.11</v>
          </cell>
        </row>
        <row r="283">
          <cell r="G283">
            <v>60631.45</v>
          </cell>
          <cell r="H283">
            <v>707567.4</v>
          </cell>
        </row>
        <row r="284">
          <cell r="G284">
            <v>0.78</v>
          </cell>
          <cell r="H284">
            <v>10.19</v>
          </cell>
        </row>
        <row r="285">
          <cell r="G285">
            <v>3558.02</v>
          </cell>
          <cell r="H285">
            <v>44357.97</v>
          </cell>
        </row>
        <row r="286">
          <cell r="G286">
            <v>1576.42</v>
          </cell>
          <cell r="H286">
            <v>18396.740000000002</v>
          </cell>
        </row>
        <row r="365">
          <cell r="M365">
            <v>489.41999999999996</v>
          </cell>
        </row>
        <row r="366">
          <cell r="M366">
            <v>17382138</v>
          </cell>
        </row>
        <row r="367">
          <cell r="M367">
            <v>5596084.2700000005</v>
          </cell>
        </row>
        <row r="368">
          <cell r="M368">
            <v>21307152.200000003</v>
          </cell>
        </row>
        <row r="369">
          <cell r="M369">
            <v>29558719.469999999</v>
          </cell>
        </row>
        <row r="370">
          <cell r="M370">
            <v>2927642.64</v>
          </cell>
        </row>
        <row r="414">
          <cell r="R414">
            <v>477.03</v>
          </cell>
        </row>
        <row r="415">
          <cell r="R415">
            <v>12.39</v>
          </cell>
        </row>
        <row r="416">
          <cell r="R416">
            <v>16942245.079999998</v>
          </cell>
        </row>
        <row r="417">
          <cell r="R417">
            <v>-490.86</v>
          </cell>
        </row>
        <row r="418">
          <cell r="R418">
            <v>440383.78</v>
          </cell>
        </row>
        <row r="419">
          <cell r="R419">
            <v>1151289.92</v>
          </cell>
        </row>
        <row r="420">
          <cell r="R420">
            <v>4302990.9000000004</v>
          </cell>
        </row>
        <row r="421">
          <cell r="R421">
            <v>29933.49</v>
          </cell>
        </row>
        <row r="422">
          <cell r="R422">
            <v>111869.96</v>
          </cell>
        </row>
      </sheetData>
      <sheetData sheetId="2">
        <row r="5">
          <cell r="L5">
            <v>5622.03</v>
          </cell>
        </row>
      </sheetData>
      <sheetData sheetId="3" refreshError="1"/>
      <sheetData sheetId="4" refreshError="1"/>
      <sheetData sheetId="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380">
          <cell r="H4380">
            <v>4881899.16</v>
          </cell>
          <cell r="I4380">
            <v>67194964.290000007</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687633.35999999987</v>
          </cell>
        </row>
      </sheetData>
      <sheetData sheetId="1">
        <row r="267">
          <cell r="G267">
            <v>45.93</v>
          </cell>
          <cell r="H267">
            <v>528.41</v>
          </cell>
        </row>
        <row r="268">
          <cell r="G268">
            <v>127054.04</v>
          </cell>
          <cell r="H268">
            <v>1567279.21</v>
          </cell>
        </row>
        <row r="269">
          <cell r="G269">
            <v>59466.54</v>
          </cell>
          <cell r="H269">
            <v>842302.24</v>
          </cell>
        </row>
        <row r="270">
          <cell r="G270">
            <v>1.19</v>
          </cell>
          <cell r="H270">
            <v>13.73</v>
          </cell>
        </row>
        <row r="271">
          <cell r="G271">
            <v>3303.01</v>
          </cell>
          <cell r="H271">
            <v>40741.32</v>
          </cell>
        </row>
        <row r="272">
          <cell r="G272">
            <v>1546.12</v>
          </cell>
          <cell r="H272">
            <v>21899.85</v>
          </cell>
        </row>
        <row r="365">
          <cell r="M365">
            <v>658.97</v>
          </cell>
        </row>
        <row r="366">
          <cell r="M366">
            <v>15184401.120000001</v>
          </cell>
        </row>
        <row r="367">
          <cell r="M367">
            <v>5603093.4400000004</v>
          </cell>
        </row>
        <row r="368">
          <cell r="M368">
            <v>21814350.93</v>
          </cell>
        </row>
        <row r="369">
          <cell r="M369">
            <v>28766552.379999999</v>
          </cell>
        </row>
        <row r="370">
          <cell r="M370">
            <v>3643374.1599999997</v>
          </cell>
        </row>
        <row r="415">
          <cell r="R415">
            <v>642.28</v>
          </cell>
        </row>
        <row r="416">
          <cell r="R416">
            <v>16.690000000000001</v>
          </cell>
        </row>
        <row r="417">
          <cell r="R417">
            <v>14800944.720000001</v>
          </cell>
        </row>
        <row r="418">
          <cell r="R418">
            <v>-1218.98</v>
          </cell>
        </row>
        <row r="419">
          <cell r="R419">
            <v>384675.38</v>
          </cell>
        </row>
        <row r="420">
          <cell r="R420">
            <v>1105526.28</v>
          </cell>
        </row>
        <row r="421">
          <cell r="R421">
            <v>4355588.12</v>
          </cell>
        </row>
        <row r="422">
          <cell r="R422">
            <v>28743.63</v>
          </cell>
        </row>
        <row r="423">
          <cell r="R423">
            <v>113235.41</v>
          </cell>
        </row>
      </sheetData>
      <sheetData sheetId="2">
        <row r="5">
          <cell r="L5">
            <v>6010.9</v>
          </cell>
        </row>
      </sheetData>
      <sheetData sheetId="3" refreshError="1"/>
      <sheetData sheetId="4" refreshError="1"/>
      <sheetData sheetId="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791">
          <cell r="H4791">
            <v>6170460.9000000013</v>
          </cell>
          <cell r="I4791">
            <v>64741531.880000003</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715816.34000000008</v>
          </cell>
        </row>
      </sheetData>
      <sheetData sheetId="1">
        <row r="314">
          <cell r="G314">
            <v>63.46</v>
          </cell>
          <cell r="H314">
            <v>569.54999999999995</v>
          </cell>
        </row>
        <row r="315">
          <cell r="G315">
            <v>96632.16</v>
          </cell>
          <cell r="H315">
            <v>994287.05</v>
          </cell>
        </row>
        <row r="316">
          <cell r="G316">
            <v>89568.960000000006</v>
          </cell>
          <cell r="H316">
            <v>921491.4</v>
          </cell>
        </row>
        <row r="317">
          <cell r="G317">
            <v>69891.289999999994</v>
          </cell>
          <cell r="H317">
            <v>569609.07999999996</v>
          </cell>
        </row>
        <row r="318">
          <cell r="G318">
            <v>1.65</v>
          </cell>
          <cell r="H318">
            <v>14.8</v>
          </cell>
        </row>
        <row r="319">
          <cell r="G319">
            <v>2511.77</v>
          </cell>
          <cell r="H319">
            <v>25843.68</v>
          </cell>
        </row>
        <row r="320">
          <cell r="G320">
            <v>2328.79</v>
          </cell>
          <cell r="H320">
            <v>23958.76</v>
          </cell>
        </row>
        <row r="321">
          <cell r="G321">
            <v>1816.44</v>
          </cell>
          <cell r="H321">
            <v>14801.86</v>
          </cell>
        </row>
        <row r="365">
          <cell r="M365">
            <v>733.41000000000008</v>
          </cell>
        </row>
        <row r="366">
          <cell r="M366">
            <v>15553910.220000001</v>
          </cell>
        </row>
        <row r="367">
          <cell r="M367">
            <v>6389097.54</v>
          </cell>
        </row>
        <row r="368">
          <cell r="M368">
            <v>21562189.510000002</v>
          </cell>
        </row>
        <row r="369">
          <cell r="M369">
            <v>25840934.84</v>
          </cell>
        </row>
        <row r="370">
          <cell r="M370">
            <v>3004301.48</v>
          </cell>
        </row>
        <row r="422">
          <cell r="R422">
            <v>714.84</v>
          </cell>
        </row>
        <row r="423">
          <cell r="R423">
            <v>18.57</v>
          </cell>
        </row>
        <row r="424">
          <cell r="R424">
            <v>11222509.48</v>
          </cell>
        </row>
        <row r="425">
          <cell r="R425">
            <v>3938110.64</v>
          </cell>
        </row>
        <row r="426">
          <cell r="R426">
            <v>-582.41999999999996</v>
          </cell>
        </row>
        <row r="427">
          <cell r="R427">
            <v>291633.03000000003</v>
          </cell>
        </row>
        <row r="428">
          <cell r="R428">
            <v>102239.49</v>
          </cell>
        </row>
        <row r="429">
          <cell r="R429">
            <v>1246584.77</v>
          </cell>
        </row>
        <row r="430">
          <cell r="R430">
            <v>2364092.52</v>
          </cell>
        </row>
        <row r="431">
          <cell r="R431">
            <v>2616532.16</v>
          </cell>
        </row>
        <row r="432">
          <cell r="R432">
            <v>32411.14</v>
          </cell>
        </row>
        <row r="433">
          <cell r="R433">
            <v>61456.79</v>
          </cell>
        </row>
        <row r="434">
          <cell r="R434">
            <v>68020.160000000003</v>
          </cell>
        </row>
      </sheetData>
      <sheetData sheetId="2">
        <row r="5">
          <cell r="L5">
            <v>5630.98</v>
          </cell>
        </row>
      </sheetData>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row r="29">
          <cell r="BD29">
            <v>3230969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201">
          <cell r="H4201">
            <v>7607820.2600000007</v>
          </cell>
          <cell r="I4201">
            <v>63450204.320000008</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oss Adj 2016"/>
      <sheetName val="Adjustments"/>
      <sheetName val="Cont. Sch. UBR"/>
      <sheetName val="RPP True-up"/>
      <sheetName val="B-Loss Adj 2015"/>
    </sheetNames>
    <sheetDataSet>
      <sheetData sheetId="0">
        <row r="25">
          <cell r="L25">
            <v>0.10594000000000001</v>
          </cell>
        </row>
      </sheetData>
      <sheetData sheetId="1">
        <row r="13">
          <cell r="M13">
            <v>55645827.809999987</v>
          </cell>
        </row>
        <row r="14">
          <cell r="M14">
            <v>57184248.389999993</v>
          </cell>
        </row>
      </sheetData>
      <sheetData sheetId="2"/>
      <sheetData sheetId="3"/>
      <sheetData sheetId="4">
        <row r="24">
          <cell r="C24">
            <v>0.11462</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9">
          <cell r="N19">
            <v>5173745.4200000009</v>
          </cell>
        </row>
        <row r="154">
          <cell r="K154">
            <v>36484527.780000001</v>
          </cell>
        </row>
      </sheetData>
      <sheetData sheetId="5"/>
      <sheetData sheetId="6"/>
      <sheetData sheetId="7"/>
      <sheetData sheetId="8"/>
      <sheetData sheetId="9"/>
      <sheetData sheetId="10"/>
      <sheetData sheetId="11"/>
      <sheetData sheetId="12"/>
      <sheetData sheetId="13"/>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9">
          <cell r="N19">
            <v>7034127.0500000007</v>
          </cell>
        </row>
        <row r="154">
          <cell r="K154">
            <v>46049757.049999997</v>
          </cell>
        </row>
      </sheetData>
      <sheetData sheetId="5"/>
      <sheetData sheetId="6"/>
      <sheetData sheetId="7"/>
      <sheetData sheetId="8"/>
      <sheetData sheetId="9"/>
      <sheetData sheetId="10"/>
      <sheetData sheetId="11"/>
      <sheetData sheetId="12"/>
      <sheetData sheetId="1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9">
          <cell r="N19">
            <v>6868827.0199999996</v>
          </cell>
        </row>
        <row r="154">
          <cell r="K154">
            <v>39806507.980000004</v>
          </cell>
        </row>
      </sheetData>
      <sheetData sheetId="5"/>
      <sheetData sheetId="6"/>
      <sheetData sheetId="7"/>
      <sheetData sheetId="8"/>
      <sheetData sheetId="9"/>
      <sheetData sheetId="10"/>
      <sheetData sheetId="11"/>
      <sheetData sheetId="12"/>
      <sheetData sheetId="1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9">
          <cell r="N19">
            <v>3421806.6500000004</v>
          </cell>
        </row>
        <row r="154">
          <cell r="K154">
            <v>44647154.359999999</v>
          </cell>
        </row>
      </sheetData>
      <sheetData sheetId="5"/>
      <sheetData sheetId="6"/>
      <sheetData sheetId="7"/>
      <sheetData sheetId="8"/>
      <sheetData sheetId="9"/>
      <sheetData sheetId="10"/>
      <sheetData sheetId="11"/>
      <sheetData sheetId="12"/>
      <sheetData sheetId="13"/>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9">
          <cell r="N19">
            <v>2955234.98</v>
          </cell>
        </row>
        <row r="154">
          <cell r="K154">
            <v>29781082.5</v>
          </cell>
        </row>
      </sheetData>
      <sheetData sheetId="5"/>
      <sheetData sheetId="6"/>
      <sheetData sheetId="7"/>
      <sheetData sheetId="8"/>
      <sheetData sheetId="9"/>
      <sheetData sheetId="10"/>
      <sheetData sheetId="11"/>
      <sheetData sheetId="12"/>
      <sheetData sheetId="1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9">
          <cell r="N19">
            <v>3214542.21</v>
          </cell>
        </row>
        <row r="154">
          <cell r="K154">
            <v>40905569.959999993</v>
          </cell>
        </row>
      </sheetData>
      <sheetData sheetId="5"/>
      <sheetData sheetId="6"/>
      <sheetData sheetId="7"/>
      <sheetData sheetId="8"/>
      <sheetData sheetId="9"/>
      <sheetData sheetId="10"/>
      <sheetData sheetId="11"/>
      <sheetData sheetId="12"/>
      <sheetData sheetId="13"/>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8">
          <cell r="I18">
            <v>8.4129999999999996E-2</v>
          </cell>
        </row>
        <row r="19">
          <cell r="N19">
            <v>3425502.5100000002</v>
          </cell>
        </row>
        <row r="154">
          <cell r="K154">
            <v>33192356.799999997</v>
          </cell>
        </row>
      </sheetData>
      <sheetData sheetId="5"/>
      <sheetData sheetId="6"/>
      <sheetData sheetId="7"/>
      <sheetData sheetId="8"/>
      <sheetData sheetId="9"/>
      <sheetData sheetId="10"/>
      <sheetData sheetId="11"/>
      <sheetData sheetId="12"/>
      <sheetData sheetId="13"/>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8">
          <cell r="I18">
            <v>7.354999999999999E-2</v>
          </cell>
        </row>
        <row r="19">
          <cell r="N19">
            <v>1414573.31</v>
          </cell>
        </row>
        <row r="154">
          <cell r="K154">
            <v>38674169.109999999</v>
          </cell>
        </row>
      </sheetData>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 Non-RPP Class B Analysis"/>
      <sheetName val="UBR vs. Billed Dec 2015"/>
      <sheetName val="UBR vs. Billed Dec 2016"/>
    </sheetNames>
    <sheetDataSet>
      <sheetData sheetId="0">
        <row r="5">
          <cell r="I5">
            <v>-45169.751461000182</v>
          </cell>
        </row>
        <row r="6">
          <cell r="I6">
            <v>156076.6693327995</v>
          </cell>
        </row>
      </sheetData>
      <sheetData sheetId="1"/>
      <sheetData sheetId="2"/>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8">
          <cell r="I18">
            <v>7.1910000000000002E-2</v>
          </cell>
        </row>
        <row r="19">
          <cell r="N19">
            <v>3196526.08</v>
          </cell>
        </row>
        <row r="154">
          <cell r="K154">
            <v>39947265.769999996</v>
          </cell>
        </row>
      </sheetData>
      <sheetData sheetId="5"/>
      <sheetData sheetId="6"/>
      <sheetData sheetId="7"/>
      <sheetData sheetId="8"/>
      <sheetData sheetId="9"/>
      <sheetData sheetId="10"/>
      <sheetData sheetId="11"/>
      <sheetData sheetId="12"/>
      <sheetData sheetId="13"/>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8">
          <cell r="I18">
            <v>7.1930000000000008E-2</v>
          </cell>
        </row>
        <row r="19">
          <cell r="N19">
            <v>1964789.19</v>
          </cell>
        </row>
        <row r="154">
          <cell r="K154">
            <v>42408484</v>
          </cell>
        </row>
      </sheetData>
      <sheetData sheetId="5"/>
      <sheetData sheetId="6"/>
      <sheetData sheetId="7"/>
      <sheetData sheetId="8"/>
      <sheetData sheetId="9"/>
      <sheetData sheetId="10"/>
      <sheetData sheetId="11"/>
      <sheetData sheetId="12"/>
      <sheetData sheetId="13"/>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8">
          <cell r="I18">
            <v>0.12448000000000001</v>
          </cell>
        </row>
        <row r="19">
          <cell r="N19">
            <v>1792045.1699999997</v>
          </cell>
        </row>
        <row r="154">
          <cell r="K154">
            <v>39355921.609999999</v>
          </cell>
        </row>
      </sheetData>
      <sheetData sheetId="5"/>
      <sheetData sheetId="6"/>
      <sheetData sheetId="7"/>
      <sheetData sheetId="8"/>
      <sheetData sheetId="9"/>
      <sheetData sheetId="10"/>
      <sheetData sheetId="11"/>
      <sheetData sheetId="12"/>
      <sheetData sheetId="1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8.8090000000000002E-2</v>
          </cell>
        </row>
        <row r="19">
          <cell r="N19">
            <v>3321214.3000000003</v>
          </cell>
        </row>
        <row r="154">
          <cell r="K154">
            <v>43880023.969999999</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9.214E-2</v>
          </cell>
        </row>
        <row r="19">
          <cell r="N19">
            <v>1167233.8900000001</v>
          </cell>
        </row>
        <row r="154">
          <cell r="K154">
            <v>37500815.049999997</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9.6780000000000005E-2</v>
          </cell>
        </row>
        <row r="19">
          <cell r="N19">
            <v>3419731.4099999997</v>
          </cell>
        </row>
        <row r="154">
          <cell r="K154">
            <v>43358644.039999992</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0.10299</v>
          </cell>
        </row>
        <row r="19">
          <cell r="N19">
            <v>4403168.0900000008</v>
          </cell>
        </row>
        <row r="154">
          <cell r="K154">
            <v>45201039.310000002</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0.11176999999999999</v>
          </cell>
        </row>
        <row r="19">
          <cell r="N19">
            <v>897590.29</v>
          </cell>
        </row>
        <row r="154">
          <cell r="K154">
            <v>34483045.129999995</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0.11493</v>
          </cell>
        </row>
        <row r="19">
          <cell r="N19">
            <v>3322703.28</v>
          </cell>
        </row>
        <row r="154">
          <cell r="K154">
            <v>39834475.660000004</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9.3599999999999989E-2</v>
          </cell>
        </row>
        <row r="19">
          <cell r="N19">
            <v>2830681.69</v>
          </cell>
        </row>
        <row r="154">
          <cell r="K154">
            <v>34281092.509999998</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 val="Cognos_Office_Connection_Cache"/>
    </sheetNames>
    <sheetDataSet>
      <sheetData sheetId="0">
        <row r="5">
          <cell r="K5">
            <v>614706.97000000009</v>
          </cell>
        </row>
      </sheetData>
      <sheetData sheetId="1">
        <row r="195">
          <cell r="J195">
            <v>784.76</v>
          </cell>
        </row>
        <row r="196">
          <cell r="J196">
            <v>0</v>
          </cell>
        </row>
        <row r="197">
          <cell r="J197">
            <v>18710811.180000003</v>
          </cell>
        </row>
        <row r="198">
          <cell r="J198">
            <v>0</v>
          </cell>
        </row>
        <row r="199">
          <cell r="J199">
            <v>6493256.7400000002</v>
          </cell>
        </row>
        <row r="200">
          <cell r="J200">
            <v>0</v>
          </cell>
        </row>
        <row r="201">
          <cell r="J201">
            <v>22920175.489999998</v>
          </cell>
        </row>
        <row r="202">
          <cell r="J202">
            <v>0</v>
          </cell>
        </row>
        <row r="203">
          <cell r="J203">
            <v>29625832.960000001</v>
          </cell>
        </row>
        <row r="210">
          <cell r="D210">
            <v>260752.46</v>
          </cell>
          <cell r="E210">
            <v>3036369.23</v>
          </cell>
        </row>
        <row r="211">
          <cell r="D211">
            <v>5448.94</v>
          </cell>
          <cell r="E211">
            <v>63450.13</v>
          </cell>
        </row>
        <row r="275">
          <cell r="L275">
            <v>768.71</v>
          </cell>
        </row>
        <row r="276">
          <cell r="L276">
            <v>16.05</v>
          </cell>
        </row>
        <row r="277">
          <cell r="L277">
            <v>18328031.550000001</v>
          </cell>
        </row>
        <row r="278">
          <cell r="L278">
            <v>-110.88</v>
          </cell>
        </row>
        <row r="279">
          <cell r="L279">
            <v>382890.51</v>
          </cell>
        </row>
        <row r="280">
          <cell r="L280">
            <v>6360336.7400000002</v>
          </cell>
        </row>
        <row r="281">
          <cell r="L281">
            <v>132920</v>
          </cell>
        </row>
      </sheetData>
      <sheetData sheetId="2">
        <row r="5">
          <cell r="D5">
            <v>5675.06</v>
          </cell>
        </row>
      </sheetData>
      <sheetData sheetId="3"/>
      <sheetData sheetId="4"/>
      <sheetData sheetId="5"/>
      <sheetData sheetId="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8.412E-2</v>
          </cell>
        </row>
        <row r="19">
          <cell r="N19">
            <v>1444064.0399999998</v>
          </cell>
        </row>
        <row r="154">
          <cell r="K154">
            <v>34043107.939999998</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7.0499999999999993E-2</v>
          </cell>
        </row>
        <row r="19">
          <cell r="N19">
            <v>4288405.2299999995</v>
          </cell>
        </row>
        <row r="154">
          <cell r="K154">
            <v>52266230.150000006</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9.1480000000000006E-2</v>
          </cell>
        </row>
        <row r="19">
          <cell r="N19">
            <v>1562796.7099999997</v>
          </cell>
        </row>
        <row r="154">
          <cell r="K154">
            <v>45848892.079999998</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0.1178</v>
          </cell>
        </row>
        <row r="19">
          <cell r="N19">
            <v>2786292.642</v>
          </cell>
        </row>
        <row r="154">
          <cell r="K154">
            <v>38059508.489999995</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0.115</v>
          </cell>
        </row>
        <row r="19">
          <cell r="N19">
            <v>3320656.34</v>
          </cell>
        </row>
        <row r="154">
          <cell r="K154">
            <v>34468366.030000001</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Bill Stats (2A) 8% Rebate"/>
      <sheetName val="Adj Stats (4A)"/>
      <sheetName val="Exit Fees (3A)"/>
      <sheetName val="Retailer"/>
      <sheetName val="GA True -up"/>
      <sheetName val="microFIT NSLS"/>
      <sheetName val="GM microFIT"/>
      <sheetName val="FIT 10 to 250"/>
      <sheetName val="OCEB"/>
      <sheetName val="OESP"/>
      <sheetName val="OREC 8%"/>
    </sheetNames>
    <sheetDataSet>
      <sheetData sheetId="0"/>
      <sheetData sheetId="1"/>
      <sheetData sheetId="2"/>
      <sheetData sheetId="3"/>
      <sheetData sheetId="4">
        <row r="18">
          <cell r="I18">
            <v>7.8719999999999998E-2</v>
          </cell>
        </row>
        <row r="19">
          <cell r="N19">
            <v>2111988.81</v>
          </cell>
        </row>
        <row r="160">
          <cell r="K160">
            <v>36051463.289999999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 2016_CNF-GUELPHHYDRO_ST-P-P"/>
    </sheetNames>
    <sheetDataSet>
      <sheetData sheetId="0">
        <row r="26">
          <cell r="X26">
            <v>9.2020185701217574E-2</v>
          </cell>
        </row>
        <row r="39">
          <cell r="F39">
            <v>-10441315.59</v>
          </cell>
          <cell r="X39">
            <v>113470.12300000001</v>
          </cell>
          <cell r="Y39">
            <v>277.98399999999998</v>
          </cell>
        </row>
      </sheetData>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229"/>
    </sheetNames>
    <sheetDataSet>
      <sheetData sheetId="0">
        <row r="29">
          <cell r="X29">
            <v>9.8881172659946295E-2</v>
          </cell>
        </row>
        <row r="40">
          <cell r="F40">
            <v>-10470843.470000001</v>
          </cell>
          <cell r="X40">
            <v>105883.04</v>
          </cell>
          <cell r="Y40">
            <v>394.149</v>
          </cell>
        </row>
        <row r="318">
          <cell r="F318">
            <v>1533.44</v>
          </cell>
        </row>
      </sheetData>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331"/>
    </sheetNames>
    <sheetDataSet>
      <sheetData sheetId="0">
        <row r="26">
          <cell r="X26">
            <v>0.10674920898216179</v>
          </cell>
        </row>
        <row r="38">
          <cell r="F38">
            <v>-11339067.49</v>
          </cell>
          <cell r="X38">
            <v>106313.026</v>
          </cell>
          <cell r="Y38">
            <v>657.48</v>
          </cell>
        </row>
        <row r="303">
          <cell r="F303">
            <v>-9031.4</v>
          </cell>
        </row>
      </sheetData>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430"/>
    </sheetNames>
    <sheetDataSet>
      <sheetData sheetId="0">
        <row r="26">
          <cell r="X26">
            <v>0.11239744760358679</v>
          </cell>
        </row>
        <row r="39">
          <cell r="F39">
            <v>-11165570.77</v>
          </cell>
          <cell r="X39">
            <v>99362.622000000003</v>
          </cell>
          <cell r="Y39">
            <v>955.47900000000004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39">
          <cell r="F39">
            <v>64.732243199999999</v>
          </cell>
        </row>
      </sheetData>
      <sheetData sheetId="1">
        <row r="315">
          <cell r="G315">
            <v>74.05</v>
          </cell>
          <cell r="H315">
            <v>651.82000000000005</v>
          </cell>
        </row>
        <row r="316">
          <cell r="G316">
            <v>30.43</v>
          </cell>
          <cell r="H316">
            <v>313.05</v>
          </cell>
        </row>
        <row r="317">
          <cell r="G317">
            <v>345427.55</v>
          </cell>
          <cell r="H317">
            <v>2911543.71</v>
          </cell>
        </row>
        <row r="318">
          <cell r="G318">
            <v>1.92</v>
          </cell>
          <cell r="H318">
            <v>16.940000000000001</v>
          </cell>
        </row>
        <row r="319">
          <cell r="G319">
            <v>0.79</v>
          </cell>
          <cell r="H319">
            <v>8.1199999999999992</v>
          </cell>
        </row>
        <row r="320">
          <cell r="G320">
            <v>8980.09</v>
          </cell>
          <cell r="H320">
            <v>75691.63</v>
          </cell>
        </row>
        <row r="365">
          <cell r="M365">
            <v>822.31000000000006</v>
          </cell>
        </row>
        <row r="366">
          <cell r="M366">
            <v>19281405.129999999</v>
          </cell>
        </row>
        <row r="367">
          <cell r="M367">
            <v>7267400.9099999992</v>
          </cell>
        </row>
        <row r="368">
          <cell r="M368">
            <v>23642858.91</v>
          </cell>
        </row>
        <row r="369">
          <cell r="M369">
            <v>27182223.029999997</v>
          </cell>
        </row>
        <row r="370">
          <cell r="M370">
            <v>3370941.18</v>
          </cell>
        </row>
        <row r="416">
          <cell r="R416">
            <v>801.49</v>
          </cell>
        </row>
        <row r="417">
          <cell r="R417">
            <v>20.82</v>
          </cell>
        </row>
        <row r="418">
          <cell r="R418">
            <v>4615.1099999999997</v>
          </cell>
        </row>
        <row r="419">
          <cell r="R419">
            <v>18788633.989999998</v>
          </cell>
        </row>
        <row r="420">
          <cell r="R420">
            <v>-300.57</v>
          </cell>
        </row>
        <row r="421">
          <cell r="R421">
            <v>119.82</v>
          </cell>
        </row>
        <row r="422">
          <cell r="R422">
            <v>488336.78</v>
          </cell>
        </row>
        <row r="423">
          <cell r="R423">
            <v>1503777.51</v>
          </cell>
        </row>
        <row r="424">
          <cell r="R424">
            <v>1290.0999999999999</v>
          </cell>
        </row>
        <row r="425">
          <cell r="R425">
            <v>5578180.0999999996</v>
          </cell>
        </row>
        <row r="426">
          <cell r="R426">
            <v>39098.160000000003</v>
          </cell>
        </row>
        <row r="427">
          <cell r="R427">
            <v>33.520000000000003</v>
          </cell>
        </row>
        <row r="428">
          <cell r="R428">
            <v>145021.51999999999</v>
          </cell>
        </row>
      </sheetData>
      <sheetData sheetId="2" refreshError="1"/>
      <sheetData sheetId="3" refreshError="1"/>
      <sheetData sheetId="4" refreshError="1"/>
      <sheetData sheetId="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531"/>
    </sheetNames>
    <sheetDataSet>
      <sheetData sheetId="0">
        <row r="26">
          <cell r="X26">
            <v>0.10901059847286008</v>
          </cell>
        </row>
        <row r="40">
          <cell r="F40">
            <v>-10828737.93</v>
          </cell>
          <cell r="X40">
            <v>99227.975000000006</v>
          </cell>
          <cell r="Y40">
            <v>1406.777</v>
          </cell>
        </row>
        <row r="368">
          <cell r="F368">
            <v>12734.98</v>
          </cell>
        </row>
      </sheetData>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630"/>
    </sheetNames>
    <sheetDataSet>
      <sheetData sheetId="0">
        <row r="23">
          <cell r="X23">
            <v>9.7030846134448859E-2</v>
          </cell>
        </row>
        <row r="38">
          <cell r="F38">
            <v>-9946320.2899999991</v>
          </cell>
          <cell r="X38">
            <v>103039.783</v>
          </cell>
          <cell r="Y38">
            <v>1700.452</v>
          </cell>
        </row>
        <row r="369">
          <cell r="F369">
            <v>-3666.56</v>
          </cell>
        </row>
        <row r="370">
          <cell r="F370">
            <v>-4220.07</v>
          </cell>
        </row>
        <row r="371">
          <cell r="F371">
            <v>-6444.05</v>
          </cell>
        </row>
        <row r="372">
          <cell r="F372">
            <v>-3801.07</v>
          </cell>
        </row>
        <row r="373">
          <cell r="F373">
            <v>-3908.64</v>
          </cell>
        </row>
        <row r="374">
          <cell r="F374">
            <v>-5143.6499999999996</v>
          </cell>
        </row>
        <row r="375">
          <cell r="F375">
            <v>-5282.9</v>
          </cell>
        </row>
        <row r="376">
          <cell r="F376">
            <v>-6305.49</v>
          </cell>
        </row>
        <row r="377">
          <cell r="F377">
            <v>-4829.59</v>
          </cell>
        </row>
        <row r="378">
          <cell r="F378">
            <v>-6158.55</v>
          </cell>
        </row>
      </sheetData>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731"/>
    </sheetNames>
    <sheetDataSet>
      <sheetData sheetId="0">
        <row r="28">
          <cell r="X28">
            <v>8.4503900442052138E-2</v>
          </cell>
        </row>
        <row r="39">
          <cell r="F39">
            <v>-9381230.9199999999</v>
          </cell>
          <cell r="X39">
            <v>111248.416</v>
          </cell>
          <cell r="Y39">
            <v>1935.527</v>
          </cell>
        </row>
        <row r="369">
          <cell r="F369">
            <v>-21124.16</v>
          </cell>
        </row>
        <row r="370">
          <cell r="F370">
            <v>0</v>
          </cell>
        </row>
        <row r="371">
          <cell r="F371">
            <v>0</v>
          </cell>
        </row>
      </sheetData>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831"/>
    </sheetNames>
    <sheetDataSet>
      <sheetData sheetId="0">
        <row r="22">
          <cell r="X22">
            <v>7.2083864483660026E-2</v>
          </cell>
        </row>
        <row r="40">
          <cell r="F40">
            <v>-8668261.8100000005</v>
          </cell>
          <cell r="X40">
            <v>120276.68399999999</v>
          </cell>
          <cell r="Y40">
            <v>1781.845</v>
          </cell>
        </row>
        <row r="377">
          <cell r="F377">
            <v>-1228.6099999999999</v>
          </cell>
        </row>
      </sheetData>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930"/>
    </sheetNames>
    <sheetDataSet>
      <sheetData sheetId="0">
        <row r="30">
          <cell r="X30">
            <v>9.6737940988535331E-2</v>
          </cell>
        </row>
        <row r="40">
          <cell r="F40">
            <v>-10185920.51</v>
          </cell>
          <cell r="X40">
            <v>105274.052</v>
          </cell>
          <cell r="Y40">
            <v>1585.2139999999999</v>
          </cell>
        </row>
        <row r="358">
          <cell r="F358">
            <v>6360.21</v>
          </cell>
        </row>
      </sheetData>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1031"/>
    </sheetNames>
    <sheetDataSet>
      <sheetData sheetId="0">
        <row r="20">
          <cell r="X20">
            <v>0.11370472816756631</v>
          </cell>
        </row>
        <row r="38">
          <cell r="F38">
            <v>-11437594.960000001</v>
          </cell>
          <cell r="X38">
            <v>100601.13</v>
          </cell>
          <cell r="Y38">
            <v>1293.567</v>
          </cell>
        </row>
      </sheetData>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1130"/>
    </sheetNames>
    <sheetDataSet>
      <sheetData sheetId="0">
        <row r="25">
          <cell r="X25">
            <v>0.1121163126961354</v>
          </cell>
        </row>
        <row r="40">
          <cell r="F40">
            <v>-11522517.869999999</v>
          </cell>
          <cell r="X40">
            <v>102769.572</v>
          </cell>
          <cell r="Y40">
            <v>944.351</v>
          </cell>
        </row>
      </sheetData>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1231"/>
    </sheetNames>
    <sheetDataSet>
      <sheetData sheetId="0">
        <row r="20">
          <cell r="X20">
            <v>8.7595358220541319E-2</v>
          </cell>
        </row>
        <row r="40">
          <cell r="F40">
            <v>-9536142.2799999993</v>
          </cell>
          <cell r="X40">
            <v>108899.185</v>
          </cell>
          <cell r="Y40">
            <v>646.47</v>
          </cell>
        </row>
        <row r="319">
          <cell r="F319">
            <v>40.24</v>
          </cell>
        </row>
      </sheetData>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70131"/>
    </sheetNames>
    <sheetDataSet>
      <sheetData sheetId="0">
        <row r="39">
          <cell r="F39">
            <v>-9419115.4399999995</v>
          </cell>
          <cell r="X39">
            <v>113745.821</v>
          </cell>
          <cell r="Y39">
            <v>127.86799999999999</v>
          </cell>
        </row>
      </sheetData>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70228"/>
    </sheetNames>
    <sheetDataSet>
      <sheetData sheetId="0">
        <row r="39">
          <cell r="F39">
            <v>-8684680.2100000009</v>
          </cell>
          <cell r="X39">
            <v>100300.166</v>
          </cell>
          <cell r="Y39">
            <v>224.571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orm"/>
      <sheetName val="Retailers "/>
      <sheetName val="Summary"/>
      <sheetName val="2016 Consumption Report"/>
      <sheetName val="2016 ADJ"/>
      <sheetName val="2015 UBR"/>
      <sheetName val="2016 UBR"/>
      <sheetName val="double check"/>
    </sheetNames>
    <sheetDataSet>
      <sheetData sheetId="0"/>
      <sheetData sheetId="1">
        <row r="16">
          <cell r="C16">
            <v>499477250.51615453</v>
          </cell>
        </row>
        <row r="33">
          <cell r="G33">
            <v>1668245566.6599998</v>
          </cell>
        </row>
      </sheetData>
      <sheetData sheetId="2"/>
      <sheetData sheetId="3"/>
      <sheetData sheetId="4"/>
      <sheetData sheetId="5"/>
      <sheetData sheetId="6"/>
      <sheetData sheetId="7"/>
      <sheetData sheetId="8"/>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70331"/>
    </sheetNames>
    <sheetDataSet>
      <sheetData sheetId="0">
        <row r="41">
          <cell r="F41">
            <v>-7951786.8899999997</v>
          </cell>
          <cell r="X41">
            <v>110632.17200000001</v>
          </cell>
          <cell r="Y41">
            <v>807.98800000000006</v>
          </cell>
        </row>
        <row r="366">
          <cell r="F366">
            <v>807.12</v>
          </cell>
        </row>
      </sheetData>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70430"/>
    </sheetNames>
    <sheetDataSet>
      <sheetData sheetId="0">
        <row r="40">
          <cell r="F40">
            <v>-10196735.74</v>
          </cell>
          <cell r="X40">
            <v>94420.407999999996</v>
          </cell>
          <cell r="Y40">
            <v>1215.134</v>
          </cell>
        </row>
        <row r="347">
          <cell r="F347">
            <v>-5746.82</v>
          </cell>
        </row>
        <row r="348">
          <cell r="F348">
            <v>-1730.88</v>
          </cell>
        </row>
        <row r="349">
          <cell r="F349">
            <v>-104188.96</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70531"/>
    </sheetNames>
    <sheetDataSet>
      <sheetData sheetId="0">
        <row r="40">
          <cell r="F40">
            <v>-12205772.08</v>
          </cell>
          <cell r="X40">
            <v>98542.611000000004</v>
          </cell>
          <cell r="Y40">
            <v>1497.53</v>
          </cell>
        </row>
        <row r="313">
          <cell r="F313">
            <v>-86854.33</v>
          </cell>
        </row>
      </sheetData>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70630"/>
    </sheetNames>
    <sheetDataSet>
      <sheetData sheetId="0">
        <row r="38">
          <cell r="F38">
            <v>-14735443.560000001</v>
          </cell>
          <cell r="X38">
            <v>102530.18406999999</v>
          </cell>
        </row>
        <row r="350">
          <cell r="F350">
            <v>-129699.65</v>
          </cell>
        </row>
        <row r="351">
          <cell r="F351">
            <v>-1218240.8999999999</v>
          </cell>
        </row>
      </sheetData>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A"/>
      <sheetName val="Net Metering"/>
      <sheetName val="Sheet3"/>
    </sheetNames>
    <sheetDataSet>
      <sheetData sheetId="0">
        <row r="23">
          <cell r="D23">
            <v>1783937.2762312556</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964">
          <cell r="H4964">
            <v>6404410.9299999988</v>
          </cell>
          <cell r="I4964">
            <v>58743140.229999997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efreshError="1"/>
      <sheetData sheetId="1">
        <row r="244">
          <cell r="J244">
            <v>483.97</v>
          </cell>
        </row>
        <row r="245">
          <cell r="J245">
            <v>0</v>
          </cell>
        </row>
        <row r="246">
          <cell r="J246">
            <v>17082741.390000001</v>
          </cell>
        </row>
        <row r="247">
          <cell r="J247">
            <v>0</v>
          </cell>
        </row>
        <row r="248">
          <cell r="J248">
            <v>5427077.9299999997</v>
          </cell>
        </row>
        <row r="249">
          <cell r="J249">
            <v>0</v>
          </cell>
        </row>
        <row r="250">
          <cell r="J250">
            <v>19138586.75</v>
          </cell>
        </row>
        <row r="251">
          <cell r="J251">
            <v>0</v>
          </cell>
        </row>
        <row r="252">
          <cell r="J252">
            <v>26225710.060000002</v>
          </cell>
        </row>
        <row r="256">
          <cell r="D256">
            <v>299639.64</v>
          </cell>
          <cell r="E256">
            <v>2794148.78</v>
          </cell>
        </row>
        <row r="257">
          <cell r="D257">
            <v>6551.27</v>
          </cell>
          <cell r="E257">
            <v>61827.77</v>
          </cell>
        </row>
        <row r="321">
          <cell r="L321">
            <v>472.91</v>
          </cell>
        </row>
        <row r="322">
          <cell r="L322">
            <v>11.06</v>
          </cell>
        </row>
        <row r="323">
          <cell r="L323">
            <v>16707343.51</v>
          </cell>
        </row>
        <row r="324">
          <cell r="L324">
            <v>-72.650000000000006</v>
          </cell>
        </row>
        <row r="325">
          <cell r="L325">
            <v>375470.53</v>
          </cell>
        </row>
        <row r="326">
          <cell r="L326">
            <v>5302737.7699999996</v>
          </cell>
        </row>
        <row r="327">
          <cell r="L327">
            <v>124340.16</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www.ieso.ca/en/sector-participants/settlements/global-adjustment-for-class-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G84" sqref="G84"/>
    </sheetView>
  </sheetViews>
  <sheetFormatPr defaultColWidth="9.140625" defaultRowHeight="15"/>
  <cols>
    <col min="1" max="1" width="5.5703125" style="40" customWidth="1"/>
    <col min="2" max="2" width="16.140625" style="77" customWidth="1"/>
    <col min="3" max="3" width="164.5703125" style="38" customWidth="1"/>
    <col min="4" max="16384" width="9.140625" style="38"/>
  </cols>
  <sheetData>
    <row r="10" spans="1:3" ht="15.75">
      <c r="C10" s="122" t="s">
        <v>160</v>
      </c>
    </row>
    <row r="11" spans="1:3" ht="15.75">
      <c r="A11" s="41" t="s">
        <v>121</v>
      </c>
    </row>
    <row r="13" spans="1:3" ht="15.75">
      <c r="A13" s="42" t="s">
        <v>31</v>
      </c>
    </row>
    <row r="14" spans="1:3" ht="34.5" customHeight="1">
      <c r="A14" s="374" t="s">
        <v>153</v>
      </c>
      <c r="B14" s="374"/>
      <c r="C14" s="374"/>
    </row>
    <row r="16" spans="1:3" ht="15.75">
      <c r="A16" s="42" t="s">
        <v>46</v>
      </c>
    </row>
    <row r="17" spans="1:26">
      <c r="A17" s="40" t="s">
        <v>47</v>
      </c>
    </row>
    <row r="18" spans="1:26" ht="33" customHeight="1">
      <c r="A18" s="376" t="s">
        <v>84</v>
      </c>
      <c r="B18" s="376"/>
      <c r="C18" s="376"/>
    </row>
    <row r="20" spans="1:26">
      <c r="A20" s="40">
        <v>1</v>
      </c>
      <c r="B20" s="373" t="s">
        <v>139</v>
      </c>
      <c r="C20" s="373"/>
    </row>
    <row r="21" spans="1:26">
      <c r="B21" s="119"/>
      <c r="C21" s="119"/>
    </row>
    <row r="23" spans="1:26" ht="31.5" customHeight="1">
      <c r="A23" s="40">
        <v>2</v>
      </c>
      <c r="B23" s="374" t="s">
        <v>85</v>
      </c>
      <c r="C23" s="374"/>
    </row>
    <row r="24" spans="1:26">
      <c r="B24" s="118"/>
      <c r="C24" s="118"/>
    </row>
    <row r="26" spans="1:26">
      <c r="A26" s="40">
        <v>3</v>
      </c>
      <c r="B26" s="375" t="s">
        <v>108</v>
      </c>
      <c r="C26" s="375"/>
    </row>
    <row r="27" spans="1:26" ht="32.25" customHeight="1">
      <c r="B27" s="374" t="s">
        <v>116</v>
      </c>
      <c r="C27" s="374"/>
    </row>
    <row r="28" spans="1:26" ht="63" customHeight="1">
      <c r="B28" s="374" t="s">
        <v>128</v>
      </c>
      <c r="C28" s="374"/>
      <c r="D28" s="43"/>
      <c r="E28" s="39"/>
      <c r="F28" s="39"/>
      <c r="G28" s="39"/>
      <c r="H28" s="39"/>
      <c r="I28" s="39"/>
      <c r="J28" s="39"/>
      <c r="K28" s="39"/>
      <c r="L28" s="39"/>
      <c r="M28" s="39"/>
      <c r="N28" s="39"/>
      <c r="O28" s="39"/>
      <c r="P28" s="39"/>
      <c r="Q28" s="39"/>
      <c r="R28" s="39"/>
      <c r="S28" s="39"/>
      <c r="T28" s="39"/>
      <c r="U28" s="39"/>
      <c r="V28" s="39"/>
      <c r="W28" s="39"/>
      <c r="X28" s="39"/>
      <c r="Y28" s="39"/>
      <c r="Z28" s="39"/>
    </row>
    <row r="29" spans="1:26" ht="30" customHeight="1">
      <c r="B29" s="374" t="s">
        <v>117</v>
      </c>
      <c r="C29" s="374"/>
      <c r="D29" s="43"/>
      <c r="E29" s="39"/>
      <c r="F29" s="39"/>
      <c r="G29" s="39"/>
      <c r="H29" s="39"/>
      <c r="I29" s="39"/>
      <c r="J29" s="39"/>
      <c r="K29" s="39"/>
      <c r="L29" s="39"/>
      <c r="M29" s="39"/>
      <c r="N29" s="39"/>
      <c r="O29" s="39"/>
      <c r="P29" s="39"/>
      <c r="Q29" s="39"/>
      <c r="R29" s="39"/>
      <c r="S29" s="39"/>
      <c r="T29" s="39"/>
      <c r="U29" s="39"/>
      <c r="V29" s="39"/>
      <c r="W29" s="39"/>
      <c r="X29" s="39"/>
      <c r="Y29" s="39"/>
      <c r="Z29" s="39"/>
    </row>
    <row r="30" spans="1:26">
      <c r="B30" s="80" t="s">
        <v>43</v>
      </c>
    </row>
    <row r="31" spans="1:26">
      <c r="B31" s="80"/>
    </row>
    <row r="32" spans="1:26">
      <c r="B32" s="80"/>
    </row>
    <row r="33" spans="1:3" ht="35.25" customHeight="1">
      <c r="A33" s="374" t="s">
        <v>154</v>
      </c>
      <c r="B33" s="374"/>
      <c r="C33" s="374"/>
    </row>
    <row r="34" spans="1:3">
      <c r="B34" s="118"/>
      <c r="C34" s="118"/>
    </row>
    <row r="35" spans="1:3">
      <c r="B35" s="79"/>
    </row>
    <row r="36" spans="1:3">
      <c r="A36" s="40">
        <v>4</v>
      </c>
      <c r="B36" s="375" t="s">
        <v>140</v>
      </c>
      <c r="C36" s="375"/>
    </row>
    <row r="37" spans="1:3" ht="78.75" customHeight="1">
      <c r="B37" s="374" t="s">
        <v>141</v>
      </c>
      <c r="C37" s="374"/>
    </row>
    <row r="38" spans="1:3" ht="65.25" customHeight="1">
      <c r="B38" s="374" t="s">
        <v>123</v>
      </c>
      <c r="C38" s="374"/>
    </row>
    <row r="39" spans="1:3" ht="31.5" customHeight="1">
      <c r="B39" s="374" t="s">
        <v>122</v>
      </c>
      <c r="C39" s="374"/>
    </row>
    <row r="40" spans="1:3" ht="30" customHeight="1">
      <c r="B40" s="374" t="s">
        <v>124</v>
      </c>
      <c r="C40" s="374"/>
    </row>
    <row r="41" spans="1:3">
      <c r="B41" s="118"/>
      <c r="C41" s="118"/>
    </row>
    <row r="42" spans="1:3" ht="47.25" customHeight="1">
      <c r="B42" s="84" t="s">
        <v>109</v>
      </c>
      <c r="C42" s="39" t="s">
        <v>86</v>
      </c>
    </row>
    <row r="43" spans="1:3" ht="33.75" customHeight="1">
      <c r="B43" s="84" t="s">
        <v>111</v>
      </c>
      <c r="C43" s="39" t="s">
        <v>110</v>
      </c>
    </row>
    <row r="44" spans="1:3">
      <c r="B44" s="84" t="s">
        <v>114</v>
      </c>
      <c r="C44" s="39" t="s">
        <v>112</v>
      </c>
    </row>
    <row r="45" spans="1:3">
      <c r="B45" s="85" t="s">
        <v>115</v>
      </c>
      <c r="C45" s="78" t="s">
        <v>113</v>
      </c>
    </row>
    <row r="46" spans="1:3">
      <c r="B46" s="82"/>
      <c r="C46" s="78"/>
    </row>
    <row r="48" spans="1:3">
      <c r="A48" s="40">
        <v>5</v>
      </c>
      <c r="B48" s="83" t="s">
        <v>118</v>
      </c>
    </row>
    <row r="49" spans="2:3" ht="29.25" customHeight="1">
      <c r="B49" s="374" t="s">
        <v>134</v>
      </c>
      <c r="C49" s="374"/>
    </row>
    <row r="51" spans="2:3" ht="30" customHeight="1">
      <c r="B51" s="374" t="s">
        <v>119</v>
      </c>
      <c r="C51" s="374"/>
    </row>
    <row r="52" spans="2:3" ht="30" customHeight="1">
      <c r="B52" s="374" t="s">
        <v>87</v>
      </c>
      <c r="C52" s="374"/>
    </row>
    <row r="53" spans="2:3">
      <c r="B53" s="118"/>
      <c r="C53" s="118"/>
    </row>
    <row r="54" spans="2:3">
      <c r="B54" s="120" t="s">
        <v>88</v>
      </c>
    </row>
    <row r="55" spans="2:3">
      <c r="B55" s="86" t="s">
        <v>89</v>
      </c>
      <c r="C55" s="39" t="s">
        <v>90</v>
      </c>
    </row>
    <row r="56" spans="2:3" ht="45">
      <c r="B56" s="86"/>
      <c r="C56" s="39" t="s">
        <v>155</v>
      </c>
    </row>
    <row r="57" spans="2:3">
      <c r="B57" s="86"/>
      <c r="C57" s="38" t="s">
        <v>91</v>
      </c>
    </row>
    <row r="58" spans="2:3">
      <c r="B58" s="86"/>
      <c r="C58" s="38" t="s">
        <v>92</v>
      </c>
    </row>
    <row r="59" spans="2:3" ht="21" customHeight="1">
      <c r="B59" s="87" t="s">
        <v>95</v>
      </c>
      <c r="C59" s="38" t="s">
        <v>94</v>
      </c>
    </row>
    <row r="60" spans="2:3" ht="18.75" customHeight="1">
      <c r="B60" s="87"/>
      <c r="C60" s="39" t="s">
        <v>93</v>
      </c>
    </row>
    <row r="61" spans="2:3">
      <c r="B61" s="87"/>
      <c r="C61" s="38" t="s">
        <v>96</v>
      </c>
    </row>
    <row r="62" spans="2:3">
      <c r="B62" s="87"/>
      <c r="C62" s="38" t="s">
        <v>97</v>
      </c>
    </row>
    <row r="63" spans="2:3">
      <c r="B63" s="87" t="s">
        <v>99</v>
      </c>
      <c r="C63" s="38" t="s">
        <v>98</v>
      </c>
    </row>
    <row r="64" spans="2:3" ht="45">
      <c r="B64" s="87"/>
      <c r="C64" s="118" t="s">
        <v>100</v>
      </c>
    </row>
    <row r="65" spans="1:3">
      <c r="B65" s="87"/>
      <c r="C65" s="38" t="s">
        <v>101</v>
      </c>
    </row>
    <row r="66" spans="1:3">
      <c r="B66" s="87"/>
      <c r="C66" s="38" t="s">
        <v>125</v>
      </c>
    </row>
    <row r="67" spans="1:3">
      <c r="B67" s="87" t="s">
        <v>103</v>
      </c>
      <c r="C67" s="38" t="s">
        <v>102</v>
      </c>
    </row>
    <row r="68" spans="1:3" ht="45">
      <c r="B68" s="87"/>
      <c r="C68" s="118" t="s">
        <v>143</v>
      </c>
    </row>
    <row r="69" spans="1:3" ht="30">
      <c r="B69" s="87"/>
      <c r="C69" s="118" t="s">
        <v>144</v>
      </c>
    </row>
    <row r="70" spans="1:3">
      <c r="B70" s="87" t="s">
        <v>105</v>
      </c>
      <c r="C70" s="38" t="s">
        <v>104</v>
      </c>
    </row>
    <row r="71" spans="1:3" ht="30">
      <c r="B71" s="87"/>
      <c r="C71" s="118" t="s">
        <v>106</v>
      </c>
    </row>
    <row r="72" spans="1:3">
      <c r="B72" s="87" t="s">
        <v>145</v>
      </c>
      <c r="C72" s="118" t="s">
        <v>136</v>
      </c>
    </row>
    <row r="73" spans="1:3" ht="45">
      <c r="B73" s="87"/>
      <c r="C73" s="118" t="s">
        <v>147</v>
      </c>
    </row>
    <row r="74" spans="1:3">
      <c r="B74" s="87" t="s">
        <v>146</v>
      </c>
      <c r="C74" s="118" t="s">
        <v>148</v>
      </c>
    </row>
    <row r="75" spans="1:3" ht="30">
      <c r="B75" s="87"/>
      <c r="C75" s="118" t="s">
        <v>126</v>
      </c>
    </row>
    <row r="76" spans="1:3">
      <c r="B76" s="87"/>
      <c r="C76" s="118"/>
    </row>
    <row r="77" spans="1:3">
      <c r="A77" s="40">
        <v>6</v>
      </c>
      <c r="B77" s="121" t="s">
        <v>150</v>
      </c>
      <c r="C77" s="118"/>
    </row>
    <row r="78" spans="1:3" ht="59.25" customHeight="1">
      <c r="B78" s="376" t="s">
        <v>151</v>
      </c>
      <c r="C78" s="376"/>
    </row>
    <row r="79" spans="1:3">
      <c r="B79" s="81"/>
      <c r="C79" s="118"/>
    </row>
    <row r="81" spans="1:3" ht="30.75" customHeight="1">
      <c r="A81" s="40">
        <v>7</v>
      </c>
      <c r="B81" s="374" t="s">
        <v>152</v>
      </c>
      <c r="C81" s="374"/>
    </row>
    <row r="82" spans="1:3">
      <c r="B82" s="118"/>
      <c r="C82" s="118"/>
    </row>
    <row r="83" spans="1:3" ht="15.75" customHeight="1">
      <c r="B83" s="373" t="s">
        <v>107</v>
      </c>
      <c r="C83" s="373"/>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4"/>
  <sheetViews>
    <sheetView tabSelected="1" topLeftCell="A55" zoomScaleNormal="100" zoomScaleSheetLayoutView="100" workbookViewId="0">
      <selection activeCell="D65" sqref="D65"/>
    </sheetView>
  </sheetViews>
  <sheetFormatPr defaultColWidth="9.140625" defaultRowHeight="14.25"/>
  <cols>
    <col min="1" max="1" width="10.28515625" style="1" customWidth="1"/>
    <col min="2" max="2" width="53.85546875" style="363"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c r="A12" s="45" t="s">
        <v>48</v>
      </c>
      <c r="B12" s="359"/>
      <c r="C12" s="45"/>
    </row>
    <row r="13" spans="1:24">
      <c r="A13" s="4"/>
      <c r="B13" s="359"/>
      <c r="C13" s="4"/>
    </row>
    <row r="14" spans="1:24" ht="15">
      <c r="A14" s="4"/>
      <c r="B14" s="359" t="s">
        <v>32</v>
      </c>
      <c r="C14" s="21"/>
      <c r="D14" s="4"/>
      <c r="E14" s="4"/>
      <c r="F14" s="4"/>
      <c r="X14" s="1">
        <v>2014</v>
      </c>
    </row>
    <row r="15" spans="1:24" ht="15">
      <c r="A15" s="4"/>
      <c r="B15" s="359" t="s">
        <v>60</v>
      </c>
      <c r="C15" s="53"/>
      <c r="D15" s="4"/>
      <c r="E15" s="4"/>
      <c r="F15" s="4"/>
    </row>
    <row r="16" spans="1:24" ht="15">
      <c r="A16" s="4"/>
      <c r="B16" s="360"/>
      <c r="C16" s="13"/>
      <c r="D16" s="4"/>
      <c r="E16" s="4"/>
      <c r="F16" s="4"/>
      <c r="X16" s="1">
        <v>2015</v>
      </c>
    </row>
    <row r="17" spans="1:24" ht="15">
      <c r="A17" s="4" t="s">
        <v>33</v>
      </c>
      <c r="B17" s="360" t="s">
        <v>129</v>
      </c>
      <c r="C17" s="22">
        <v>2016</v>
      </c>
      <c r="D17" s="4"/>
      <c r="E17" s="4"/>
      <c r="F17" s="4"/>
      <c r="X17" s="1">
        <v>2016</v>
      </c>
    </row>
    <row r="18" spans="1:24" ht="15">
      <c r="A18" s="4"/>
      <c r="B18" s="360"/>
      <c r="C18" s="13"/>
      <c r="D18" s="4"/>
      <c r="E18" s="4"/>
      <c r="F18" s="4"/>
    </row>
    <row r="19" spans="1:24" ht="15">
      <c r="A19" s="4"/>
      <c r="B19" s="360"/>
      <c r="C19" s="13"/>
      <c r="D19" s="4"/>
      <c r="E19" s="4"/>
      <c r="F19" s="4"/>
    </row>
    <row r="20" spans="1:24" ht="30">
      <c r="A20" s="4" t="s">
        <v>34</v>
      </c>
      <c r="B20" s="361" t="s">
        <v>81</v>
      </c>
      <c r="C20" s="20"/>
      <c r="D20" s="20"/>
      <c r="E20" s="20"/>
      <c r="F20" s="20"/>
      <c r="I20" s="73"/>
      <c r="J20" s="73"/>
      <c r="K20" s="73"/>
      <c r="L20" s="73"/>
      <c r="M20" s="73"/>
      <c r="N20" s="73"/>
      <c r="O20" s="73"/>
      <c r="P20" s="73"/>
      <c r="Q20" s="73"/>
      <c r="R20" s="73"/>
      <c r="S20" s="73"/>
    </row>
    <row r="21" spans="1:24" ht="15">
      <c r="A21" s="4"/>
      <c r="B21" s="382" t="s">
        <v>25</v>
      </c>
      <c r="C21" s="382"/>
      <c r="D21" s="22">
        <v>2016</v>
      </c>
      <c r="E21" s="383"/>
      <c r="F21" s="384"/>
      <c r="G21" s="73"/>
      <c r="H21" s="73"/>
      <c r="I21" s="73"/>
      <c r="J21" s="73"/>
      <c r="K21" s="73"/>
      <c r="L21" s="73"/>
      <c r="M21" s="73"/>
      <c r="N21" s="73"/>
      <c r="O21" s="73"/>
      <c r="P21" s="73"/>
      <c r="Q21" s="73"/>
    </row>
    <row r="22" spans="1:24" ht="15" thickBot="1">
      <c r="A22" s="4"/>
      <c r="B22" s="362" t="s">
        <v>3</v>
      </c>
      <c r="C22" s="5" t="s">
        <v>2</v>
      </c>
      <c r="D22" s="105">
        <f>D23+D24</f>
        <v>1668245566.6461544</v>
      </c>
      <c r="E22" s="6" t="s">
        <v>0</v>
      </c>
      <c r="F22" s="7">
        <v>1</v>
      </c>
      <c r="G22" s="73"/>
      <c r="H22" s="73"/>
      <c r="I22" s="73"/>
      <c r="J22" s="73"/>
      <c r="K22" s="73"/>
      <c r="L22" s="73"/>
      <c r="M22" s="73"/>
      <c r="N22" s="73"/>
      <c r="O22" s="73"/>
      <c r="P22" s="73"/>
      <c r="Q22" s="73"/>
    </row>
    <row r="23" spans="1:24">
      <c r="B23" s="362" t="s">
        <v>7</v>
      </c>
      <c r="C23" s="5" t="s">
        <v>1</v>
      </c>
      <c r="D23" s="123">
        <f>'[1]GA Analysis'!$D$12</f>
        <v>499477250.51615453</v>
      </c>
      <c r="E23" s="6" t="s">
        <v>0</v>
      </c>
      <c r="F23" s="8">
        <f>IFERROR(D23/$D$22,0)</f>
        <v>0.29940271414615838</v>
      </c>
    </row>
    <row r="24" spans="1:24" ht="15" thickBot="1">
      <c r="B24" s="362" t="s">
        <v>8</v>
      </c>
      <c r="C24" s="5" t="s">
        <v>6</v>
      </c>
      <c r="D24" s="105">
        <f>D25+D26</f>
        <v>1168768316.1299999</v>
      </c>
      <c r="E24" s="6" t="s">
        <v>0</v>
      </c>
      <c r="F24" s="8">
        <f>IFERROR(D24/$D$22,0)</f>
        <v>0.70059728585384162</v>
      </c>
    </row>
    <row r="25" spans="1:24">
      <c r="B25" s="362" t="s">
        <v>9</v>
      </c>
      <c r="C25" s="5" t="s">
        <v>4</v>
      </c>
      <c r="D25" s="123">
        <f>'[2]2016 Cust. switch Class A to B'!$F$34+'[2]2016 Cust. switch Class A to B'!$F$35</f>
        <v>419184288.53037626</v>
      </c>
      <c r="E25" s="6" t="s">
        <v>0</v>
      </c>
      <c r="F25" s="8">
        <f>IFERROR(D25/$D$22,0)</f>
        <v>0.2512725326002847</v>
      </c>
    </row>
    <row r="26" spans="1:24">
      <c r="B26" s="362" t="s">
        <v>61</v>
      </c>
      <c r="C26" s="5" t="s">
        <v>5</v>
      </c>
      <c r="D26" s="123">
        <f>'[2]2016 Cust. switch Class A to B'!$F$36</f>
        <v>749584027.59962356</v>
      </c>
      <c r="E26" s="6" t="s">
        <v>0</v>
      </c>
      <c r="F26" s="8">
        <f>IFERROR(D26/$D$22,0)</f>
        <v>0.44932475325355692</v>
      </c>
      <c r="G26" s="27"/>
      <c r="H26" s="27"/>
    </row>
    <row r="27" spans="1:24" ht="34.5" customHeight="1">
      <c r="B27" s="385" t="s">
        <v>76</v>
      </c>
      <c r="C27" s="385"/>
      <c r="D27" s="385"/>
      <c r="E27" s="385"/>
      <c r="F27" s="385"/>
      <c r="G27" s="386"/>
      <c r="H27" s="386"/>
    </row>
    <row r="28" spans="1:24">
      <c r="D28" s="106"/>
      <c r="E28" s="33"/>
      <c r="F28" s="33"/>
      <c r="G28" s="33"/>
    </row>
    <row r="29" spans="1:24" ht="15">
      <c r="A29" s="1" t="s">
        <v>35</v>
      </c>
      <c r="B29" s="364" t="s">
        <v>41</v>
      </c>
    </row>
    <row r="30" spans="1:24" ht="15">
      <c r="B30" s="364"/>
    </row>
    <row r="31" spans="1:24" ht="15">
      <c r="B31" s="9" t="s">
        <v>22</v>
      </c>
      <c r="C31" s="50" t="s">
        <v>161</v>
      </c>
      <c r="E31" s="73"/>
      <c r="F31" s="33"/>
      <c r="G31" s="33"/>
      <c r="H31" s="33"/>
      <c r="I31" s="33"/>
      <c r="J31" s="33"/>
      <c r="K31" s="33"/>
    </row>
    <row r="32" spans="1:24">
      <c r="E32" s="73"/>
      <c r="F32" s="33"/>
      <c r="G32" s="33"/>
      <c r="H32" s="33"/>
      <c r="I32" s="33"/>
      <c r="J32" s="33"/>
      <c r="K32" s="33"/>
    </row>
    <row r="33" spans="1:23" ht="15">
      <c r="B33" s="9" t="s">
        <v>42</v>
      </c>
    </row>
    <row r="34" spans="1:23" ht="15" customHeight="1">
      <c r="B34" s="34"/>
      <c r="C34" s="34"/>
      <c r="D34" s="34"/>
      <c r="E34" s="34"/>
      <c r="F34" s="34"/>
      <c r="G34" s="34"/>
      <c r="H34" s="34"/>
    </row>
    <row r="35" spans="1:23" ht="15" customHeight="1">
      <c r="B35" s="34"/>
      <c r="C35" s="34"/>
      <c r="D35" s="34"/>
      <c r="E35" s="34"/>
      <c r="F35" s="34"/>
      <c r="G35" s="34"/>
      <c r="H35" s="34"/>
    </row>
    <row r="36" spans="1:23" ht="15" customHeight="1">
      <c r="B36" s="34"/>
      <c r="C36" s="34"/>
      <c r="D36" s="34"/>
      <c r="E36" s="34"/>
      <c r="F36" s="34"/>
      <c r="G36" s="34"/>
      <c r="H36" s="34"/>
    </row>
    <row r="37" spans="1:23" ht="15" customHeight="1">
      <c r="B37" s="34"/>
      <c r="C37" s="34"/>
      <c r="D37" s="34"/>
      <c r="E37" s="34"/>
      <c r="F37" s="34"/>
      <c r="G37" s="34"/>
      <c r="H37" s="34"/>
    </row>
    <row r="38" spans="1:23" ht="14.25" customHeight="1">
      <c r="B38" s="34"/>
      <c r="C38" s="34"/>
      <c r="D38" s="34"/>
      <c r="E38" s="34"/>
      <c r="F38" s="34"/>
      <c r="G38" s="34"/>
      <c r="H38" s="34"/>
    </row>
    <row r="39" spans="1:23" ht="14.25" customHeight="1">
      <c r="B39" s="34"/>
      <c r="C39" s="34"/>
      <c r="D39" s="34"/>
      <c r="E39" s="34"/>
      <c r="F39" s="34"/>
      <c r="G39" s="34"/>
      <c r="H39" s="34"/>
    </row>
    <row r="40" spans="1:23" s="33" customFormat="1" ht="14.25" customHeight="1">
      <c r="B40" s="34"/>
      <c r="C40" s="34"/>
      <c r="D40" s="34"/>
      <c r="E40" s="34"/>
      <c r="F40" s="34"/>
      <c r="G40" s="34"/>
      <c r="H40" s="34"/>
    </row>
    <row r="41" spans="1:23" s="33" customFormat="1" ht="14.25" customHeight="1">
      <c r="B41" s="34"/>
      <c r="C41" s="34"/>
      <c r="D41" s="34"/>
      <c r="E41" s="34"/>
      <c r="F41" s="34"/>
      <c r="G41" s="34"/>
      <c r="H41" s="34"/>
    </row>
    <row r="43" spans="1:23" ht="15">
      <c r="A43" s="1" t="s">
        <v>36</v>
      </c>
      <c r="B43" s="365" t="s">
        <v>140</v>
      </c>
      <c r="C43" s="3"/>
    </row>
    <row r="44" spans="1:23" ht="15.75" thickBot="1">
      <c r="B44" s="9" t="s">
        <v>25</v>
      </c>
      <c r="C44" s="88">
        <v>2016</v>
      </c>
      <c r="D44" s="73"/>
      <c r="E44" s="73"/>
      <c r="F44" s="74"/>
      <c r="G44" s="31"/>
      <c r="H44" s="31"/>
      <c r="I44" s="31"/>
      <c r="J44" s="31"/>
      <c r="K44" s="31"/>
      <c r="N44" s="3" t="s">
        <v>29</v>
      </c>
    </row>
    <row r="45" spans="1:23" s="9" customFormat="1" ht="80.25" customHeight="1" thickBot="1">
      <c r="B45" s="48" t="s">
        <v>39</v>
      </c>
      <c r="C45" s="58" t="s">
        <v>138</v>
      </c>
      <c r="D45" s="75" t="s">
        <v>82</v>
      </c>
      <c r="E45" s="76" t="s">
        <v>83</v>
      </c>
      <c r="F45" s="63" t="s">
        <v>127</v>
      </c>
      <c r="G45" s="24" t="s">
        <v>49</v>
      </c>
      <c r="H45" s="24" t="s">
        <v>23</v>
      </c>
      <c r="I45" s="24" t="s">
        <v>50</v>
      </c>
      <c r="J45" s="24" t="s">
        <v>75</v>
      </c>
      <c r="K45" s="64" t="s">
        <v>77</v>
      </c>
      <c r="N45" s="11"/>
      <c r="O45" s="377">
        <v>2016</v>
      </c>
      <c r="P45" s="377"/>
      <c r="Q45" s="377"/>
      <c r="R45" s="377">
        <v>2015</v>
      </c>
      <c r="S45" s="377"/>
      <c r="T45" s="377"/>
      <c r="U45" s="377">
        <v>2014</v>
      </c>
      <c r="V45" s="377"/>
      <c r="W45" s="377"/>
    </row>
    <row r="46" spans="1:23" s="9" customFormat="1" ht="30">
      <c r="B46" s="12"/>
      <c r="C46" s="59" t="s">
        <v>40</v>
      </c>
      <c r="D46" s="59" t="s">
        <v>38</v>
      </c>
      <c r="E46" s="60" t="s">
        <v>53</v>
      </c>
      <c r="F46" s="60" t="s">
        <v>54</v>
      </c>
      <c r="G46" s="60" t="s">
        <v>55</v>
      </c>
      <c r="H46" s="61" t="s">
        <v>56</v>
      </c>
      <c r="I46" s="60" t="s">
        <v>57</v>
      </c>
      <c r="J46" s="61" t="s">
        <v>58</v>
      </c>
      <c r="K46" s="62" t="s">
        <v>59</v>
      </c>
      <c r="N46" s="17" t="s">
        <v>30</v>
      </c>
      <c r="O46" s="93" t="s">
        <v>26</v>
      </c>
      <c r="P46" s="93" t="s">
        <v>27</v>
      </c>
      <c r="Q46" s="93" t="s">
        <v>28</v>
      </c>
      <c r="R46" s="93" t="s">
        <v>26</v>
      </c>
      <c r="S46" s="93" t="s">
        <v>27</v>
      </c>
      <c r="T46" s="93" t="s">
        <v>28</v>
      </c>
      <c r="U46" s="93" t="s">
        <v>26</v>
      </c>
      <c r="V46" s="93" t="s">
        <v>27</v>
      </c>
      <c r="W46" s="93" t="s">
        <v>28</v>
      </c>
    </row>
    <row r="47" spans="1:23">
      <c r="B47" s="366" t="s">
        <v>10</v>
      </c>
      <c r="C47" s="124">
        <f>'[1]GA Analysis'!C35</f>
        <v>58743140.229999997</v>
      </c>
      <c r="D47" s="124">
        <f>'[1]GA Analysis'!D35</f>
        <v>55645827.809999987</v>
      </c>
      <c r="E47" s="125">
        <f>'[1]GA Analysis'!E35</f>
        <v>48220273.359999992</v>
      </c>
      <c r="F47" s="49">
        <f>C47-D47+E47</f>
        <v>51317585.780000001</v>
      </c>
      <c r="G47" s="101">
        <f t="shared" ref="G47:G58" si="0">O47</f>
        <v>8.4229999999999999E-2</v>
      </c>
      <c r="H47" s="14">
        <f>F47*G47</f>
        <v>4322480.2502493998</v>
      </c>
      <c r="I47" s="101">
        <f t="shared" ref="I47:I58" si="1">Q47</f>
        <v>9.1789999999999997E-2</v>
      </c>
      <c r="J47" s="16">
        <f>F47*I47</f>
        <v>4710441.1987461997</v>
      </c>
      <c r="K47" s="15">
        <f>J47-H47</f>
        <v>387960.94849679992</v>
      </c>
      <c r="N47" s="11" t="s">
        <v>10</v>
      </c>
      <c r="O47" s="18">
        <v>8.4229999999999999E-2</v>
      </c>
      <c r="P47" s="18">
        <v>9.214E-2</v>
      </c>
      <c r="Q47" s="18">
        <v>9.1789999999999997E-2</v>
      </c>
      <c r="R47" s="18">
        <v>5.5490000000000005E-2</v>
      </c>
      <c r="S47" s="18">
        <v>6.1609999999999998E-2</v>
      </c>
      <c r="T47" s="18">
        <v>5.0680000000000003E-2</v>
      </c>
      <c r="U47" s="18">
        <v>3.6260000000000001E-2</v>
      </c>
      <c r="V47" s="18">
        <v>1.806E-2</v>
      </c>
      <c r="W47" s="18">
        <v>1.261E-2</v>
      </c>
    </row>
    <row r="48" spans="1:23">
      <c r="B48" s="366" t="s">
        <v>11</v>
      </c>
      <c r="C48" s="124">
        <f>'[1]GA Analysis'!C36</f>
        <v>66960959.680000007</v>
      </c>
      <c r="D48" s="124">
        <f>'[1]GA Analysis'!D36</f>
        <v>48220273.359999992</v>
      </c>
      <c r="E48" s="125">
        <f>'[1]GA Analysis'!E36</f>
        <v>49525282.619999997</v>
      </c>
      <c r="F48" s="49">
        <f t="shared" ref="F48:F58" si="2">C48-D48+E48</f>
        <v>68265968.940000013</v>
      </c>
      <c r="G48" s="101">
        <f t="shared" si="0"/>
        <v>0.10384</v>
      </c>
      <c r="H48" s="14">
        <f t="shared" ref="H48:H58" si="3">F48*G48</f>
        <v>7088738.2147296015</v>
      </c>
      <c r="I48" s="101">
        <f t="shared" si="1"/>
        <v>9.851E-2</v>
      </c>
      <c r="J48" s="16">
        <f t="shared" ref="J48:J58" si="4">F48*I48</f>
        <v>6724880.6002794011</v>
      </c>
      <c r="K48" s="15">
        <f t="shared" ref="K48:K58" si="5">J48-H48</f>
        <v>-363857.61445020046</v>
      </c>
      <c r="N48" s="11" t="s">
        <v>11</v>
      </c>
      <c r="O48" s="19">
        <v>0.10384</v>
      </c>
      <c r="P48" s="19">
        <v>9.6780000000000005E-2</v>
      </c>
      <c r="Q48" s="19">
        <v>9.851E-2</v>
      </c>
      <c r="R48" s="19">
        <v>6.9809999999999997E-2</v>
      </c>
      <c r="S48" s="19">
        <v>4.095E-2</v>
      </c>
      <c r="T48" s="19">
        <v>3.9609999999999999E-2</v>
      </c>
      <c r="U48" s="19">
        <v>2.231E-2</v>
      </c>
      <c r="V48" s="19">
        <v>1.1180000000000001E-2</v>
      </c>
      <c r="W48" s="19">
        <v>1.3300000000000001E-2</v>
      </c>
    </row>
    <row r="49" spans="1:24">
      <c r="B49" s="366" t="s">
        <v>12</v>
      </c>
      <c r="C49" s="124">
        <f>'[1]GA Analysis'!C37</f>
        <v>63947348.519999988</v>
      </c>
      <c r="D49" s="124">
        <f>'[1]GA Analysis'!D37</f>
        <v>49525282.619999997</v>
      </c>
      <c r="E49" s="125">
        <f>'[1]GA Analysis'!E37</f>
        <v>56319242.690000005</v>
      </c>
      <c r="F49" s="49">
        <f t="shared" si="2"/>
        <v>70741308.590000004</v>
      </c>
      <c r="G49" s="101">
        <f t="shared" si="0"/>
        <v>9.0219999999999995E-2</v>
      </c>
      <c r="H49" s="14">
        <f t="shared" si="3"/>
        <v>6382280.8609897997</v>
      </c>
      <c r="I49" s="101">
        <f t="shared" si="1"/>
        <v>0.1061</v>
      </c>
      <c r="J49" s="16">
        <f t="shared" si="4"/>
        <v>7505652.841399</v>
      </c>
      <c r="K49" s="15">
        <f t="shared" si="5"/>
        <v>1123371.9804092003</v>
      </c>
      <c r="N49" s="11" t="s">
        <v>12</v>
      </c>
      <c r="O49" s="19">
        <v>9.0219999999999995E-2</v>
      </c>
      <c r="P49" s="19">
        <v>0.10299</v>
      </c>
      <c r="Q49" s="19">
        <v>0.1061</v>
      </c>
      <c r="R49" s="19">
        <v>3.6040000000000003E-2</v>
      </c>
      <c r="S49" s="19">
        <v>5.74E-2</v>
      </c>
      <c r="T49" s="19">
        <v>6.2899999999999998E-2</v>
      </c>
      <c r="U49" s="19">
        <v>1.103E-2</v>
      </c>
      <c r="V49" s="19">
        <v>-8.0000000000000002E-3</v>
      </c>
      <c r="W49" s="19">
        <v>-2.7E-4</v>
      </c>
    </row>
    <row r="50" spans="1:24">
      <c r="B50" s="366" t="s">
        <v>13</v>
      </c>
      <c r="C50" s="124">
        <f>'[1]GA Analysis'!C38</f>
        <v>61204250.079999991</v>
      </c>
      <c r="D50" s="124">
        <f>'[1]GA Analysis'!D38</f>
        <v>56319242.690000005</v>
      </c>
      <c r="E50" s="125">
        <f>'[1]GA Analysis'!E38</f>
        <v>51390282.439999998</v>
      </c>
      <c r="F50" s="49">
        <f t="shared" si="2"/>
        <v>56275289.829999983</v>
      </c>
      <c r="G50" s="101">
        <f t="shared" si="0"/>
        <v>0.12114999999999999</v>
      </c>
      <c r="H50" s="14">
        <f t="shared" si="3"/>
        <v>6817751.3629044974</v>
      </c>
      <c r="I50" s="101">
        <f t="shared" si="1"/>
        <v>0.11132</v>
      </c>
      <c r="J50" s="16">
        <f t="shared" si="4"/>
        <v>6264565.2638755981</v>
      </c>
      <c r="K50" s="15">
        <f t="shared" si="5"/>
        <v>-553186.09902889933</v>
      </c>
      <c r="N50" s="11" t="s">
        <v>13</v>
      </c>
      <c r="O50" s="19">
        <v>0.12114999999999999</v>
      </c>
      <c r="P50" s="19">
        <v>0.11176999999999999</v>
      </c>
      <c r="Q50" s="19">
        <v>0.11132</v>
      </c>
      <c r="R50" s="19">
        <v>6.7049999999999998E-2</v>
      </c>
      <c r="S50" s="19">
        <v>9.2679999999999998E-2</v>
      </c>
      <c r="T50" s="19">
        <v>9.5590000000000008E-2</v>
      </c>
      <c r="U50" s="19">
        <v>-9.6500000000000006E-3</v>
      </c>
      <c r="V50" s="19">
        <v>5.4530000000000002E-2</v>
      </c>
      <c r="W50" s="19">
        <v>5.1979999999999998E-2</v>
      </c>
    </row>
    <row r="51" spans="1:24">
      <c r="B51" s="366" t="s">
        <v>14</v>
      </c>
      <c r="C51" s="124">
        <f>'[1]GA Analysis'!C39</f>
        <v>63740323.479999997</v>
      </c>
      <c r="D51" s="124">
        <f>'[1]GA Analysis'!D39</f>
        <v>51390282.439999998</v>
      </c>
      <c r="E51" s="125">
        <f>'[1]GA Analysis'!E39</f>
        <v>52893171.68999999</v>
      </c>
      <c r="F51" s="49">
        <f t="shared" si="2"/>
        <v>65243212.729999989</v>
      </c>
      <c r="G51" s="101">
        <f t="shared" si="0"/>
        <v>0.10405</v>
      </c>
      <c r="H51" s="14">
        <f t="shared" si="3"/>
        <v>6788556.2845564988</v>
      </c>
      <c r="I51" s="101">
        <f t="shared" si="1"/>
        <v>0.10749</v>
      </c>
      <c r="J51" s="16">
        <f t="shared" si="4"/>
        <v>7012992.9363476988</v>
      </c>
      <c r="K51" s="15">
        <f t="shared" si="5"/>
        <v>224436.65179120004</v>
      </c>
      <c r="N51" s="11" t="s">
        <v>14</v>
      </c>
      <c r="O51" s="19">
        <v>0.10405</v>
      </c>
      <c r="P51" s="19">
        <v>0.11493</v>
      </c>
      <c r="Q51" s="19">
        <v>0.10749</v>
      </c>
      <c r="R51" s="19">
        <v>9.4159999999999994E-2</v>
      </c>
      <c r="S51" s="19">
        <v>9.7299999999999998E-2</v>
      </c>
      <c r="T51" s="19">
        <v>9.6680000000000002E-2</v>
      </c>
      <c r="U51" s="19">
        <v>5.3560000000000003E-2</v>
      </c>
      <c r="V51" s="19">
        <v>7.3520000000000002E-2</v>
      </c>
      <c r="W51" s="19">
        <v>7.1959999999999996E-2</v>
      </c>
    </row>
    <row r="52" spans="1:24">
      <c r="B52" s="366" t="s">
        <v>15</v>
      </c>
      <c r="C52" s="124">
        <f>'[1]GA Analysis'!C40</f>
        <v>63441195.579999983</v>
      </c>
      <c r="D52" s="124">
        <f>'[1]GA Analysis'!D40</f>
        <v>52893171.68999999</v>
      </c>
      <c r="E52" s="125">
        <f>'[1]GA Analysis'!E40</f>
        <v>52091310.640000001</v>
      </c>
      <c r="F52" s="49">
        <f t="shared" si="2"/>
        <v>62639334.529999994</v>
      </c>
      <c r="G52" s="101">
        <f t="shared" si="0"/>
        <v>0.11650000000000001</v>
      </c>
      <c r="H52" s="14">
        <f t="shared" si="3"/>
        <v>7297482.4727449995</v>
      </c>
      <c r="I52" s="101">
        <f t="shared" si="1"/>
        <v>9.5449999999999993E-2</v>
      </c>
      <c r="J52" s="16">
        <f t="shared" si="4"/>
        <v>5978924.4808884989</v>
      </c>
      <c r="K52" s="15">
        <f t="shared" si="5"/>
        <v>-1318557.9918565005</v>
      </c>
      <c r="N52" s="11" t="s">
        <v>15</v>
      </c>
      <c r="O52" s="19">
        <v>0.11650000000000001</v>
      </c>
      <c r="P52" s="19">
        <v>9.3600000000000003E-2</v>
      </c>
      <c r="Q52" s="19">
        <v>9.5449999999999993E-2</v>
      </c>
      <c r="R52" s="19">
        <v>9.2280000000000001E-2</v>
      </c>
      <c r="S52" s="19">
        <v>9.7680000000000003E-2</v>
      </c>
      <c r="T52" s="19">
        <v>9.5400000000000013E-2</v>
      </c>
      <c r="U52" s="19">
        <v>7.1900000000000006E-2</v>
      </c>
      <c r="V52" s="19">
        <v>6.6640000000000005E-2</v>
      </c>
      <c r="W52" s="19">
        <v>6.0249999999999998E-2</v>
      </c>
    </row>
    <row r="53" spans="1:24">
      <c r="B53" s="366" t="s">
        <v>16</v>
      </c>
      <c r="C53" s="125">
        <f>'[1]GA Analysis'!C41</f>
        <v>58315662.649999984</v>
      </c>
      <c r="D53" s="125">
        <f>'[1]GA Analysis'!D41</f>
        <v>52091310.640000001</v>
      </c>
      <c r="E53" s="126">
        <f>'[1]GA Analysis'!E41</f>
        <v>55366136.819999993</v>
      </c>
      <c r="F53" s="49">
        <f t="shared" si="2"/>
        <v>61590488.829999976</v>
      </c>
      <c r="G53" s="101">
        <f t="shared" si="0"/>
        <v>7.6670000000000002E-2</v>
      </c>
      <c r="H53" s="14">
        <f t="shared" si="3"/>
        <v>4722142.7785960985</v>
      </c>
      <c r="I53" s="101">
        <f t="shared" si="1"/>
        <v>8.3059999999999995E-2</v>
      </c>
      <c r="J53" s="16">
        <f t="shared" si="4"/>
        <v>5115706.002219798</v>
      </c>
      <c r="K53" s="15">
        <f t="shared" si="5"/>
        <v>393563.22362369951</v>
      </c>
      <c r="N53" s="11" t="s">
        <v>16</v>
      </c>
      <c r="O53" s="19">
        <v>7.6670000000000002E-2</v>
      </c>
      <c r="P53" s="19">
        <v>8.412E-2</v>
      </c>
      <c r="Q53" s="19">
        <v>8.3059999999999995E-2</v>
      </c>
      <c r="R53" s="19">
        <v>8.8880000000000001E-2</v>
      </c>
      <c r="S53" s="19">
        <v>8.4129999999999996E-2</v>
      </c>
      <c r="T53" s="19">
        <v>7.8829999999999997E-2</v>
      </c>
      <c r="U53" s="19">
        <v>5.9760000000000001E-2</v>
      </c>
      <c r="V53" s="19">
        <v>5.7529999999999998E-2</v>
      </c>
      <c r="W53" s="19">
        <v>6.2560000000000004E-2</v>
      </c>
    </row>
    <row r="54" spans="1:24">
      <c r="B54" s="366" t="s">
        <v>17</v>
      </c>
      <c r="C54" s="125">
        <f>'[1]GA Analysis'!C42</f>
        <v>65694759.88000001</v>
      </c>
      <c r="D54" s="125">
        <f>'[1]GA Analysis'!D42</f>
        <v>55366136.819999993</v>
      </c>
      <c r="E54" s="126">
        <f>'[1]GA Analysis'!E42</f>
        <v>52839624.380000003</v>
      </c>
      <c r="F54" s="49">
        <f t="shared" si="2"/>
        <v>63168247.44000002</v>
      </c>
      <c r="G54" s="101">
        <f t="shared" si="0"/>
        <v>8.5690000000000002E-2</v>
      </c>
      <c r="H54" s="14">
        <f t="shared" si="3"/>
        <v>5412887.1231336016</v>
      </c>
      <c r="I54" s="101">
        <f t="shared" si="1"/>
        <v>7.1029999999999996E-2</v>
      </c>
      <c r="J54" s="16">
        <f t="shared" si="4"/>
        <v>4486840.6156632015</v>
      </c>
      <c r="K54" s="15">
        <f t="shared" si="5"/>
        <v>-926046.50747040007</v>
      </c>
      <c r="N54" s="11" t="s">
        <v>17</v>
      </c>
      <c r="O54" s="19">
        <v>8.5690000000000002E-2</v>
      </c>
      <c r="P54" s="19">
        <v>7.0499999999999993E-2</v>
      </c>
      <c r="Q54" s="19">
        <v>7.1029999999999996E-2</v>
      </c>
      <c r="R54" s="19">
        <v>8.8050000000000003E-2</v>
      </c>
      <c r="S54" s="19">
        <v>7.3550000000000004E-2</v>
      </c>
      <c r="T54" s="19">
        <v>8.0099999999999991E-2</v>
      </c>
      <c r="U54" s="19">
        <v>6.1079999999999995E-2</v>
      </c>
      <c r="V54" s="19">
        <v>6.8970000000000004E-2</v>
      </c>
      <c r="W54" s="19">
        <v>6.7610000000000003E-2</v>
      </c>
    </row>
    <row r="55" spans="1:24">
      <c r="B55" s="366" t="s">
        <v>18</v>
      </c>
      <c r="C55" s="125">
        <f>'[1]GA Analysis'!C43</f>
        <v>66705999.039999999</v>
      </c>
      <c r="D55" s="125">
        <f>'[1]GA Analysis'!D43</f>
        <v>52839624.380000003</v>
      </c>
      <c r="E55" s="126">
        <f>'[1]GA Analysis'!E43</f>
        <v>56270547.780000001</v>
      </c>
      <c r="F55" s="49">
        <f t="shared" si="2"/>
        <v>70136922.439999998</v>
      </c>
      <c r="G55" s="101">
        <f t="shared" si="0"/>
        <v>7.0599999999999996E-2</v>
      </c>
      <c r="H55" s="14">
        <f t="shared" si="3"/>
        <v>4951666.7242639996</v>
      </c>
      <c r="I55" s="101">
        <f t="shared" si="1"/>
        <v>9.5310000000000006E-2</v>
      </c>
      <c r="J55" s="16">
        <f t="shared" si="4"/>
        <v>6684750.0777564002</v>
      </c>
      <c r="K55" s="15">
        <f t="shared" si="5"/>
        <v>1733083.3534924006</v>
      </c>
      <c r="N55" s="11" t="s">
        <v>18</v>
      </c>
      <c r="O55" s="19">
        <v>7.0599999999999996E-2</v>
      </c>
      <c r="P55" s="19">
        <v>9.1480000000000006E-2</v>
      </c>
      <c r="Q55" s="19">
        <v>9.5310000000000006E-2</v>
      </c>
      <c r="R55" s="19">
        <v>8.270000000000001E-2</v>
      </c>
      <c r="S55" s="19">
        <v>7.1910000000000002E-2</v>
      </c>
      <c r="T55" s="19">
        <v>6.7030000000000006E-2</v>
      </c>
      <c r="U55" s="19">
        <v>8.0489999999999992E-2</v>
      </c>
      <c r="V55" s="19">
        <v>8.072E-2</v>
      </c>
      <c r="W55" s="19">
        <v>7.9629999999999992E-2</v>
      </c>
    </row>
    <row r="56" spans="1:24">
      <c r="B56" s="366" t="s">
        <v>19</v>
      </c>
      <c r="C56" s="125">
        <f>'[1]GA Analysis'!C44</f>
        <v>67194964.290000007</v>
      </c>
      <c r="D56" s="125">
        <f>'[1]GA Analysis'!D44</f>
        <v>56270547.780000001</v>
      </c>
      <c r="E56" s="126">
        <f>'[1]GA Analysis'!E44</f>
        <v>56697042.229999997</v>
      </c>
      <c r="F56" s="49">
        <f t="shared" si="2"/>
        <v>67621458.74000001</v>
      </c>
      <c r="G56" s="101">
        <f t="shared" si="0"/>
        <v>9.7199999999999995E-2</v>
      </c>
      <c r="H56" s="14">
        <f t="shared" si="3"/>
        <v>6572805.7895280002</v>
      </c>
      <c r="I56" s="101">
        <f t="shared" si="1"/>
        <v>0.11226</v>
      </c>
      <c r="J56" s="16">
        <f t="shared" si="4"/>
        <v>7591184.9581524013</v>
      </c>
      <c r="K56" s="15">
        <f t="shared" si="5"/>
        <v>1018379.1686244011</v>
      </c>
      <c r="N56" s="11" t="s">
        <v>19</v>
      </c>
      <c r="O56" s="19">
        <v>9.7199999999999995E-2</v>
      </c>
      <c r="P56" s="19">
        <v>0.1178</v>
      </c>
      <c r="Q56" s="19">
        <v>0.11226</v>
      </c>
      <c r="R56" s="19">
        <v>6.3710000000000003E-2</v>
      </c>
      <c r="S56" s="19">
        <v>7.1929999999999994E-2</v>
      </c>
      <c r="T56" s="19">
        <v>7.5439999999999993E-2</v>
      </c>
      <c r="U56" s="19">
        <v>7.492E-2</v>
      </c>
      <c r="V56" s="19">
        <v>0.10135</v>
      </c>
      <c r="W56" s="19">
        <v>0.10014000000000001</v>
      </c>
    </row>
    <row r="57" spans="1:24">
      <c r="B57" s="366" t="s">
        <v>20</v>
      </c>
      <c r="C57" s="125">
        <f>'[1]GA Analysis'!C45</f>
        <v>64741531.880000003</v>
      </c>
      <c r="D57" s="125">
        <f>'[1]GA Analysis'!D45</f>
        <v>56697042.229999997</v>
      </c>
      <c r="E57" s="126">
        <f>'[1]GA Analysis'!E45</f>
        <v>52958002.010000013</v>
      </c>
      <c r="F57" s="49">
        <f t="shared" si="2"/>
        <v>61002491.660000019</v>
      </c>
      <c r="G57" s="101">
        <f t="shared" si="0"/>
        <v>0.12271</v>
      </c>
      <c r="H57" s="14">
        <f t="shared" si="3"/>
        <v>7485615.7515986022</v>
      </c>
      <c r="I57" s="101">
        <f t="shared" si="1"/>
        <v>0.11108999999999999</v>
      </c>
      <c r="J57" s="16">
        <f t="shared" si="4"/>
        <v>6776766.7985094022</v>
      </c>
      <c r="K57" s="15">
        <f t="shared" si="5"/>
        <v>-708848.95308919996</v>
      </c>
      <c r="N57" s="11" t="s">
        <v>20</v>
      </c>
      <c r="O57" s="19">
        <v>0.12271</v>
      </c>
      <c r="P57" s="19">
        <v>0.115</v>
      </c>
      <c r="Q57" s="19">
        <v>0.11108999999999999</v>
      </c>
      <c r="R57" s="19">
        <v>7.6230000000000006E-2</v>
      </c>
      <c r="S57" s="19">
        <v>0.12447999999999999</v>
      </c>
      <c r="T57" s="19">
        <v>0.11320000000000001</v>
      </c>
      <c r="U57" s="19">
        <v>9.9010000000000001E-2</v>
      </c>
      <c r="V57" s="19">
        <v>8.5040000000000004E-2</v>
      </c>
      <c r="W57" s="19">
        <v>8.231999999999999E-2</v>
      </c>
    </row>
    <row r="58" spans="1:24">
      <c r="B58" s="366" t="s">
        <v>21</v>
      </c>
      <c r="C58" s="127">
        <f>'[1]GA Analysis'!C46</f>
        <v>63450204.320000008</v>
      </c>
      <c r="D58" s="127">
        <f>'[1]GA Analysis'!D46</f>
        <v>52958002.010000013</v>
      </c>
      <c r="E58" s="126">
        <f>'[1]GA Analysis'!E46</f>
        <v>57184248.389999993</v>
      </c>
      <c r="F58" s="49">
        <f t="shared" si="2"/>
        <v>67676450.699999988</v>
      </c>
      <c r="G58" s="101">
        <f t="shared" si="0"/>
        <v>0.10594000000000001</v>
      </c>
      <c r="H58" s="14">
        <f t="shared" si="3"/>
        <v>7169643.1871579988</v>
      </c>
      <c r="I58" s="101">
        <f t="shared" si="1"/>
        <v>8.7080000000000005E-2</v>
      </c>
      <c r="J58" s="16">
        <f t="shared" si="4"/>
        <v>5893265.3269559992</v>
      </c>
      <c r="K58" s="15">
        <f t="shared" si="5"/>
        <v>-1276377.8602019995</v>
      </c>
      <c r="N58" s="25" t="s">
        <v>21</v>
      </c>
      <c r="O58" s="26">
        <v>0.10594000000000001</v>
      </c>
      <c r="P58" s="26">
        <v>7.8719999999999998E-2</v>
      </c>
      <c r="Q58" s="26">
        <v>8.7080000000000005E-2</v>
      </c>
      <c r="R58" s="26">
        <v>0.11462</v>
      </c>
      <c r="S58" s="26">
        <v>8.8090000000000002E-2</v>
      </c>
      <c r="T58" s="26">
        <v>9.4709999999999989E-2</v>
      </c>
      <c r="U58" s="26">
        <v>7.3180000000000009E-2</v>
      </c>
      <c r="V58" s="26">
        <v>5.7889999999999997E-2</v>
      </c>
      <c r="W58" s="26">
        <v>7.4439999999999992E-2</v>
      </c>
    </row>
    <row r="59" spans="1:24" ht="30.75" thickBot="1">
      <c r="B59" s="113" t="s">
        <v>132</v>
      </c>
      <c r="C59" s="89">
        <f>SUM(C47:C58)</f>
        <v>764140339.62999988</v>
      </c>
      <c r="D59" s="89">
        <f>SUM(D47:D58)</f>
        <v>640216744.46999991</v>
      </c>
      <c r="E59" s="89">
        <f>SUM(E47:E58)</f>
        <v>641755165.04999995</v>
      </c>
      <c r="F59" s="89">
        <f>SUM(F47:F58)</f>
        <v>765678760.2099998</v>
      </c>
      <c r="G59" s="35"/>
      <c r="H59" s="36">
        <f>SUM(H47:H58)</f>
        <v>75012050.800453097</v>
      </c>
      <c r="I59" s="35"/>
      <c r="J59" s="36">
        <f>SUM(J47:J58)</f>
        <v>74745971.1007936</v>
      </c>
      <c r="K59" s="37">
        <f>SUM(K47:K58)</f>
        <v>-266079.69965949841</v>
      </c>
      <c r="N59" s="29"/>
      <c r="O59" s="30"/>
      <c r="P59" s="30"/>
      <c r="Q59" s="30"/>
      <c r="R59" s="30"/>
      <c r="S59" s="30"/>
      <c r="T59" s="30"/>
      <c r="U59" s="30"/>
      <c r="V59" s="30"/>
      <c r="W59" s="30"/>
    </row>
    <row r="60" spans="1:24">
      <c r="G60" s="4"/>
      <c r="H60" s="4"/>
      <c r="I60" s="4"/>
      <c r="J60" s="65"/>
      <c r="K60" s="111"/>
      <c r="N60" s="27"/>
      <c r="O60" s="28"/>
      <c r="P60" s="28"/>
      <c r="Q60" s="28"/>
      <c r="R60" s="28"/>
      <c r="S60" s="28"/>
      <c r="T60" s="28"/>
      <c r="U60" s="28"/>
      <c r="V60" s="28"/>
      <c r="W60" s="28"/>
    </row>
    <row r="61" spans="1:24">
      <c r="C61" s="349"/>
      <c r="F61" s="350">
        <f>F59/D26-1</f>
        <v>2.1471552244671122E-2</v>
      </c>
      <c r="H61" s="107"/>
      <c r="K61" s="107"/>
      <c r="N61" s="27"/>
      <c r="O61" s="28"/>
      <c r="P61" s="28"/>
      <c r="Q61" s="28"/>
      <c r="R61" s="28"/>
      <c r="S61" s="28"/>
      <c r="T61" s="28"/>
      <c r="U61" s="28"/>
      <c r="V61" s="28"/>
      <c r="W61" s="28"/>
    </row>
    <row r="62" spans="1:24" ht="15">
      <c r="A62" s="1" t="s">
        <v>142</v>
      </c>
      <c r="B62" s="365" t="s">
        <v>135</v>
      </c>
      <c r="C62" s="2"/>
      <c r="K62" s="104"/>
      <c r="N62" s="27"/>
      <c r="O62" s="28"/>
      <c r="P62" s="28"/>
      <c r="Q62" s="28"/>
      <c r="R62" s="28"/>
      <c r="S62" s="28"/>
      <c r="T62" s="28"/>
      <c r="U62" s="28"/>
      <c r="V62" s="28"/>
      <c r="W62" s="28"/>
    </row>
    <row r="63" spans="1:24" ht="15">
      <c r="B63" s="364"/>
      <c r="C63" s="2"/>
      <c r="K63" s="109"/>
      <c r="N63" s="27"/>
      <c r="O63" s="27"/>
      <c r="P63" s="27"/>
      <c r="Q63" s="27"/>
      <c r="R63" s="27"/>
      <c r="S63" s="27"/>
      <c r="T63" s="27"/>
      <c r="U63" s="27"/>
      <c r="V63" s="27"/>
      <c r="W63" s="27"/>
    </row>
    <row r="64" spans="1:24" ht="45">
      <c r="A64" s="11"/>
      <c r="B64" s="70" t="s">
        <v>45</v>
      </c>
      <c r="C64" s="46" t="s">
        <v>66</v>
      </c>
      <c r="D64" s="46" t="s">
        <v>120</v>
      </c>
      <c r="E64" s="387" t="s">
        <v>44</v>
      </c>
      <c r="F64" s="387"/>
      <c r="G64" s="387"/>
      <c r="H64" s="387"/>
      <c r="I64" s="387"/>
      <c r="K64" s="107"/>
      <c r="O64" s="27"/>
      <c r="P64" s="27"/>
      <c r="Q64" s="27"/>
      <c r="R64" s="27"/>
      <c r="S64" s="27"/>
      <c r="T64" s="27"/>
      <c r="U64" s="27"/>
      <c r="V64" s="27"/>
      <c r="W64" s="27"/>
      <c r="X64" s="27"/>
    </row>
    <row r="65" spans="1:24" ht="30.75" customHeight="1">
      <c r="A65" s="389" t="s">
        <v>133</v>
      </c>
      <c r="B65" s="390"/>
      <c r="C65" s="391"/>
      <c r="D65" s="112">
        <f>'[3]3. Continuity Schedule'!$BD$29</f>
        <v>3230969</v>
      </c>
      <c r="E65" s="378"/>
      <c r="F65" s="379"/>
      <c r="G65" s="379"/>
      <c r="H65" s="379"/>
      <c r="I65" s="380"/>
      <c r="K65" s="107"/>
      <c r="O65" s="27"/>
      <c r="P65" s="27"/>
      <c r="Q65" s="27"/>
      <c r="R65" s="27"/>
      <c r="S65" s="27"/>
      <c r="T65" s="27"/>
      <c r="U65" s="27"/>
      <c r="V65" s="27"/>
      <c r="W65" s="27"/>
      <c r="X65" s="27"/>
    </row>
    <row r="66" spans="1:24" ht="28.5">
      <c r="A66" s="66" t="s">
        <v>51</v>
      </c>
      <c r="B66" s="47" t="s">
        <v>62</v>
      </c>
      <c r="C66" s="102" t="s">
        <v>310</v>
      </c>
      <c r="D66" s="347">
        <f>'3.RPP True-up'!G27</f>
        <v>4073.3209658996202</v>
      </c>
      <c r="E66" s="388" t="s">
        <v>315</v>
      </c>
      <c r="F66" s="388"/>
      <c r="G66" s="388"/>
      <c r="H66" s="388"/>
      <c r="I66" s="388"/>
      <c r="K66" s="107"/>
      <c r="O66" s="27"/>
      <c r="P66" s="27"/>
      <c r="Q66" s="27"/>
      <c r="R66" s="27"/>
      <c r="S66" s="27"/>
      <c r="T66" s="27"/>
      <c r="U66" s="27"/>
      <c r="V66" s="27"/>
      <c r="W66" s="27"/>
      <c r="X66" s="27"/>
    </row>
    <row r="67" spans="1:24" ht="28.5">
      <c r="A67" s="66" t="s">
        <v>52</v>
      </c>
      <c r="B67" s="47" t="s">
        <v>78</v>
      </c>
      <c r="C67" s="103" t="s">
        <v>310</v>
      </c>
      <c r="D67" s="348">
        <f>-'3.RPP True-up'!G55</f>
        <v>54994.356181980111</v>
      </c>
      <c r="E67" s="388" t="s">
        <v>307</v>
      </c>
      <c r="F67" s="388"/>
      <c r="G67" s="388"/>
      <c r="H67" s="388"/>
      <c r="I67" s="388"/>
      <c r="J67" s="73"/>
      <c r="K67" s="108"/>
      <c r="L67" s="73"/>
      <c r="M67" s="73"/>
      <c r="N67" s="73"/>
      <c r="O67" s="73"/>
      <c r="P67" s="73"/>
      <c r="Q67" s="73"/>
    </row>
    <row r="68" spans="1:24" ht="28.5">
      <c r="A68" s="66" t="s">
        <v>65</v>
      </c>
      <c r="B68" s="47" t="s">
        <v>64</v>
      </c>
      <c r="C68" s="355" t="s">
        <v>310</v>
      </c>
      <c r="D68" s="357">
        <f>'[4]GA Non-RPP Class B Analysis'!$I$5</f>
        <v>-45169.751461000182</v>
      </c>
      <c r="E68" s="381" t="s">
        <v>316</v>
      </c>
      <c r="F68" s="381"/>
      <c r="G68" s="381"/>
      <c r="H68" s="381"/>
      <c r="I68" s="381"/>
      <c r="J68" s="73"/>
      <c r="K68" s="108"/>
      <c r="L68" s="73"/>
      <c r="M68" s="73"/>
      <c r="N68" s="73"/>
      <c r="O68" s="73"/>
      <c r="P68" s="73"/>
      <c r="Q68" s="73"/>
    </row>
    <row r="69" spans="1:24" ht="28.5">
      <c r="A69" s="66" t="s">
        <v>319</v>
      </c>
      <c r="B69" s="47" t="s">
        <v>63</v>
      </c>
      <c r="C69" s="358" t="s">
        <v>310</v>
      </c>
      <c r="D69" s="357">
        <f>-'[4]GA Non-RPP Class B Analysis'!$I$6</f>
        <v>-156076.6693327995</v>
      </c>
      <c r="E69" s="381" t="s">
        <v>316</v>
      </c>
      <c r="F69" s="381"/>
      <c r="G69" s="381"/>
      <c r="H69" s="381"/>
      <c r="I69" s="381"/>
      <c r="J69" s="73"/>
      <c r="K69" s="110"/>
      <c r="L69" s="73"/>
      <c r="M69" s="73"/>
      <c r="N69" s="73"/>
      <c r="O69" s="73"/>
      <c r="P69" s="73"/>
      <c r="Q69" s="73"/>
    </row>
    <row r="70" spans="1:24" ht="49.5" customHeight="1">
      <c r="A70" s="66" t="s">
        <v>318</v>
      </c>
      <c r="B70" s="367" t="s">
        <v>321</v>
      </c>
      <c r="C70" s="358" t="s">
        <v>310</v>
      </c>
      <c r="D70" s="357">
        <v>-2220295.4700000002</v>
      </c>
      <c r="E70" s="392" t="s">
        <v>322</v>
      </c>
      <c r="F70" s="393"/>
      <c r="G70" s="393"/>
      <c r="H70" s="393"/>
      <c r="I70" s="394"/>
      <c r="J70" s="73"/>
      <c r="K70" s="110"/>
      <c r="L70" s="73"/>
      <c r="M70" s="73"/>
      <c r="N70" s="73"/>
      <c r="O70" s="73"/>
      <c r="P70" s="73"/>
      <c r="Q70" s="73"/>
    </row>
    <row r="71" spans="1:24" ht="28.5">
      <c r="A71" s="66" t="s">
        <v>68</v>
      </c>
      <c r="B71" s="47" t="s">
        <v>70</v>
      </c>
      <c r="C71" s="102"/>
      <c r="D71" s="90"/>
      <c r="E71" s="381"/>
      <c r="F71" s="381"/>
      <c r="G71" s="381"/>
      <c r="H71" s="381"/>
      <c r="I71" s="381"/>
      <c r="J71" s="73"/>
      <c r="K71" s="110"/>
      <c r="L71" s="73"/>
      <c r="M71" s="73"/>
      <c r="N71" s="73"/>
      <c r="O71" s="73"/>
      <c r="P71" s="73"/>
      <c r="Q71" s="73"/>
    </row>
    <row r="72" spans="1:24" ht="28.5">
      <c r="A72" s="66" t="s">
        <v>69</v>
      </c>
      <c r="B72" s="47" t="s">
        <v>71</v>
      </c>
      <c r="C72" s="102"/>
      <c r="D72" s="90"/>
      <c r="E72" s="381"/>
      <c r="F72" s="381"/>
      <c r="G72" s="381"/>
      <c r="H72" s="381"/>
      <c r="I72" s="381"/>
      <c r="J72" s="73"/>
      <c r="K72" s="110"/>
      <c r="L72" s="73"/>
      <c r="M72" s="73"/>
      <c r="N72" s="73"/>
      <c r="O72" s="73"/>
      <c r="P72" s="73"/>
      <c r="Q72" s="73"/>
    </row>
    <row r="73" spans="1:24" ht="33.75" customHeight="1">
      <c r="A73" s="66">
        <v>4</v>
      </c>
      <c r="B73" s="47" t="s">
        <v>67</v>
      </c>
      <c r="C73" s="102"/>
      <c r="D73" s="90"/>
      <c r="E73" s="381"/>
      <c r="F73" s="381"/>
      <c r="G73" s="381"/>
      <c r="H73" s="381"/>
      <c r="I73" s="381"/>
      <c r="J73" s="73"/>
      <c r="K73" s="110"/>
      <c r="L73" s="73"/>
      <c r="M73" s="73"/>
      <c r="N73" s="73"/>
      <c r="O73" s="73"/>
      <c r="P73" s="73"/>
      <c r="Q73" s="73"/>
    </row>
    <row r="74" spans="1:24" ht="42.75">
      <c r="A74" s="66">
        <v>5</v>
      </c>
      <c r="B74" s="47" t="s">
        <v>80</v>
      </c>
      <c r="C74" s="102"/>
      <c r="D74" s="90"/>
      <c r="E74" s="381"/>
      <c r="F74" s="381"/>
      <c r="G74" s="381"/>
      <c r="H74" s="381"/>
      <c r="I74" s="381"/>
      <c r="J74" s="73"/>
      <c r="K74" s="110"/>
      <c r="L74" s="73"/>
      <c r="M74" s="73"/>
      <c r="N74" s="73"/>
      <c r="O74" s="73"/>
      <c r="P74" s="73"/>
      <c r="Q74" s="73"/>
    </row>
    <row r="75" spans="1:24" ht="28.5">
      <c r="A75" s="52">
        <v>6</v>
      </c>
      <c r="B75" s="114" t="s">
        <v>136</v>
      </c>
      <c r="C75" s="102"/>
      <c r="D75" s="90"/>
      <c r="E75" s="381"/>
      <c r="F75" s="381"/>
      <c r="G75" s="381"/>
      <c r="H75" s="381"/>
      <c r="I75" s="381"/>
      <c r="K75" s="27"/>
    </row>
    <row r="76" spans="1:24" ht="31.5" customHeight="1">
      <c r="A76" s="52">
        <v>7</v>
      </c>
      <c r="B76" s="346" t="s">
        <v>308</v>
      </c>
      <c r="C76" s="102" t="s">
        <v>310</v>
      </c>
      <c r="D76" s="90">
        <f>'5.UBR Retailer Contract'!F21</f>
        <v>127042.13993939996</v>
      </c>
      <c r="E76" s="381" t="s">
        <v>311</v>
      </c>
      <c r="F76" s="381"/>
      <c r="G76" s="381"/>
      <c r="H76" s="381"/>
      <c r="I76" s="381"/>
    </row>
    <row r="77" spans="1:24" ht="36.75" customHeight="1">
      <c r="A77" s="52">
        <v>8</v>
      </c>
      <c r="B77" s="346" t="s">
        <v>309</v>
      </c>
      <c r="C77" s="355" t="s">
        <v>310</v>
      </c>
      <c r="D77" s="356">
        <f>-'2.GA Detailed Analysis'!O27</f>
        <v>-331031.05959868431</v>
      </c>
      <c r="E77" s="381" t="s">
        <v>164</v>
      </c>
      <c r="F77" s="381"/>
      <c r="G77" s="381"/>
      <c r="H77" s="381"/>
      <c r="I77" s="381"/>
    </row>
    <row r="78" spans="1:24">
      <c r="A78" s="52">
        <v>9</v>
      </c>
      <c r="B78" s="44"/>
      <c r="C78" s="10"/>
      <c r="D78" s="90"/>
      <c r="E78" s="392"/>
      <c r="F78" s="395"/>
      <c r="G78" s="395"/>
      <c r="H78" s="395"/>
      <c r="I78" s="396"/>
    </row>
    <row r="79" spans="1:24">
      <c r="A79" s="52">
        <v>10</v>
      </c>
      <c r="B79" s="44"/>
      <c r="C79" s="10"/>
      <c r="D79" s="90"/>
      <c r="E79" s="381"/>
      <c r="F79" s="381"/>
      <c r="G79" s="381"/>
      <c r="H79" s="381"/>
      <c r="I79" s="381"/>
    </row>
    <row r="80" spans="1:24" ht="30">
      <c r="A80" s="1" t="s">
        <v>149</v>
      </c>
      <c r="B80" s="9" t="s">
        <v>130</v>
      </c>
      <c r="C80" s="2"/>
      <c r="D80" s="91">
        <f>SUM(D65:D79)</f>
        <v>664505.86669479543</v>
      </c>
      <c r="E80" s="23"/>
      <c r="F80" s="23"/>
      <c r="G80" s="23"/>
      <c r="H80" s="23"/>
    </row>
    <row r="81" spans="1:19" ht="30">
      <c r="B81" s="368" t="s">
        <v>131</v>
      </c>
      <c r="C81" s="67"/>
      <c r="D81" s="91">
        <f>K59</f>
        <v>-266079.69965949841</v>
      </c>
      <c r="E81" s="23"/>
      <c r="F81" s="23"/>
      <c r="G81" s="23"/>
      <c r="H81" s="23"/>
    </row>
    <row r="82" spans="1:19" ht="15">
      <c r="B82" s="68" t="s">
        <v>24</v>
      </c>
      <c r="C82" s="67"/>
      <c r="D82" s="92">
        <f>D80-D81</f>
        <v>930585.56635429384</v>
      </c>
    </row>
    <row r="83" spans="1:19" ht="30.75" thickBot="1">
      <c r="B83" s="68" t="s">
        <v>72</v>
      </c>
      <c r="C83" s="68"/>
      <c r="D83" s="57">
        <f>IF(ISERROR(D82/J59),0,D82/J59)</f>
        <v>1.2449976268278271E-2</v>
      </c>
      <c r="E83" s="94" t="str">
        <f>IF(AND(D83&lt;0.01,D83&gt;-0.01),"","Unresolved differences of greater than + or - 1% should be explained")</f>
        <v>Unresolved differences of greater than + or - 1% should be explained</v>
      </c>
      <c r="G83" s="73"/>
      <c r="H83" s="33"/>
      <c r="I83" s="33"/>
      <c r="J83" s="33"/>
      <c r="K83" s="33"/>
      <c r="L83" s="33"/>
    </row>
    <row r="84" spans="1:19" ht="15.75" thickTop="1">
      <c r="B84" s="9"/>
      <c r="C84" s="54"/>
      <c r="D84" s="56"/>
      <c r="G84" s="73"/>
    </row>
    <row r="85" spans="1:19" ht="15">
      <c r="B85" s="9"/>
      <c r="C85" s="54"/>
      <c r="D85" s="32"/>
    </row>
    <row r="86" spans="1:19" ht="30">
      <c r="A86" s="1" t="s">
        <v>74</v>
      </c>
      <c r="B86" s="369" t="s">
        <v>137</v>
      </c>
      <c r="C86" s="55"/>
      <c r="D86" s="56"/>
    </row>
    <row r="87" spans="1:19" ht="15">
      <c r="B87" s="370"/>
      <c r="C87" s="55"/>
      <c r="D87" s="56"/>
    </row>
    <row r="88" spans="1:19" ht="75">
      <c r="B88" s="46" t="s">
        <v>25</v>
      </c>
      <c r="C88" s="46" t="s">
        <v>156</v>
      </c>
      <c r="D88" s="46" t="s">
        <v>157</v>
      </c>
      <c r="E88" s="46" t="s">
        <v>158</v>
      </c>
      <c r="F88" s="69" t="s">
        <v>130</v>
      </c>
      <c r="G88" s="46" t="s">
        <v>24</v>
      </c>
      <c r="H88" s="70" t="s">
        <v>159</v>
      </c>
      <c r="I88" s="46" t="s">
        <v>72</v>
      </c>
      <c r="J88" s="73"/>
      <c r="K88" s="73"/>
      <c r="L88" s="33"/>
      <c r="M88" s="33"/>
      <c r="N88" s="33"/>
      <c r="O88" s="33"/>
      <c r="P88" s="33"/>
      <c r="Q88" s="33"/>
      <c r="R88" s="33"/>
      <c r="S88" s="33"/>
    </row>
    <row r="89" spans="1:19">
      <c r="B89" s="371">
        <v>2016</v>
      </c>
      <c r="C89" s="97">
        <f>K59</f>
        <v>-266079.69965949841</v>
      </c>
      <c r="D89" s="97">
        <f>D65</f>
        <v>3230969</v>
      </c>
      <c r="E89" s="98">
        <f>SUM(D66:D79)</f>
        <v>-2566463.1333052046</v>
      </c>
      <c r="F89" s="116">
        <f>SUM(D89:E89)</f>
        <v>664505.86669479543</v>
      </c>
      <c r="G89" s="99">
        <f>F89-C89</f>
        <v>930585.56635429384</v>
      </c>
      <c r="H89" s="98">
        <f>J59</f>
        <v>74745971.1007936</v>
      </c>
      <c r="I89" s="95">
        <f>IF(ISERROR(G89/H89),0,G89/H89)</f>
        <v>1.2449976268278271E-2</v>
      </c>
      <c r="J89" s="73"/>
      <c r="K89" s="73"/>
      <c r="L89" s="33"/>
      <c r="M89" s="33"/>
      <c r="N89" s="33"/>
      <c r="O89" s="33"/>
      <c r="P89" s="33"/>
      <c r="Q89" s="33"/>
      <c r="R89" s="33"/>
      <c r="S89" s="33"/>
    </row>
    <row r="90" spans="1:19">
      <c r="B90" s="371"/>
      <c r="C90" s="97"/>
      <c r="D90" s="97"/>
      <c r="E90" s="98"/>
      <c r="F90" s="116">
        <f t="shared" ref="F90:F92" si="6">SUM(D90:E90)</f>
        <v>0</v>
      </c>
      <c r="G90" s="99">
        <f>F90-C90</f>
        <v>0</v>
      </c>
      <c r="H90" s="98"/>
      <c r="I90" s="95">
        <f>IF(ISERROR(G90/H90),0,G90/H90)</f>
        <v>0</v>
      </c>
      <c r="J90" s="73"/>
      <c r="K90" s="73"/>
      <c r="L90" s="33"/>
      <c r="M90" s="33"/>
      <c r="N90" s="33"/>
      <c r="O90" s="33"/>
      <c r="P90" s="33"/>
      <c r="Q90" s="33"/>
      <c r="R90" s="33"/>
      <c r="S90" s="33"/>
    </row>
    <row r="91" spans="1:19">
      <c r="B91" s="371"/>
      <c r="C91" s="97"/>
      <c r="D91" s="97"/>
      <c r="E91" s="98"/>
      <c r="F91" s="116">
        <f t="shared" si="6"/>
        <v>0</v>
      </c>
      <c r="G91" s="99">
        <f>F91-C91</f>
        <v>0</v>
      </c>
      <c r="H91" s="98"/>
      <c r="I91" s="95">
        <f>IF(ISERROR(G91/H91),0,G91/H91)</f>
        <v>0</v>
      </c>
      <c r="J91" s="73"/>
      <c r="K91" s="73"/>
      <c r="L91" s="33"/>
      <c r="M91" s="33"/>
      <c r="N91" s="33"/>
      <c r="O91" s="33"/>
      <c r="P91" s="33"/>
      <c r="Q91" s="33"/>
      <c r="R91" s="33"/>
      <c r="S91" s="33"/>
    </row>
    <row r="92" spans="1:19" ht="15" thickBot="1">
      <c r="B92" s="371"/>
      <c r="C92" s="100"/>
      <c r="D92" s="100"/>
      <c r="E92" s="100"/>
      <c r="F92" s="116">
        <f t="shared" si="6"/>
        <v>0</v>
      </c>
      <c r="G92" s="99">
        <f>F92-C92</f>
        <v>0</v>
      </c>
      <c r="H92" s="100"/>
      <c r="I92" s="96">
        <f>IF(ISERROR(G92/H92),0,G92/H92)</f>
        <v>0</v>
      </c>
      <c r="J92" s="73"/>
      <c r="K92" s="73"/>
      <c r="L92" s="33"/>
      <c r="M92" s="33"/>
      <c r="N92" s="33"/>
      <c r="O92" s="33"/>
      <c r="P92" s="33"/>
      <c r="Q92" s="33"/>
      <c r="R92" s="33"/>
      <c r="S92" s="33"/>
    </row>
    <row r="93" spans="1:19" ht="15.75" thickBot="1">
      <c r="B93" s="372" t="s">
        <v>73</v>
      </c>
      <c r="C93" s="115">
        <f t="shared" ref="C93:H93" si="7">SUM(C89:C92)</f>
        <v>-266079.69965949841</v>
      </c>
      <c r="D93" s="115">
        <f t="shared" si="7"/>
        <v>3230969</v>
      </c>
      <c r="E93" s="115">
        <f t="shared" si="7"/>
        <v>-2566463.1333052046</v>
      </c>
      <c r="F93" s="117">
        <f t="shared" si="7"/>
        <v>664505.86669479543</v>
      </c>
      <c r="G93" s="115">
        <f>SUM(G89:G92)</f>
        <v>930585.56635429384</v>
      </c>
      <c r="H93" s="71">
        <f t="shared" si="7"/>
        <v>74745971.1007936</v>
      </c>
      <c r="I93" s="72" t="s">
        <v>79</v>
      </c>
      <c r="J93" s="73"/>
      <c r="K93" s="73"/>
      <c r="L93" s="33"/>
      <c r="M93" s="33"/>
      <c r="N93" s="33"/>
      <c r="O93" s="33"/>
      <c r="P93" s="33"/>
      <c r="Q93" s="33"/>
      <c r="R93" s="33"/>
      <c r="S93" s="33"/>
    </row>
    <row r="94" spans="1:19">
      <c r="B94" s="359"/>
      <c r="C94" s="4"/>
      <c r="D94" s="4"/>
      <c r="E94" s="4"/>
      <c r="F94" s="4"/>
      <c r="G94" s="4"/>
      <c r="J94" s="73"/>
      <c r="K94" s="73"/>
      <c r="L94" s="33"/>
      <c r="M94" s="33"/>
      <c r="N94" s="33"/>
      <c r="O94" s="33"/>
      <c r="P94" s="33"/>
      <c r="Q94" s="33"/>
      <c r="R94" s="33"/>
      <c r="S94" s="33"/>
    </row>
    <row r="95" spans="1:19">
      <c r="J95" s="73"/>
      <c r="K95" s="73"/>
      <c r="L95" s="33"/>
      <c r="M95" s="33"/>
      <c r="N95" s="33"/>
      <c r="O95" s="33"/>
      <c r="P95" s="33"/>
      <c r="Q95" s="33"/>
      <c r="R95" s="33"/>
      <c r="S95" s="33"/>
    </row>
    <row r="96" spans="1:19" ht="15">
      <c r="B96" s="364" t="s">
        <v>37</v>
      </c>
      <c r="J96" s="73"/>
      <c r="K96" s="73"/>
    </row>
    <row r="97" spans="2:11">
      <c r="B97" s="51"/>
      <c r="C97" s="51"/>
      <c r="D97" s="51"/>
      <c r="E97" s="51"/>
      <c r="F97" s="51"/>
      <c r="G97" s="51"/>
      <c r="H97" s="51"/>
      <c r="J97" s="73"/>
      <c r="K97" s="73"/>
    </row>
    <row r="98" spans="2:11">
      <c r="B98" s="51"/>
      <c r="C98" s="51"/>
      <c r="D98" s="51"/>
      <c r="E98" s="51"/>
      <c r="F98" s="51"/>
      <c r="G98" s="51"/>
      <c r="H98" s="51"/>
      <c r="J98" s="73"/>
      <c r="K98" s="73"/>
    </row>
    <row r="99" spans="2:11">
      <c r="B99" s="51"/>
      <c r="C99" s="51"/>
      <c r="D99" s="51"/>
      <c r="E99" s="51"/>
      <c r="F99" s="51"/>
      <c r="G99" s="51"/>
      <c r="H99" s="51"/>
    </row>
    <row r="100" spans="2:11">
      <c r="B100" s="51"/>
      <c r="C100" s="51"/>
      <c r="D100" s="51"/>
      <c r="E100" s="51"/>
      <c r="F100" s="51"/>
      <c r="G100" s="51"/>
      <c r="H100" s="51"/>
    </row>
    <row r="101" spans="2:11">
      <c r="B101" s="51"/>
      <c r="C101" s="51"/>
      <c r="D101" s="51"/>
      <c r="E101" s="51"/>
      <c r="F101" s="51"/>
      <c r="G101" s="51"/>
      <c r="H101" s="51"/>
    </row>
    <row r="102" spans="2:11">
      <c r="B102" s="51"/>
      <c r="C102" s="51"/>
      <c r="D102" s="51"/>
      <c r="E102" s="51"/>
      <c r="F102" s="51"/>
      <c r="G102" s="51"/>
      <c r="H102" s="51"/>
    </row>
    <row r="103" spans="2:11">
      <c r="B103" s="51"/>
      <c r="C103" s="51"/>
      <c r="D103" s="51"/>
      <c r="E103" s="51"/>
      <c r="F103" s="51"/>
      <c r="G103" s="51"/>
      <c r="H103" s="51"/>
    </row>
    <row r="104" spans="2:11">
      <c r="B104" s="51"/>
      <c r="C104" s="51"/>
      <c r="D104" s="51"/>
      <c r="E104" s="51"/>
      <c r="F104" s="51"/>
      <c r="G104" s="51"/>
      <c r="H104" s="51"/>
    </row>
  </sheetData>
  <mergeCells count="23">
    <mergeCell ref="E78:I78"/>
    <mergeCell ref="E79:I79"/>
    <mergeCell ref="E72:I72"/>
    <mergeCell ref="E73:I73"/>
    <mergeCell ref="E74:I74"/>
    <mergeCell ref="E75:I75"/>
    <mergeCell ref="E76:I76"/>
    <mergeCell ref="E77:I77"/>
    <mergeCell ref="R45:T45"/>
    <mergeCell ref="U45:W45"/>
    <mergeCell ref="E65:I65"/>
    <mergeCell ref="E71:I71"/>
    <mergeCell ref="B21:C21"/>
    <mergeCell ref="E21:F21"/>
    <mergeCell ref="B27:H27"/>
    <mergeCell ref="O45:Q45"/>
    <mergeCell ref="E64:I64"/>
    <mergeCell ref="E66:I66"/>
    <mergeCell ref="E67:I67"/>
    <mergeCell ref="E68:I68"/>
    <mergeCell ref="E69:I69"/>
    <mergeCell ref="A65:C65"/>
    <mergeCell ref="E70:I70"/>
  </mergeCells>
  <dataValidations count="1">
    <dataValidation type="list" sqref="C31">
      <formula1>"1st Estimate, 2nd Estimate, Actual, Other"</formula1>
    </dataValidation>
  </dataValidations>
  <pageMargins left="0.70866141732283505" right="0.70866141732283505" top="0.74803149606299202" bottom="0.74803149606299202" header="0.31496062992126" footer="0.31496062992126"/>
  <pageSetup paperSize="3" scale="70"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6"/>
  <sheetViews>
    <sheetView workbookViewId="0">
      <selection activeCell="E4" sqref="E4"/>
    </sheetView>
  </sheetViews>
  <sheetFormatPr defaultRowHeight="15"/>
  <cols>
    <col min="2" max="2" width="10.140625" bestFit="1" customWidth="1"/>
    <col min="3" max="3" width="11.85546875" style="354" bestFit="1" customWidth="1"/>
    <col min="4" max="4" width="12.5703125" style="354" bestFit="1" customWidth="1"/>
    <col min="5" max="6" width="13.5703125" bestFit="1" customWidth="1"/>
  </cols>
  <sheetData>
    <row r="2" spans="1:6">
      <c r="B2" t="s">
        <v>312</v>
      </c>
      <c r="C2" s="354" t="s">
        <v>215</v>
      </c>
      <c r="D2" s="354" t="s">
        <v>215</v>
      </c>
    </row>
    <row r="3" spans="1:6">
      <c r="B3" t="s">
        <v>0</v>
      </c>
      <c r="C3" s="354" t="s">
        <v>313</v>
      </c>
      <c r="D3" s="354" t="s">
        <v>314</v>
      </c>
      <c r="F3" s="353" t="str">
        <f>'2.GA Detailed Analysis'!P13</f>
        <v>Query - Billed</v>
      </c>
    </row>
    <row r="4" spans="1:6">
      <c r="A4">
        <v>1</v>
      </c>
      <c r="B4" s="351">
        <f>'GA Analysis '!C47</f>
        <v>58743140.229999997</v>
      </c>
      <c r="C4" s="354">
        <f>+'GA Analysis '!R58</f>
        <v>0.11462</v>
      </c>
      <c r="D4" s="354">
        <f>'GA Analysis '!G47</f>
        <v>8.4229999999999999E-2</v>
      </c>
      <c r="E4" s="352">
        <f>B4*82%*C4+B4*18%*D4</f>
        <v>6411802.0074764537</v>
      </c>
      <c r="F4" s="353">
        <f>'2.GA Detailed Analysis'!P14</f>
        <v>6404410.9299999988</v>
      </c>
    </row>
    <row r="5" spans="1:6">
      <c r="A5">
        <v>2</v>
      </c>
      <c r="B5" s="351">
        <f>'GA Analysis '!C48</f>
        <v>66960959.680000007</v>
      </c>
      <c r="C5" s="354">
        <f>'GA Analysis '!G47</f>
        <v>8.4229999999999999E-2</v>
      </c>
      <c r="D5" s="354">
        <f>'GA Analysis '!G48</f>
        <v>0.10384</v>
      </c>
      <c r="F5" s="353">
        <f>'2.GA Detailed Analysis'!P15</f>
        <v>5939402.9900000012</v>
      </c>
    </row>
    <row r="6" spans="1:6">
      <c r="A6">
        <v>3</v>
      </c>
      <c r="B6" s="351">
        <f>'GA Analysis '!C49</f>
        <v>63947348.519999988</v>
      </c>
      <c r="C6" s="354">
        <f>'GA Analysis '!G48</f>
        <v>0.10384</v>
      </c>
      <c r="D6" s="354">
        <f>'GA Analysis '!G49</f>
        <v>9.0219999999999995E-2</v>
      </c>
      <c r="F6" s="353">
        <f>'2.GA Detailed Analysis'!P16</f>
        <v>6488540.7300000014</v>
      </c>
    </row>
    <row r="7" spans="1:6">
      <c r="A7">
        <v>4</v>
      </c>
      <c r="B7" s="351">
        <f>'GA Analysis '!C50</f>
        <v>61204250.079999991</v>
      </c>
      <c r="C7" s="354">
        <f>'GA Analysis '!G49</f>
        <v>9.0219999999999995E-2</v>
      </c>
      <c r="D7" s="354">
        <f>'GA Analysis '!G50</f>
        <v>0.12114999999999999</v>
      </c>
      <c r="F7" s="353">
        <f>'2.GA Detailed Analysis'!P17</f>
        <v>5618220.0499999989</v>
      </c>
    </row>
    <row r="8" spans="1:6">
      <c r="A8">
        <v>5</v>
      </c>
      <c r="B8" s="351">
        <f>'GA Analysis '!C51</f>
        <v>63740323.479999997</v>
      </c>
      <c r="C8" s="354">
        <f>'GA Analysis '!G50</f>
        <v>0.12114999999999999</v>
      </c>
      <c r="D8" s="354">
        <f>'GA Analysis '!G51</f>
        <v>0.10405</v>
      </c>
      <c r="F8" s="353">
        <f>'2.GA Detailed Analysis'!P18</f>
        <v>7453237.5300000012</v>
      </c>
    </row>
    <row r="9" spans="1:6">
      <c r="A9">
        <v>6</v>
      </c>
      <c r="B9" s="351">
        <f>'GA Analysis '!C52</f>
        <v>63441195.579999983</v>
      </c>
      <c r="C9" s="354">
        <f>'GA Analysis '!G51</f>
        <v>0.10405</v>
      </c>
      <c r="D9" s="354">
        <f>'GA Analysis '!G52</f>
        <v>0.11650000000000001</v>
      </c>
      <c r="F9" s="353">
        <f>'2.GA Detailed Analysis'!P19</f>
        <v>6719774.3799999999</v>
      </c>
    </row>
    <row r="10" spans="1:6">
      <c r="A10">
        <v>7</v>
      </c>
      <c r="B10" s="351">
        <f>'GA Analysis '!C53</f>
        <v>58315662.649999984</v>
      </c>
      <c r="C10" s="354">
        <f>'GA Analysis '!G52</f>
        <v>0.11650000000000001</v>
      </c>
      <c r="D10" s="354">
        <f>'GA Analysis '!G53</f>
        <v>7.6670000000000002E-2</v>
      </c>
      <c r="F10" s="353">
        <f>'2.GA Detailed Analysis'!P20</f>
        <v>6702633.9500000002</v>
      </c>
    </row>
    <row r="11" spans="1:6">
      <c r="A11">
        <v>8</v>
      </c>
      <c r="B11" s="351">
        <f>'GA Analysis '!C54</f>
        <v>65694759.88000001</v>
      </c>
      <c r="C11" s="354">
        <f>'GA Analysis '!G53</f>
        <v>7.6670000000000002E-2</v>
      </c>
      <c r="D11" s="354">
        <f>'GA Analysis '!G54</f>
        <v>8.5690000000000002E-2</v>
      </c>
      <c r="F11" s="353">
        <f>'2.GA Detailed Analysis'!P21</f>
        <v>5362347.8500000015</v>
      </c>
    </row>
    <row r="12" spans="1:6">
      <c r="A12">
        <v>9</v>
      </c>
      <c r="B12" s="351">
        <f>'GA Analysis '!C55</f>
        <v>66705999.039999999</v>
      </c>
      <c r="C12" s="354">
        <f>'GA Analysis '!G54</f>
        <v>8.5690000000000002E-2</v>
      </c>
      <c r="D12" s="354">
        <f>'GA Analysis '!G55</f>
        <v>7.0599999999999996E-2</v>
      </c>
      <c r="F12" s="353">
        <f>'2.GA Detailed Analysis'!P22</f>
        <v>5652296.5200000023</v>
      </c>
    </row>
    <row r="13" spans="1:6">
      <c r="A13">
        <v>10</v>
      </c>
      <c r="B13" s="351">
        <f>'GA Analysis '!C56</f>
        <v>67194964.290000007</v>
      </c>
      <c r="C13" s="354">
        <f>'GA Analysis '!G55</f>
        <v>7.0599999999999996E-2</v>
      </c>
      <c r="D13" s="354">
        <f>'GA Analysis '!G56</f>
        <v>9.7199999999999995E-2</v>
      </c>
      <c r="F13" s="353">
        <f>'2.GA Detailed Analysis'!P23</f>
        <v>4881899.16</v>
      </c>
    </row>
    <row r="14" spans="1:6">
      <c r="A14">
        <v>11</v>
      </c>
      <c r="B14" s="351">
        <f>'GA Analysis '!C57</f>
        <v>64741531.880000003</v>
      </c>
      <c r="C14" s="354">
        <f>'GA Analysis '!G56</f>
        <v>9.7199999999999995E-2</v>
      </c>
      <c r="D14" s="354">
        <f>'GA Analysis '!G57</f>
        <v>0.12271</v>
      </c>
      <c r="F14" s="353">
        <f>'2.GA Detailed Analysis'!P24</f>
        <v>6170460.9000000013</v>
      </c>
    </row>
    <row r="15" spans="1:6">
      <c r="A15">
        <v>12</v>
      </c>
      <c r="B15" s="351">
        <f>'GA Analysis '!C58</f>
        <v>63450204.320000008</v>
      </c>
      <c r="C15" s="354">
        <f>'GA Analysis '!G57</f>
        <v>0.12271</v>
      </c>
      <c r="D15" s="354">
        <f>'GA Analysis '!G58</f>
        <v>0.10594000000000001</v>
      </c>
      <c r="F15" s="353">
        <f>'2.GA Detailed Analysis'!P25</f>
        <v>7607820.2600000007</v>
      </c>
    </row>
    <row r="16" spans="1:6">
      <c r="F16" s="353">
        <f>'2.GA Detailed Analysis'!P26</f>
        <v>75001045.25000003</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Q20"/>
  <sheetViews>
    <sheetView workbookViewId="0">
      <selection activeCell="A11" sqref="A11"/>
    </sheetView>
  </sheetViews>
  <sheetFormatPr defaultRowHeight="15"/>
  <cols>
    <col min="8" max="8" width="11.140625" bestFit="1" customWidth="1"/>
    <col min="10" max="10" width="9.5703125" customWidth="1"/>
    <col min="11" max="11" width="13.5703125" style="129" bestFit="1" customWidth="1"/>
    <col min="12" max="12" width="8.42578125" bestFit="1" customWidth="1"/>
    <col min="13" max="13" width="11.28515625" bestFit="1" customWidth="1"/>
    <col min="14" max="14" width="8.85546875" bestFit="1" customWidth="1"/>
    <col min="15" max="15" width="12.5703125" bestFit="1" customWidth="1"/>
    <col min="16" max="16" width="13.5703125" bestFit="1" customWidth="1"/>
    <col min="17" max="17" width="13.85546875" bestFit="1" customWidth="1"/>
  </cols>
  <sheetData>
    <row r="4" spans="1:17">
      <c r="A4" t="s">
        <v>162</v>
      </c>
      <c r="K4" s="128">
        <f>'3.RPP True-up'!G57</f>
        <v>-59067.677147879731</v>
      </c>
    </row>
    <row r="6" spans="1:17">
      <c r="A6" s="397" t="s">
        <v>163</v>
      </c>
      <c r="B6" s="397"/>
      <c r="C6" s="397"/>
      <c r="D6" s="397"/>
      <c r="E6" s="397"/>
      <c r="F6" s="397"/>
      <c r="G6" s="397"/>
      <c r="H6" s="397"/>
      <c r="I6" s="397"/>
      <c r="J6" s="397"/>
      <c r="K6" s="128">
        <f>-'5.UBR Retailer Contract'!F21</f>
        <v>-127042.13993939996</v>
      </c>
    </row>
    <row r="8" spans="1:17">
      <c r="A8" s="398" t="s">
        <v>164</v>
      </c>
      <c r="B8" s="398"/>
      <c r="C8" s="398"/>
      <c r="D8" s="398"/>
      <c r="E8" s="398"/>
      <c r="F8" s="398"/>
      <c r="G8" s="398"/>
      <c r="H8" s="398"/>
      <c r="I8" s="398"/>
      <c r="J8" s="398"/>
      <c r="K8" s="129">
        <f>'2.GA Detailed Analysis'!O27</f>
        <v>331031.05959868431</v>
      </c>
    </row>
    <row r="9" spans="1:17" ht="47.25" customHeight="1">
      <c r="A9" s="399" t="s">
        <v>317</v>
      </c>
      <c r="B9" s="397"/>
      <c r="C9" s="397"/>
      <c r="D9" s="397"/>
      <c r="E9" s="397"/>
      <c r="F9" s="397"/>
      <c r="G9" s="397"/>
      <c r="H9" s="397"/>
      <c r="I9" s="397"/>
      <c r="J9" s="397"/>
      <c r="K9" s="129">
        <f>-'GA Analysis '!D70</f>
        <v>2220295.4700000002</v>
      </c>
    </row>
    <row r="10" spans="1:17" ht="47.25" customHeight="1">
      <c r="A10" s="399" t="s">
        <v>320</v>
      </c>
      <c r="B10" s="399"/>
      <c r="C10" s="399"/>
      <c r="D10" s="399"/>
      <c r="E10" s="399"/>
      <c r="F10" s="399"/>
      <c r="G10" s="399"/>
      <c r="H10" s="399"/>
      <c r="I10" s="399"/>
      <c r="J10" s="399"/>
      <c r="K10" s="129">
        <f>-'GA Analysis '!D68-'GA Analysis '!D69</f>
        <v>201246.42079379968</v>
      </c>
    </row>
    <row r="11" spans="1:17" s="130" customFormat="1">
      <c r="A11" s="130" t="s">
        <v>165</v>
      </c>
      <c r="K11" s="131">
        <f>SUM(K2:K10)</f>
        <v>2566463.1333052046</v>
      </c>
    </row>
    <row r="13" spans="1:17" ht="51">
      <c r="I13" s="132" t="s">
        <v>166</v>
      </c>
      <c r="L13" s="133" t="s">
        <v>167</v>
      </c>
      <c r="M13" s="134" t="s">
        <v>168</v>
      </c>
      <c r="N13" s="135" t="s">
        <v>169</v>
      </c>
      <c r="O13" s="136" t="s">
        <v>170</v>
      </c>
      <c r="P13" s="137"/>
      <c r="Q13" s="138"/>
    </row>
    <row r="14" spans="1:17">
      <c r="L14" s="132">
        <v>2015</v>
      </c>
      <c r="M14" s="139">
        <f>SUM([5]Query!$J$195:$J$203)-SUM([5]Query!$L$275:$L$281)+SUM([5]Query!$E$210:$E$211)</f>
        <v>55645827.809999987</v>
      </c>
      <c r="N14" s="140">
        <f>+'[1]GA Analysis'!R46</f>
        <v>0.11462</v>
      </c>
      <c r="O14" s="141">
        <f>M14*N14</f>
        <v>6378124.7835821984</v>
      </c>
      <c r="P14" s="142"/>
      <c r="Q14" s="143"/>
    </row>
    <row r="15" spans="1:17" ht="15.75" thickBot="1">
      <c r="L15" s="144">
        <v>2016</v>
      </c>
      <c r="M15" s="145">
        <f>SUM([6]Query!$M$365:$M$370)-SUM([6]Query!$R$416:$R$428)+SUM([6]Query!$H$315:$H$320)</f>
        <v>57184248.389999993</v>
      </c>
      <c r="N15" s="146">
        <f>+'[1]GA Analysis'!O46</f>
        <v>0.10594000000000001</v>
      </c>
      <c r="O15" s="147">
        <f>M15*N15</f>
        <v>6058099.2744365996</v>
      </c>
      <c r="P15" s="148"/>
      <c r="Q15" s="143"/>
    </row>
    <row r="16" spans="1:17" ht="15.75" thickTop="1">
      <c r="L16" s="132" t="s">
        <v>171</v>
      </c>
      <c r="M16" s="149"/>
      <c r="N16" s="131"/>
      <c r="O16" s="131">
        <f>O15-O14</f>
        <v>-320025.50914559886</v>
      </c>
      <c r="P16" s="142"/>
      <c r="Q16" s="142"/>
    </row>
    <row r="17" spans="12:17">
      <c r="L17" s="132"/>
      <c r="M17" s="139"/>
      <c r="N17" s="150"/>
      <c r="O17" s="151"/>
      <c r="P17" s="152"/>
      <c r="Q17" s="149"/>
    </row>
    <row r="18" spans="12:17">
      <c r="L18" s="149"/>
      <c r="M18" s="139"/>
      <c r="N18" s="150"/>
      <c r="O18" s="153"/>
      <c r="P18" s="154"/>
      <c r="Q18" s="149"/>
    </row>
    <row r="19" spans="12:17">
      <c r="L19" s="149"/>
      <c r="M19" s="149"/>
      <c r="N19" s="149"/>
      <c r="O19" s="153"/>
      <c r="P19" s="154"/>
      <c r="Q19" s="155"/>
    </row>
    <row r="20" spans="12:17">
      <c r="L20" s="149"/>
      <c r="M20" s="132"/>
      <c r="N20" s="149"/>
      <c r="O20" s="153"/>
      <c r="P20" s="156"/>
      <c r="Q20" s="157"/>
    </row>
  </sheetData>
  <mergeCells count="4">
    <mergeCell ref="A6:J6"/>
    <mergeCell ref="A8:J8"/>
    <mergeCell ref="A9:J9"/>
    <mergeCell ref="A10:J10"/>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topLeftCell="A10" workbookViewId="0">
      <selection activeCell="G36" sqref="G36"/>
    </sheetView>
  </sheetViews>
  <sheetFormatPr defaultColWidth="9.140625" defaultRowHeight="12.75"/>
  <cols>
    <col min="1" max="1" width="9.5703125" style="296" bestFit="1" customWidth="1"/>
    <col min="2" max="3" width="15.7109375" style="296" customWidth="1"/>
    <col min="4" max="6" width="13.42578125" style="296" customWidth="1"/>
    <col min="7" max="7" width="15.7109375" style="296" customWidth="1"/>
    <col min="8" max="9" width="12.7109375" style="296" customWidth="1"/>
    <col min="10" max="10" width="18.85546875" style="296" customWidth="1"/>
    <col min="11" max="13" width="15.7109375" style="296" customWidth="1"/>
    <col min="14" max="14" width="7.28515625" style="296" customWidth="1"/>
    <col min="15" max="15" width="14.28515625" style="296" bestFit="1" customWidth="1"/>
    <col min="16" max="16" width="19.5703125" style="297" customWidth="1"/>
    <col min="17" max="17" width="12.28515625" style="298" bestFit="1" customWidth="1"/>
    <col min="18" max="18" width="9.5703125" style="296" bestFit="1" customWidth="1"/>
    <col min="19" max="19" width="11.42578125" style="296" bestFit="1" customWidth="1"/>
    <col min="20" max="16384" width="9.140625" style="296"/>
  </cols>
  <sheetData>
    <row r="1" spans="1:18" s="149" customFormat="1" ht="13.5" thickBot="1">
      <c r="A1" s="149" t="s">
        <v>172</v>
      </c>
      <c r="B1" s="400" t="s">
        <v>173</v>
      </c>
      <c r="C1" s="400"/>
      <c r="D1" s="400"/>
      <c r="E1" s="400"/>
      <c r="F1" s="400"/>
      <c r="G1" s="400"/>
      <c r="H1" s="400"/>
      <c r="I1" s="400"/>
      <c r="J1" s="400"/>
      <c r="K1" s="400"/>
      <c r="L1" s="400"/>
      <c r="M1" s="400"/>
      <c r="N1" s="158"/>
      <c r="O1" s="158"/>
      <c r="P1" s="159"/>
      <c r="Q1" s="160"/>
    </row>
    <row r="2" spans="1:18" s="149" customFormat="1" ht="19.5" thickBot="1">
      <c r="B2" s="161" t="s">
        <v>174</v>
      </c>
      <c r="C2" s="162"/>
      <c r="D2" s="162"/>
      <c r="E2" s="162"/>
      <c r="F2" s="162"/>
      <c r="G2" s="162"/>
      <c r="H2" s="163"/>
      <c r="I2" s="163"/>
      <c r="J2" s="163"/>
      <c r="K2" s="163"/>
      <c r="L2" s="163"/>
      <c r="M2" s="163"/>
      <c r="N2" s="163"/>
      <c r="O2" s="163"/>
      <c r="P2" s="164"/>
      <c r="Q2" s="160"/>
    </row>
    <row r="3" spans="1:18" s="149" customFormat="1">
      <c r="B3" s="165" t="s">
        <v>175</v>
      </c>
      <c r="C3" s="166"/>
      <c r="D3" s="166"/>
      <c r="E3" s="166"/>
      <c r="F3" s="166"/>
      <c r="G3" s="166"/>
      <c r="H3" s="167"/>
      <c r="I3" s="168"/>
      <c r="J3" s="168"/>
      <c r="K3" s="168"/>
      <c r="L3" s="169"/>
      <c r="M3" s="163"/>
      <c r="N3" s="163"/>
      <c r="O3" s="163"/>
      <c r="Q3" s="160"/>
    </row>
    <row r="4" spans="1:18" s="149" customFormat="1">
      <c r="B4" s="170" t="s">
        <v>176</v>
      </c>
      <c r="C4" s="170"/>
      <c r="D4" s="170"/>
      <c r="E4" s="170"/>
      <c r="F4" s="170"/>
      <c r="G4" s="170"/>
      <c r="H4" s="171"/>
      <c r="I4" s="172"/>
      <c r="J4" s="173">
        <f>[7]Form!$G$33</f>
        <v>1668245566.6599998</v>
      </c>
      <c r="K4" s="174" t="s">
        <v>0</v>
      </c>
      <c r="L4" s="175">
        <v>1</v>
      </c>
      <c r="M4" s="163" t="s">
        <v>177</v>
      </c>
      <c r="N4" s="163"/>
      <c r="O4" s="163"/>
      <c r="P4" s="164"/>
      <c r="Q4" s="160"/>
    </row>
    <row r="5" spans="1:18" s="149" customFormat="1">
      <c r="B5" s="170" t="s">
        <v>178</v>
      </c>
      <c r="C5" s="170"/>
      <c r="D5" s="170"/>
      <c r="E5" s="170"/>
      <c r="F5" s="170"/>
      <c r="G5" s="170"/>
      <c r="H5" s="171"/>
      <c r="I5" s="172"/>
      <c r="J5" s="173">
        <f>[7]Form!$C$16</f>
        <v>499477250.51615453</v>
      </c>
      <c r="K5" s="174" t="s">
        <v>0</v>
      </c>
      <c r="L5" s="176">
        <f>J5/J4</f>
        <v>0.29940271414367348</v>
      </c>
      <c r="M5" s="163"/>
      <c r="N5" s="163"/>
      <c r="O5" s="163"/>
      <c r="P5" s="164"/>
      <c r="Q5" s="160"/>
    </row>
    <row r="6" spans="1:18" s="149" customFormat="1">
      <c r="B6" s="170" t="s">
        <v>179</v>
      </c>
      <c r="C6" s="170"/>
      <c r="D6" s="170"/>
      <c r="E6" s="170"/>
      <c r="F6" s="170"/>
      <c r="G6" s="170"/>
      <c r="H6" s="171"/>
      <c r="I6" s="172"/>
      <c r="J6" s="177">
        <f>J4-J5</f>
        <v>1168768316.1438453</v>
      </c>
      <c r="K6" s="174" t="s">
        <v>0</v>
      </c>
      <c r="L6" s="176">
        <f>J6/J4</f>
        <v>0.70059728585632652</v>
      </c>
      <c r="M6" s="163" t="s">
        <v>180</v>
      </c>
      <c r="N6" s="163"/>
      <c r="O6" s="163"/>
      <c r="P6" s="164"/>
      <c r="Q6" s="160"/>
    </row>
    <row r="7" spans="1:18" s="149" customFormat="1" ht="13.5" thickBot="1">
      <c r="B7" s="178" t="s">
        <v>181</v>
      </c>
      <c r="C7" s="178"/>
      <c r="D7" s="178"/>
      <c r="E7" s="178"/>
      <c r="F7" s="178"/>
      <c r="G7" s="178"/>
      <c r="H7" s="179"/>
      <c r="I7" s="180"/>
      <c r="J7" s="181">
        <f>'[2]2016 Cust. switch Class A to B'!$F$34+'[2]2016 Cust. switch Class A to B'!$F$35</f>
        <v>419184288.53037626</v>
      </c>
      <c r="K7" s="182" t="s">
        <v>0</v>
      </c>
      <c r="L7" s="183">
        <f>J7/J4</f>
        <v>0.25127253259819926</v>
      </c>
      <c r="M7" s="163"/>
      <c r="N7" s="163"/>
      <c r="O7" s="163"/>
      <c r="P7" s="164"/>
      <c r="Q7" s="160"/>
    </row>
    <row r="8" spans="1:18" s="149" customFormat="1" ht="13.5" thickBot="1">
      <c r="B8" s="184" t="s">
        <v>182</v>
      </c>
      <c r="C8" s="185"/>
      <c r="D8" s="185"/>
      <c r="E8" s="185"/>
      <c r="F8" s="185"/>
      <c r="G8" s="185"/>
      <c r="H8" s="186"/>
      <c r="I8" s="187"/>
      <c r="J8" s="188">
        <f>J6-J7</f>
        <v>749584027.61346912</v>
      </c>
      <c r="K8" s="189" t="s">
        <v>0</v>
      </c>
      <c r="L8" s="190">
        <f>J8/J4</f>
        <v>0.44932475325812726</v>
      </c>
      <c r="M8" s="191"/>
      <c r="N8" s="191"/>
      <c r="O8" s="191"/>
      <c r="P8" s="192"/>
      <c r="Q8" s="160"/>
    </row>
    <row r="9" spans="1:18" s="149" customFormat="1">
      <c r="B9" s="193"/>
      <c r="C9" s="193"/>
      <c r="D9" s="193"/>
      <c r="E9" s="193"/>
      <c r="F9" s="193"/>
      <c r="G9" s="193"/>
      <c r="H9" s="132"/>
      <c r="I9" s="132"/>
      <c r="J9" s="194"/>
      <c r="K9" s="132"/>
      <c r="L9" s="132"/>
      <c r="M9" s="132"/>
      <c r="N9" s="132"/>
      <c r="O9" s="132"/>
      <c r="P9" s="195"/>
      <c r="Q9" s="160"/>
    </row>
    <row r="10" spans="1:18" s="149" customFormat="1">
      <c r="B10" s="196" t="s">
        <v>183</v>
      </c>
      <c r="C10" s="197"/>
      <c r="D10" s="197"/>
      <c r="E10" s="197"/>
      <c r="F10" s="197"/>
      <c r="G10" s="198"/>
      <c r="H10" s="197"/>
      <c r="I10" s="197"/>
      <c r="J10" s="197"/>
      <c r="K10" s="197"/>
      <c r="L10" s="197"/>
      <c r="M10" s="199"/>
      <c r="N10" s="200"/>
      <c r="O10" s="200"/>
      <c r="Q10" s="160"/>
    </row>
    <row r="11" spans="1:18" s="201" customFormat="1" ht="25.5">
      <c r="B11" s="202" t="s">
        <v>184</v>
      </c>
      <c r="C11" s="202" t="s">
        <v>185</v>
      </c>
      <c r="D11" s="202" t="s">
        <v>186</v>
      </c>
      <c r="E11" s="202" t="s">
        <v>187</v>
      </c>
      <c r="F11" s="203" t="s">
        <v>188</v>
      </c>
      <c r="G11" s="204" t="s">
        <v>189</v>
      </c>
      <c r="H11" s="205" t="s">
        <v>190</v>
      </c>
      <c r="I11" s="206" t="s">
        <v>191</v>
      </c>
      <c r="J11" s="206" t="s">
        <v>192</v>
      </c>
      <c r="K11" s="202" t="s">
        <v>193</v>
      </c>
      <c r="L11" s="202" t="s">
        <v>193</v>
      </c>
      <c r="M11" s="202" t="s">
        <v>194</v>
      </c>
      <c r="N11" s="207"/>
    </row>
    <row r="12" spans="1:18" s="201" customFormat="1" ht="38.25">
      <c r="B12" s="208" t="s">
        <v>195</v>
      </c>
      <c r="C12" s="208" t="s">
        <v>196</v>
      </c>
      <c r="D12" s="208" t="s">
        <v>196</v>
      </c>
      <c r="E12" s="208" t="s">
        <v>0</v>
      </c>
      <c r="F12" s="209"/>
      <c r="G12" s="208" t="s">
        <v>197</v>
      </c>
      <c r="H12" s="210" t="s">
        <v>198</v>
      </c>
      <c r="I12" s="208" t="s">
        <v>198</v>
      </c>
      <c r="J12" s="208" t="s">
        <v>198</v>
      </c>
      <c r="K12" s="211" t="s">
        <v>199</v>
      </c>
      <c r="L12" s="211" t="s">
        <v>200</v>
      </c>
      <c r="M12" s="208" t="s">
        <v>201</v>
      </c>
      <c r="N12" s="212"/>
      <c r="O12" s="207" t="s">
        <v>202</v>
      </c>
      <c r="P12" s="213" t="s">
        <v>203</v>
      </c>
    </row>
    <row r="13" spans="1:18" s="149" customFormat="1" ht="51.75" thickBot="1">
      <c r="B13" s="214" t="s">
        <v>1</v>
      </c>
      <c r="C13" s="215" t="s">
        <v>204</v>
      </c>
      <c r="D13" s="215" t="s">
        <v>205</v>
      </c>
      <c r="E13" s="215" t="s">
        <v>206</v>
      </c>
      <c r="F13" s="216" t="s">
        <v>207</v>
      </c>
      <c r="G13" s="217" t="s">
        <v>40</v>
      </c>
      <c r="H13" s="217" t="s">
        <v>38</v>
      </c>
      <c r="I13" s="217" t="s">
        <v>53</v>
      </c>
      <c r="J13" s="217" t="s">
        <v>208</v>
      </c>
      <c r="K13" s="218" t="s">
        <v>209</v>
      </c>
      <c r="L13" s="218" t="s">
        <v>210</v>
      </c>
      <c r="M13" s="217" t="s">
        <v>211</v>
      </c>
      <c r="N13" s="219"/>
      <c r="O13" s="212" t="s">
        <v>212</v>
      </c>
      <c r="P13" s="160" t="s">
        <v>213</v>
      </c>
      <c r="Q13" s="201" t="s">
        <v>214</v>
      </c>
      <c r="R13" s="149" t="s">
        <v>215</v>
      </c>
    </row>
    <row r="14" spans="1:18" s="149" customFormat="1" ht="15">
      <c r="A14" s="220">
        <v>42370</v>
      </c>
      <c r="B14" s="221">
        <f>'[8]CIS Billed Revenue by Range gro'!$I$4964</f>
        <v>58743140.229999997</v>
      </c>
      <c r="C14" s="222">
        <f>SUM([9]Query!$J$244:$J$252)-SUM([9]Query!$L$321:$L$327)+SUM([9]Query!$E$256:$E$257)</f>
        <v>48220273.359999992</v>
      </c>
      <c r="D14" s="223">
        <f>SUM([5]Query!$J$195:$J$203)-SUM([5]Query!$L$275:$L$281)+SUM([5]Query!$E$210:$E$211)</f>
        <v>55645827.809999987</v>
      </c>
      <c r="E14" s="224">
        <f t="shared" ref="E14:E26" si="0">C14-D14</f>
        <v>-7425554.4499999955</v>
      </c>
      <c r="F14" s="222">
        <f t="shared" ref="F14:F25" si="1">B14+C14-D14</f>
        <v>51317585.780000001</v>
      </c>
      <c r="G14" s="225">
        <f>C14*H14-D14*'[1]GA Analysis'!R46</f>
        <v>-2316531.158469399</v>
      </c>
      <c r="H14" s="226">
        <f>'GA Analysis '!O47</f>
        <v>8.4229999999999999E-2</v>
      </c>
      <c r="I14" s="227">
        <f>'GA Analysis '!Q47</f>
        <v>9.1789999999999997E-2</v>
      </c>
      <c r="J14" s="228">
        <f t="shared" ref="J14:J25" si="2">+H14-I14</f>
        <v>-7.5599999999999973E-3</v>
      </c>
      <c r="K14" s="229">
        <f t="shared" ref="K14:K25" si="3">+F14*H14</f>
        <v>4322480.2502493998</v>
      </c>
      <c r="L14" s="229">
        <f t="shared" ref="L14:L25" si="4">F14*I14</f>
        <v>4710441.1987461997</v>
      </c>
      <c r="M14" s="230">
        <f>+L14-K14</f>
        <v>387960.94849679992</v>
      </c>
      <c r="N14" s="231"/>
      <c r="O14" s="232">
        <f>P14+C14*H14-D14*'GA Analysis '!R58</f>
        <v>4087879.7715305993</v>
      </c>
      <c r="P14" s="231">
        <f>'[8]CIS Billed Revenue by Range gro'!$H$4964</f>
        <v>6404410.9299999988</v>
      </c>
      <c r="Q14" s="233">
        <f>P14/B14</f>
        <v>0.10902397973490154</v>
      </c>
      <c r="R14" s="234">
        <v>8.4229999999999999E-2</v>
      </c>
    </row>
    <row r="15" spans="1:18" s="149" customFormat="1" ht="15">
      <c r="A15" s="220">
        <v>42401</v>
      </c>
      <c r="B15" s="235">
        <f>'[10]CIS Billed Revenue by Range gro'!$I$5087</f>
        <v>66960959.680000007</v>
      </c>
      <c r="C15" s="222">
        <f>SUM([11]Query!$J$244:$J$252)-SUM([11]Query!$L$323:$L$329)+SUM([11]Query!$E$258:$E$259)</f>
        <v>49525282.619999997</v>
      </c>
      <c r="D15" s="223">
        <f t="shared" ref="D15:D25" si="5">(-C14)*-1</f>
        <v>48220273.359999992</v>
      </c>
      <c r="E15" s="236">
        <f t="shared" si="0"/>
        <v>1305009.2600000054</v>
      </c>
      <c r="F15" s="222">
        <f t="shared" si="1"/>
        <v>68265968.940000027</v>
      </c>
      <c r="G15" s="237">
        <f t="shared" ref="G15:G25" si="6">C15*H15-D15*H14</f>
        <v>1081111.7221480007</v>
      </c>
      <c r="H15" s="238">
        <f>'GA Analysis '!O48</f>
        <v>0.10384</v>
      </c>
      <c r="I15" s="239">
        <f>'GA Analysis '!Q48</f>
        <v>9.851E-2</v>
      </c>
      <c r="J15" s="240">
        <f t="shared" si="2"/>
        <v>5.3300000000000014E-3</v>
      </c>
      <c r="K15" s="229">
        <f t="shared" si="3"/>
        <v>7088738.2147296034</v>
      </c>
      <c r="L15" s="229">
        <f t="shared" si="4"/>
        <v>6724880.6002794029</v>
      </c>
      <c r="M15" s="229">
        <f t="shared" ref="M15:M25" si="7">+L15-K15</f>
        <v>-363857.61445020046</v>
      </c>
      <c r="N15" s="231"/>
      <c r="O15" s="232">
        <f>P15+C15*H15-D15*H14</f>
        <v>7020514.7121480014</v>
      </c>
      <c r="P15" s="231">
        <f>'[10]CIS Billed Revenue by Range gro'!$H$5087</f>
        <v>5939402.9900000012</v>
      </c>
      <c r="Q15" s="233">
        <f t="shared" ref="Q15:Q25" si="8">P15/B15</f>
        <v>8.8699490246015547E-2</v>
      </c>
      <c r="R15" s="234">
        <v>0.10384</v>
      </c>
    </row>
    <row r="16" spans="1:18" s="149" customFormat="1" ht="15">
      <c r="A16" s="220">
        <v>42430</v>
      </c>
      <c r="B16" s="235">
        <f>'[12]CIS Billed Revenue by Range gro'!$I$4986</f>
        <v>63947348.519999988</v>
      </c>
      <c r="C16" s="222">
        <f>SUM([13]Query!$J$244:$J$252)-SUM([13]Query!$L$321:$L$327)+SUM([13]Query!$E$243:$E$244)</f>
        <v>56319242.690000005</v>
      </c>
      <c r="D16" s="223">
        <f t="shared" si="5"/>
        <v>49525282.619999997</v>
      </c>
      <c r="E16" s="236">
        <f t="shared" si="0"/>
        <v>6793960.0700000077</v>
      </c>
      <c r="F16" s="222">
        <f t="shared" si="1"/>
        <v>70741308.590000004</v>
      </c>
      <c r="G16" s="237">
        <f t="shared" si="6"/>
        <v>-61583.271769000217</v>
      </c>
      <c r="H16" s="238">
        <f>'GA Analysis '!O49</f>
        <v>9.0219999999999995E-2</v>
      </c>
      <c r="I16" s="239">
        <f>'GA Analysis '!Q49</f>
        <v>0.1061</v>
      </c>
      <c r="J16" s="240">
        <f t="shared" si="2"/>
        <v>-1.5880000000000005E-2</v>
      </c>
      <c r="K16" s="229">
        <f t="shared" si="3"/>
        <v>6382280.8609897997</v>
      </c>
      <c r="L16" s="229">
        <f t="shared" si="4"/>
        <v>7505652.841399</v>
      </c>
      <c r="M16" s="229">
        <f t="shared" si="7"/>
        <v>1123371.9804092003</v>
      </c>
      <c r="N16" s="231"/>
      <c r="O16" s="232">
        <f t="shared" ref="O16:O25" si="9">P16+C16*H16-D16*H15</f>
        <v>6426957.4582310012</v>
      </c>
      <c r="P16" s="231">
        <f>'[12]CIS Billed Revenue by Range gro'!$H$4986</f>
        <v>6488540.7300000014</v>
      </c>
      <c r="Q16" s="233">
        <f t="shared" si="8"/>
        <v>0.1014669236515829</v>
      </c>
      <c r="R16" s="234">
        <v>9.0219999999999995E-2</v>
      </c>
    </row>
    <row r="17" spans="1:22" s="149" customFormat="1" ht="15">
      <c r="A17" s="220">
        <v>42461</v>
      </c>
      <c r="B17" s="235">
        <f>'[14]CIS Billed Revenue by Range gro'!$I$4404</f>
        <v>61204250.079999991</v>
      </c>
      <c r="C17" s="222">
        <f>SUM([15]Query!$J$244:$J$252)-SUM([15]Query!$L$311:$L$317)+SUM([15]Query!$E$246:$E$247)</f>
        <v>51390282.439999998</v>
      </c>
      <c r="D17" s="223">
        <f t="shared" si="5"/>
        <v>56319242.690000005</v>
      </c>
      <c r="E17" s="236">
        <f t="shared" si="0"/>
        <v>-4928960.2500000075</v>
      </c>
      <c r="F17" s="222">
        <f t="shared" si="1"/>
        <v>56275289.829999976</v>
      </c>
      <c r="G17" s="237">
        <f t="shared" si="6"/>
        <v>1144810.6421141997</v>
      </c>
      <c r="H17" s="238">
        <f>'GA Analysis '!O50</f>
        <v>0.12114999999999999</v>
      </c>
      <c r="I17" s="239">
        <f>'GA Analysis '!Q50</f>
        <v>0.11132</v>
      </c>
      <c r="J17" s="240">
        <f t="shared" si="2"/>
        <v>9.8299999999999915E-3</v>
      </c>
      <c r="K17" s="229">
        <f t="shared" si="3"/>
        <v>6817751.3629044965</v>
      </c>
      <c r="L17" s="229">
        <f t="shared" si="4"/>
        <v>6264565.2638755972</v>
      </c>
      <c r="M17" s="229">
        <f t="shared" si="7"/>
        <v>-553186.09902889933</v>
      </c>
      <c r="N17" s="231"/>
      <c r="O17" s="232">
        <f t="shared" si="9"/>
        <v>6763030.6921141976</v>
      </c>
      <c r="P17" s="231">
        <f>'[14]CIS Billed Revenue by Range gro'!$H$4404</f>
        <v>5618220.0499999989</v>
      </c>
      <c r="Q17" s="233">
        <f t="shared" si="8"/>
        <v>9.1794606463708503E-2</v>
      </c>
      <c r="R17" s="234">
        <v>0.12114999999999999</v>
      </c>
    </row>
    <row r="18" spans="1:22" s="149" customFormat="1" ht="15">
      <c r="A18" s="220">
        <v>42491</v>
      </c>
      <c r="B18" s="235">
        <f>'[16]CIS Billed Revenue by Range gro'!$I$5112</f>
        <v>63740323.479999997</v>
      </c>
      <c r="C18" s="222">
        <f>SUM([17]Query!$M$365:$M$370)-SUM([17]Query!$R$510:$R$528)+SUM([17]Query!$H$387:$H$392)</f>
        <v>52893171.68999999</v>
      </c>
      <c r="D18" s="223">
        <f t="shared" si="5"/>
        <v>51390282.439999998</v>
      </c>
      <c r="E18" s="236">
        <f t="shared" si="0"/>
        <v>1502889.2499999925</v>
      </c>
      <c r="F18" s="222">
        <f t="shared" si="1"/>
        <v>65243212.729999989</v>
      </c>
      <c r="G18" s="237">
        <f t="shared" si="6"/>
        <v>-722398.20326150022</v>
      </c>
      <c r="H18" s="238">
        <f>'GA Analysis '!O51</f>
        <v>0.10405</v>
      </c>
      <c r="I18" s="239">
        <f>'GA Analysis '!Q51</f>
        <v>0.10749</v>
      </c>
      <c r="J18" s="240">
        <f t="shared" si="2"/>
        <v>-3.4399999999999986E-3</v>
      </c>
      <c r="K18" s="229">
        <f t="shared" si="3"/>
        <v>6788556.2845564988</v>
      </c>
      <c r="L18" s="229">
        <f t="shared" si="4"/>
        <v>7012992.9363476988</v>
      </c>
      <c r="M18" s="229">
        <f t="shared" si="7"/>
        <v>224436.65179120004</v>
      </c>
      <c r="N18" s="231"/>
      <c r="O18" s="232">
        <f t="shared" si="9"/>
        <v>6730839.3267385</v>
      </c>
      <c r="P18" s="231">
        <f>'[16]CIS Billed Revenue by Range gro'!$H$5112</f>
        <v>7453237.5300000012</v>
      </c>
      <c r="Q18" s="233">
        <f t="shared" si="8"/>
        <v>0.11693127871148359</v>
      </c>
      <c r="R18" s="234">
        <v>0.10405</v>
      </c>
    </row>
    <row r="19" spans="1:22" s="149" customFormat="1" ht="15">
      <c r="A19" s="220">
        <v>42522</v>
      </c>
      <c r="B19" s="235">
        <f>'[18]CIS Billed Revenue by Range gro'!$I$5207</f>
        <v>63441195.579999983</v>
      </c>
      <c r="C19" s="222">
        <f>SUM([19]Query!$M$365:$M$370)-SUM([19]Query!$R$556:$R$580)+SUM([19]Query!$H$432:$H$435)</f>
        <v>52091310.640000001</v>
      </c>
      <c r="D19" s="223">
        <f t="shared" si="5"/>
        <v>52893171.68999999</v>
      </c>
      <c r="E19" s="236">
        <f t="shared" si="0"/>
        <v>-801861.04999998957</v>
      </c>
      <c r="F19" s="222">
        <f t="shared" si="1"/>
        <v>62639334.529999994</v>
      </c>
      <c r="G19" s="237">
        <f t="shared" si="6"/>
        <v>565103.17521550134</v>
      </c>
      <c r="H19" s="238">
        <f>'GA Analysis '!O52</f>
        <v>0.11650000000000001</v>
      </c>
      <c r="I19" s="239">
        <f>'GA Analysis '!Q52</f>
        <v>9.5449999999999993E-2</v>
      </c>
      <c r="J19" s="240">
        <f t="shared" si="2"/>
        <v>2.1050000000000013E-2</v>
      </c>
      <c r="K19" s="229">
        <f t="shared" si="3"/>
        <v>7297482.4727449995</v>
      </c>
      <c r="L19" s="229">
        <f t="shared" si="4"/>
        <v>5978924.4808884989</v>
      </c>
      <c r="M19" s="229">
        <f t="shared" si="7"/>
        <v>-1318557.9918565005</v>
      </c>
      <c r="N19" s="231"/>
      <c r="O19" s="232">
        <f t="shared" si="9"/>
        <v>7284877.5552155012</v>
      </c>
      <c r="P19" s="231">
        <f>'[18]CIS Billed Revenue by Range gro'!$H$5207</f>
        <v>6719774.3799999999</v>
      </c>
      <c r="Q19" s="233">
        <f t="shared" si="8"/>
        <v>0.10592130741808448</v>
      </c>
      <c r="R19" s="234">
        <v>0.11650000000000001</v>
      </c>
    </row>
    <row r="20" spans="1:22" s="149" customFormat="1" ht="15">
      <c r="A20" s="220">
        <v>42552</v>
      </c>
      <c r="B20" s="235">
        <f>'[20]CIS Billed Revenue by Range gro'!$I$4115</f>
        <v>58315662.649999984</v>
      </c>
      <c r="C20" s="222">
        <f>SUM([21]Query!$M$365:$M$370)-SUM([21]Query!$R$421:$R$433)+SUM([21]Query!$H$306:$H$311)</f>
        <v>55366136.819999993</v>
      </c>
      <c r="D20" s="223">
        <f t="shared" si="5"/>
        <v>52091310.640000001</v>
      </c>
      <c r="E20" s="236">
        <f t="shared" si="0"/>
        <v>3274826.1799999923</v>
      </c>
      <c r="F20" s="222">
        <f t="shared" si="1"/>
        <v>61590488.829999968</v>
      </c>
      <c r="G20" s="237">
        <f t="shared" si="6"/>
        <v>-1823715.9795706011</v>
      </c>
      <c r="H20" s="238">
        <f>'GA Analysis '!O53</f>
        <v>7.6670000000000002E-2</v>
      </c>
      <c r="I20" s="239">
        <f>'GA Analysis '!Q53</f>
        <v>8.3059999999999995E-2</v>
      </c>
      <c r="J20" s="240">
        <f t="shared" si="2"/>
        <v>-6.3899999999999929E-3</v>
      </c>
      <c r="K20" s="229">
        <f t="shared" si="3"/>
        <v>4722142.7785960976</v>
      </c>
      <c r="L20" s="229">
        <f t="shared" si="4"/>
        <v>5115706.0022197971</v>
      </c>
      <c r="M20" s="229">
        <f t="shared" si="7"/>
        <v>393563.22362369951</v>
      </c>
      <c r="N20" s="231"/>
      <c r="O20" s="232">
        <f t="shared" si="9"/>
        <v>4878917.9704293991</v>
      </c>
      <c r="P20" s="231">
        <f>'[20]CIS Billed Revenue by Range gro'!$H$4115</f>
        <v>6702633.9500000002</v>
      </c>
      <c r="Q20" s="233">
        <f t="shared" si="8"/>
        <v>0.11493711372582684</v>
      </c>
      <c r="R20" s="234">
        <v>7.6670000000000002E-2</v>
      </c>
    </row>
    <row r="21" spans="1:22" s="149" customFormat="1" ht="15">
      <c r="A21" s="220">
        <v>42583</v>
      </c>
      <c r="B21" s="235">
        <f>'[22]CIS Billed Revenue by Range gro'!$I$4660</f>
        <v>65694759.88000001</v>
      </c>
      <c r="C21" s="222">
        <f>SUM([23]Query!$M$365:$M$370)-SUM([23]Query!$R$327:$R$335)+SUM([23]Query!$H$252:$H$257)</f>
        <v>52839624.380000003</v>
      </c>
      <c r="D21" s="223">
        <f t="shared" si="5"/>
        <v>55366136.819999993</v>
      </c>
      <c r="E21" s="236">
        <f t="shared" si="0"/>
        <v>-2526512.4399999902</v>
      </c>
      <c r="F21" s="222">
        <f t="shared" si="1"/>
        <v>63168247.440000027</v>
      </c>
      <c r="G21" s="237">
        <f t="shared" si="6"/>
        <v>282905.70313280076</v>
      </c>
      <c r="H21" s="238">
        <f>'GA Analysis '!O54</f>
        <v>8.5690000000000002E-2</v>
      </c>
      <c r="I21" s="239">
        <f>'GA Analysis '!Q54</f>
        <v>7.1029999999999996E-2</v>
      </c>
      <c r="J21" s="240">
        <f t="shared" si="2"/>
        <v>1.4660000000000006E-2</v>
      </c>
      <c r="K21" s="229">
        <f t="shared" si="3"/>
        <v>5412887.1231336026</v>
      </c>
      <c r="L21" s="229">
        <f t="shared" si="4"/>
        <v>4486840.6156632015</v>
      </c>
      <c r="M21" s="229">
        <f t="shared" si="7"/>
        <v>-926046.507470401</v>
      </c>
      <c r="N21" s="231"/>
      <c r="O21" s="232">
        <f t="shared" si="9"/>
        <v>5645253.5531328013</v>
      </c>
      <c r="P21" s="231">
        <f>'[22]CIS Billed Revenue by Range gro'!$H$4660</f>
        <v>5362347.8500000015</v>
      </c>
      <c r="Q21" s="233">
        <f t="shared" si="8"/>
        <v>8.1625199023408021E-2</v>
      </c>
      <c r="R21" s="234">
        <v>8.5690000000000002E-2</v>
      </c>
    </row>
    <row r="22" spans="1:22" s="149" customFormat="1" ht="15">
      <c r="A22" s="220">
        <v>42614</v>
      </c>
      <c r="B22" s="235">
        <f>'[24]CIS Billed Revenue by Range gro'!$I$4285</f>
        <v>66705999.039999999</v>
      </c>
      <c r="C22" s="222">
        <f>SUM([25]Query!$M$365:$M$370)-SUM([25]Query!$R$414:$R$422)+SUM([25]Query!$H$281:$H$286)</f>
        <v>56270547.780000001</v>
      </c>
      <c r="D22" s="223">
        <f t="shared" si="5"/>
        <v>52839624.380000003</v>
      </c>
      <c r="E22" s="236">
        <f t="shared" si="0"/>
        <v>3430923.3999999985</v>
      </c>
      <c r="F22" s="222">
        <f t="shared" si="1"/>
        <v>70136922.439999998</v>
      </c>
      <c r="G22" s="237">
        <f t="shared" si="6"/>
        <v>-555126.73985420074</v>
      </c>
      <c r="H22" s="238">
        <f>'GA Analysis '!O55</f>
        <v>7.0599999999999996E-2</v>
      </c>
      <c r="I22" s="239">
        <f>'GA Analysis '!Q55</f>
        <v>9.5310000000000006E-2</v>
      </c>
      <c r="J22" s="240">
        <f t="shared" si="2"/>
        <v>-2.471000000000001E-2</v>
      </c>
      <c r="K22" s="229">
        <f t="shared" si="3"/>
        <v>4951666.7242639996</v>
      </c>
      <c r="L22" s="229">
        <f t="shared" si="4"/>
        <v>6684750.0777564002</v>
      </c>
      <c r="M22" s="229">
        <f t="shared" si="7"/>
        <v>1733083.3534924006</v>
      </c>
      <c r="N22" s="231"/>
      <c r="O22" s="232">
        <f t="shared" si="9"/>
        <v>5097169.7801458007</v>
      </c>
      <c r="P22" s="231">
        <f>'[24]CIS Billed Revenue by Range gro'!$H$4285</f>
        <v>5652296.5200000023</v>
      </c>
      <c r="Q22" s="233">
        <f t="shared" si="8"/>
        <v>8.4734455691318322E-2</v>
      </c>
      <c r="R22" s="234">
        <v>7.0599999999999996E-2</v>
      </c>
    </row>
    <row r="23" spans="1:22" s="149" customFormat="1" ht="15">
      <c r="A23" s="220">
        <v>42644</v>
      </c>
      <c r="B23" s="235">
        <f>'[26]CIS Billed Revenue by Range gro'!$I$4380</f>
        <v>67194964.290000007</v>
      </c>
      <c r="C23" s="222">
        <f>SUM([27]Query!$M$365:$M$370)-SUM([27]Query!$R$415:$R$423)+SUM([27]Query!$H$267:$H$272)</f>
        <v>56697042.229999997</v>
      </c>
      <c r="D23" s="223">
        <f t="shared" si="5"/>
        <v>56270547.780000001</v>
      </c>
      <c r="E23" s="236">
        <f t="shared" si="0"/>
        <v>426494.44999999553</v>
      </c>
      <c r="F23" s="222">
        <f t="shared" si="1"/>
        <v>67621458.74000001</v>
      </c>
      <c r="G23" s="237">
        <f t="shared" si="6"/>
        <v>1538251.8314879993</v>
      </c>
      <c r="H23" s="238">
        <f>'GA Analysis '!O56</f>
        <v>9.7199999999999995E-2</v>
      </c>
      <c r="I23" s="239">
        <f>'GA Analysis '!Q56</f>
        <v>0.11226</v>
      </c>
      <c r="J23" s="240">
        <f t="shared" si="2"/>
        <v>-1.5060000000000004E-2</v>
      </c>
      <c r="K23" s="229">
        <f t="shared" si="3"/>
        <v>6572805.7895280002</v>
      </c>
      <c r="L23" s="229">
        <f t="shared" si="4"/>
        <v>7591184.9581524013</v>
      </c>
      <c r="M23" s="241">
        <f t="shared" si="7"/>
        <v>1018379.1686244011</v>
      </c>
      <c r="N23" s="242"/>
      <c r="O23" s="232">
        <f t="shared" si="9"/>
        <v>6420150.9914880004</v>
      </c>
      <c r="P23" s="231">
        <f>'[26]CIS Billed Revenue by Range gro'!$H$4380</f>
        <v>4881899.16</v>
      </c>
      <c r="Q23" s="233">
        <f t="shared" si="8"/>
        <v>7.2652753246965074E-2</v>
      </c>
      <c r="R23" s="234">
        <v>9.7199999999999995E-2</v>
      </c>
    </row>
    <row r="24" spans="1:22" s="149" customFormat="1" ht="15">
      <c r="A24" s="220">
        <v>42675</v>
      </c>
      <c r="B24" s="235">
        <f>'[28]CIS Billed Revenue by Range gro'!$I$4791</f>
        <v>64741531.880000003</v>
      </c>
      <c r="C24" s="222">
        <f>SUM([29]Query!$M$365:$M$370)-SUM([29]Query!$R$422:$R$434)+SUM([29]Query!$H$314:$H$321)</f>
        <v>52958002.010000013</v>
      </c>
      <c r="D24" s="223">
        <f t="shared" si="5"/>
        <v>56697042.229999997</v>
      </c>
      <c r="E24" s="236">
        <f t="shared" si="0"/>
        <v>-3739040.2199999839</v>
      </c>
      <c r="F24" s="222">
        <f t="shared" si="1"/>
        <v>61002491.660000019</v>
      </c>
      <c r="G24" s="237">
        <f t="shared" si="6"/>
        <v>987523.92189110257</v>
      </c>
      <c r="H24" s="238">
        <f>'GA Analysis '!O57</f>
        <v>0.12271</v>
      </c>
      <c r="I24" s="239">
        <f>'GA Analysis '!Q57</f>
        <v>0.11108999999999999</v>
      </c>
      <c r="J24" s="240">
        <f t="shared" si="2"/>
        <v>1.1620000000000005E-2</v>
      </c>
      <c r="K24" s="229">
        <f t="shared" si="3"/>
        <v>7485615.7515986022</v>
      </c>
      <c r="L24" s="229">
        <f t="shared" si="4"/>
        <v>6776766.7985094022</v>
      </c>
      <c r="M24" s="241">
        <f t="shared" si="7"/>
        <v>-708848.95308919996</v>
      </c>
      <c r="N24" s="242"/>
      <c r="O24" s="232">
        <f t="shared" si="9"/>
        <v>7157984.8218911039</v>
      </c>
      <c r="P24" s="231">
        <f>'[28]CIS Billed Revenue by Range gro'!$H$4791</f>
        <v>6170460.9000000013</v>
      </c>
      <c r="Q24" s="233">
        <f t="shared" si="8"/>
        <v>9.5309158137269603E-2</v>
      </c>
      <c r="R24" s="234">
        <v>0.12271</v>
      </c>
    </row>
    <row r="25" spans="1:22" s="149" customFormat="1" ht="15.75" thickBot="1">
      <c r="A25" s="220">
        <v>42705</v>
      </c>
      <c r="B25" s="243">
        <f>'[30]CIS Billed Revenue by Range gro'!$I$4201</f>
        <v>63450204.320000008</v>
      </c>
      <c r="C25" s="244">
        <f>SUM([6]Query!$M$365:$M$370)-SUM([6]Query!$R$416:$R$428)+SUM([6]Query!$H$315:$H$320)</f>
        <v>57184248.389999993</v>
      </c>
      <c r="D25" s="245">
        <f t="shared" si="5"/>
        <v>52958002.010000013</v>
      </c>
      <c r="E25" s="246">
        <f t="shared" si="0"/>
        <v>4226246.3799999803</v>
      </c>
      <c r="F25" s="247">
        <f t="shared" si="1"/>
        <v>67676450.699999988</v>
      </c>
      <c r="G25" s="248">
        <f t="shared" si="6"/>
        <v>-440377.15221050195</v>
      </c>
      <c r="H25" s="249">
        <f>'GA Analysis '!O58</f>
        <v>0.10594000000000001</v>
      </c>
      <c r="I25" s="250">
        <f>'GA Analysis '!Q58</f>
        <v>8.7080000000000005E-2</v>
      </c>
      <c r="J25" s="251">
        <f t="shared" si="2"/>
        <v>1.8860000000000002E-2</v>
      </c>
      <c r="K25" s="252">
        <f t="shared" si="3"/>
        <v>7169643.1871579988</v>
      </c>
      <c r="L25" s="252">
        <f t="shared" si="4"/>
        <v>5893265.3269559992</v>
      </c>
      <c r="M25" s="253">
        <f t="shared" si="7"/>
        <v>-1276377.8602019995</v>
      </c>
      <c r="N25" s="242"/>
      <c r="O25" s="232">
        <f t="shared" si="9"/>
        <v>7167443.1077894988</v>
      </c>
      <c r="P25" s="254">
        <f>'[30]CIS Billed Revenue by Range gro'!$H$4201</f>
        <v>7607820.2600000007</v>
      </c>
      <c r="Q25" s="233">
        <f t="shared" si="8"/>
        <v>0.11990221846459768</v>
      </c>
      <c r="R25" s="234">
        <v>0.10594000000000001</v>
      </c>
    </row>
    <row r="26" spans="1:22" s="149" customFormat="1" ht="15">
      <c r="B26" s="255">
        <f>SUM(B14:B25)</f>
        <v>764140339.62999988</v>
      </c>
      <c r="C26" s="255">
        <f>SUM(C14:C25)</f>
        <v>641755165.04999995</v>
      </c>
      <c r="D26" s="255">
        <f>SUM(D14:D25)</f>
        <v>640216744.46999991</v>
      </c>
      <c r="E26" s="255">
        <f t="shared" si="0"/>
        <v>1538420.5800000429</v>
      </c>
      <c r="F26" s="255">
        <f>SUM(F14:F25)</f>
        <v>765678760.2099998</v>
      </c>
      <c r="G26" s="255">
        <f>SUM(G14:G25)</f>
        <v>-320025.50914559886</v>
      </c>
      <c r="H26" s="256">
        <f>AVERAGE(H14:H25)</f>
        <v>9.8233333333333339E-2</v>
      </c>
      <c r="I26" s="256">
        <f>AVERAGE(I14:I25)</f>
        <v>9.754083333333334E-2</v>
      </c>
      <c r="J26" s="256">
        <f>AVERAGE(J14:J25)</f>
        <v>6.9250000000000095E-4</v>
      </c>
      <c r="K26" s="257">
        <f>SUM(K14:K25)</f>
        <v>75012050.800453097</v>
      </c>
      <c r="L26" s="257">
        <f>SUM(L14:L25)</f>
        <v>74745971.1007936</v>
      </c>
      <c r="M26" s="258">
        <f>L26-K26</f>
        <v>-266079.69965949655</v>
      </c>
      <c r="N26" s="259" t="s">
        <v>1</v>
      </c>
      <c r="O26" s="260">
        <f>SUM(O14:O25)</f>
        <v>74681019.740854412</v>
      </c>
      <c r="P26" s="261">
        <f>SUM(P14:P25)</f>
        <v>75001045.25000003</v>
      </c>
      <c r="Q26" s="261"/>
    </row>
    <row r="27" spans="1:22" s="149" customFormat="1" ht="14.25">
      <c r="B27" s="132"/>
      <c r="C27" s="132"/>
      <c r="D27" s="132"/>
      <c r="E27" s="193"/>
      <c r="F27" s="132"/>
      <c r="G27" s="262">
        <f>[31]Adjustments!M14*'[31]A-Loss Adj 2016'!L25-[31]Adjustments!M13*'[31]B-Loss Adj 2015'!C24</f>
        <v>-320025.50914559886</v>
      </c>
      <c r="H27" s="132"/>
      <c r="I27" s="132"/>
      <c r="J27" s="263"/>
      <c r="K27" s="132"/>
      <c r="L27" s="264" t="s">
        <v>216</v>
      </c>
      <c r="M27" s="265">
        <f>'[3]3. Continuity Schedule'!$BD$29</f>
        <v>3230969</v>
      </c>
      <c r="N27" s="259" t="s">
        <v>204</v>
      </c>
      <c r="O27" s="266">
        <f>-O26+K26</f>
        <v>331031.05959868431</v>
      </c>
      <c r="P27" s="267"/>
      <c r="Q27" s="160"/>
      <c r="S27" s="268"/>
    </row>
    <row r="28" spans="1:22" s="149" customFormat="1" ht="14.25">
      <c r="B28" s="269">
        <f>(B26-$J$8)/$J$8</f>
        <v>1.9419186482501821E-2</v>
      </c>
      <c r="C28" s="132"/>
      <c r="D28" s="132"/>
      <c r="E28" s="132"/>
      <c r="F28" s="269">
        <f>(F26-$J$8)/$J$8</f>
        <v>2.1471552225803422E-2</v>
      </c>
      <c r="G28" s="262">
        <f>G26-G27</f>
        <v>0</v>
      </c>
      <c r="H28" s="132"/>
      <c r="I28" s="132"/>
      <c r="J28" s="270"/>
      <c r="K28" s="132"/>
      <c r="L28" s="271" t="s">
        <v>171</v>
      </c>
      <c r="M28" s="258">
        <f>M26-M27</f>
        <v>-3497048.6996594965</v>
      </c>
      <c r="N28" s="259" t="s">
        <v>217</v>
      </c>
      <c r="Q28" s="160"/>
    </row>
    <row r="29" spans="1:22" s="149" customFormat="1">
      <c r="B29" s="132"/>
      <c r="C29" s="132"/>
      <c r="D29" s="132"/>
      <c r="E29" s="132"/>
      <c r="F29" s="132"/>
      <c r="G29" s="272">
        <f>C25*H25-[31]Adjustments!M13*'[31]B-Loss Adj 2015'!C24</f>
        <v>-320025.50914559886</v>
      </c>
      <c r="I29" s="132"/>
      <c r="J29" s="132"/>
      <c r="K29" s="273"/>
      <c r="L29" s="271" t="s">
        <v>218</v>
      </c>
      <c r="M29" s="274">
        <f>31835525*1.016*0.5%</f>
        <v>161724.467</v>
      </c>
      <c r="N29" s="275"/>
      <c r="Q29" s="160"/>
      <c r="V29" s="276"/>
    </row>
    <row r="30" spans="1:22" s="149" customFormat="1" ht="15">
      <c r="B30" s="277"/>
      <c r="C30" s="278"/>
      <c r="D30" s="278"/>
      <c r="E30" s="278"/>
      <c r="F30" s="278"/>
      <c r="G30"/>
      <c r="M30" s="275"/>
      <c r="N30" s="275"/>
      <c r="O30" s="275"/>
      <c r="P30" s="275"/>
      <c r="Q30" s="160"/>
      <c r="V30" s="159"/>
    </row>
    <row r="31" spans="1:22" s="149" customFormat="1" ht="15">
      <c r="B31" s="279"/>
      <c r="C31" s="280"/>
      <c r="D31" s="278"/>
      <c r="E31" s="278"/>
      <c r="F31" s="278"/>
      <c r="G31"/>
      <c r="K31" s="149" t="s">
        <v>219</v>
      </c>
      <c r="M31" s="275">
        <f>-'1.Adjustments'!K11</f>
        <v>-2566463.1333052046</v>
      </c>
      <c r="N31" s="275"/>
      <c r="O31" s="275"/>
      <c r="P31" s="275"/>
      <c r="Q31" s="160"/>
      <c r="V31" s="159"/>
    </row>
    <row r="32" spans="1:22" s="149" customFormat="1" ht="15">
      <c r="B32" s="278"/>
      <c r="C32" s="280"/>
      <c r="D32" s="278"/>
      <c r="E32" s="278"/>
      <c r="F32" s="278"/>
      <c r="G32"/>
      <c r="L32" s="149" t="s">
        <v>171</v>
      </c>
      <c r="M32" s="275">
        <f>M28-M31</f>
        <v>-930585.56635429198</v>
      </c>
      <c r="N32" s="275"/>
      <c r="O32" s="275"/>
      <c r="Q32" s="281"/>
      <c r="R32" s="159"/>
      <c r="S32" s="275"/>
      <c r="T32" s="275"/>
      <c r="U32" s="159"/>
      <c r="V32" s="159"/>
    </row>
    <row r="33" spans="2:22" s="149" customFormat="1" ht="15">
      <c r="B33" s="278"/>
      <c r="C33" s="282"/>
      <c r="D33" s="282"/>
      <c r="E33" s="282"/>
      <c r="F33" s="282"/>
      <c r="G33"/>
      <c r="M33" s="275"/>
      <c r="N33" s="275"/>
      <c r="O33" s="275"/>
      <c r="P33" s="275"/>
      <c r="Q33" s="283"/>
      <c r="R33" s="159"/>
      <c r="S33" s="159"/>
      <c r="T33" s="159"/>
      <c r="U33" s="159"/>
      <c r="V33" s="159"/>
    </row>
    <row r="34" spans="2:22" s="149" customFormat="1" ht="15">
      <c r="B34" s="278"/>
      <c r="C34" s="282"/>
      <c r="D34" s="278"/>
      <c r="E34" s="278"/>
      <c r="F34" s="278"/>
      <c r="G34"/>
      <c r="M34" s="275"/>
      <c r="N34" s="275"/>
      <c r="O34" s="275"/>
      <c r="P34" s="275"/>
      <c r="Q34" s="281"/>
      <c r="R34" s="284"/>
      <c r="S34" s="159"/>
      <c r="T34" s="284"/>
      <c r="U34" s="284"/>
      <c r="V34" s="159"/>
    </row>
    <row r="35" spans="2:22" s="149" customFormat="1" ht="15">
      <c r="B35" s="278"/>
      <c r="C35" s="282"/>
      <c r="D35" s="278"/>
      <c r="E35" s="278"/>
      <c r="F35" s="278"/>
      <c r="G35"/>
      <c r="M35" s="268"/>
      <c r="N35" s="268"/>
      <c r="O35" s="268"/>
      <c r="Q35" s="281"/>
      <c r="R35" s="159"/>
      <c r="S35" s="159"/>
      <c r="T35" s="159"/>
      <c r="U35" s="159"/>
      <c r="V35" s="159"/>
    </row>
    <row r="36" spans="2:22" s="149" customFormat="1">
      <c r="B36" s="132"/>
      <c r="C36" s="262"/>
      <c r="D36" s="132"/>
      <c r="E36" s="132"/>
      <c r="F36" s="132"/>
      <c r="G36" s="132"/>
      <c r="H36" s="132"/>
      <c r="I36" s="132"/>
      <c r="K36" s="154"/>
      <c r="L36" s="285"/>
      <c r="Q36" s="160"/>
      <c r="V36" s="159"/>
    </row>
    <row r="37" spans="2:22" s="149" customFormat="1">
      <c r="B37" s="132"/>
      <c r="C37" s="132"/>
      <c r="D37" s="132"/>
      <c r="E37" s="132"/>
      <c r="F37" s="132"/>
      <c r="G37" s="132"/>
      <c r="H37" s="132"/>
      <c r="I37" s="132"/>
      <c r="K37" s="154"/>
      <c r="L37" s="285"/>
      <c r="Q37" s="160"/>
      <c r="V37" s="159"/>
    </row>
    <row r="38" spans="2:22" s="149" customFormat="1" ht="14.25">
      <c r="B38" s="286" t="s">
        <v>220</v>
      </c>
      <c r="C38" s="286"/>
      <c r="D38" s="286"/>
      <c r="E38" s="286"/>
      <c r="F38" s="286"/>
      <c r="G38" s="286"/>
      <c r="H38" s="276"/>
      <c r="J38" s="276"/>
      <c r="K38" s="287">
        <f>31835525*1.016*0.5%</f>
        <v>161724.467</v>
      </c>
      <c r="L38" s="268"/>
      <c r="P38" s="159"/>
      <c r="Q38" s="160"/>
    </row>
    <row r="39" spans="2:22" s="149" customFormat="1">
      <c r="P39" s="159"/>
      <c r="Q39" s="160"/>
    </row>
    <row r="40" spans="2:22" s="149" customFormat="1" ht="18" thickBot="1">
      <c r="B40" s="288" t="s">
        <v>221</v>
      </c>
      <c r="C40" s="288"/>
      <c r="D40" s="288"/>
      <c r="E40" s="288"/>
      <c r="F40" s="288"/>
      <c r="G40" s="288"/>
      <c r="H40" s="289"/>
      <c r="I40" s="290">
        <v>100</v>
      </c>
      <c r="J40" s="289"/>
      <c r="K40" s="289"/>
      <c r="L40" s="289"/>
      <c r="M40" s="289"/>
      <c r="N40" s="289"/>
      <c r="O40" s="289"/>
      <c r="P40" s="289"/>
      <c r="Q40" s="291"/>
      <c r="R40" s="289"/>
      <c r="S40" s="289"/>
      <c r="T40" s="289"/>
      <c r="U40" s="289"/>
    </row>
    <row r="41" spans="2:22" s="149" customFormat="1" ht="15" thickBot="1">
      <c r="B41" s="292">
        <v>2016</v>
      </c>
      <c r="C41" s="292"/>
      <c r="D41" s="292"/>
      <c r="E41" s="292"/>
      <c r="F41" s="292"/>
      <c r="G41" s="292"/>
      <c r="H41" s="292" t="s">
        <v>222</v>
      </c>
      <c r="I41" s="292" t="s">
        <v>223</v>
      </c>
      <c r="J41" s="292" t="s">
        <v>224</v>
      </c>
      <c r="K41" s="292" t="s">
        <v>225</v>
      </c>
      <c r="L41" s="292" t="s">
        <v>14</v>
      </c>
      <c r="M41" s="292" t="s">
        <v>226</v>
      </c>
      <c r="N41" s="292"/>
      <c r="O41" s="292"/>
      <c r="P41" s="292" t="s">
        <v>227</v>
      </c>
      <c r="Q41" s="293" t="s">
        <v>228</v>
      </c>
      <c r="R41" s="292" t="s">
        <v>229</v>
      </c>
      <c r="S41" s="292" t="s">
        <v>230</v>
      </c>
      <c r="T41" s="292" t="s">
        <v>231</v>
      </c>
      <c r="U41" s="292" t="s">
        <v>232</v>
      </c>
    </row>
    <row r="42" spans="2:22" s="149" customFormat="1" ht="15" thickBot="1">
      <c r="B42" s="290" t="s">
        <v>161</v>
      </c>
      <c r="C42" s="290"/>
      <c r="D42" s="290"/>
      <c r="E42" s="290"/>
      <c r="F42" s="290"/>
      <c r="G42" s="290"/>
      <c r="H42" s="290" t="s">
        <v>233</v>
      </c>
      <c r="I42" s="290" t="s">
        <v>234</v>
      </c>
      <c r="J42" s="290" t="s">
        <v>235</v>
      </c>
      <c r="K42" s="290" t="s">
        <v>236</v>
      </c>
      <c r="L42" s="290" t="s">
        <v>237</v>
      </c>
      <c r="M42" s="290" t="s">
        <v>238</v>
      </c>
      <c r="N42" s="290"/>
      <c r="O42" s="290"/>
      <c r="P42" s="290" t="s">
        <v>239</v>
      </c>
      <c r="Q42" s="294" t="s">
        <v>240</v>
      </c>
      <c r="R42" s="290" t="s">
        <v>241</v>
      </c>
      <c r="S42" s="290" t="s">
        <v>242</v>
      </c>
      <c r="T42" s="290" t="s">
        <v>243</v>
      </c>
      <c r="U42" s="290" t="s">
        <v>244</v>
      </c>
    </row>
    <row r="43" spans="2:22" s="149" customFormat="1" ht="15" thickBot="1">
      <c r="B43" s="290" t="s">
        <v>245</v>
      </c>
      <c r="C43" s="290"/>
      <c r="D43" s="290"/>
      <c r="E43" s="290"/>
      <c r="F43" s="290"/>
      <c r="G43" s="290"/>
      <c r="H43" s="290" t="s">
        <v>246</v>
      </c>
      <c r="I43" s="290" t="s">
        <v>247</v>
      </c>
      <c r="J43" s="290" t="s">
        <v>248</v>
      </c>
      <c r="K43" s="290" t="s">
        <v>249</v>
      </c>
      <c r="L43" s="290" t="s">
        <v>250</v>
      </c>
      <c r="M43" s="295">
        <v>9.36</v>
      </c>
      <c r="N43" s="295"/>
      <c r="O43" s="295"/>
      <c r="P43" s="295">
        <v>8.41</v>
      </c>
      <c r="Q43" s="294">
        <v>7.05</v>
      </c>
      <c r="R43" s="290" t="s">
        <v>251</v>
      </c>
      <c r="S43" s="290" t="s">
        <v>252</v>
      </c>
      <c r="T43" s="290" t="s">
        <v>250</v>
      </c>
      <c r="U43" s="290" t="s">
        <v>253</v>
      </c>
    </row>
    <row r="44" spans="2:22" ht="15" thickBot="1">
      <c r="B44" s="290" t="s">
        <v>28</v>
      </c>
      <c r="C44" s="290"/>
      <c r="D44" s="290"/>
      <c r="E44" s="290"/>
      <c r="F44" s="290"/>
      <c r="G44" s="290"/>
      <c r="H44" s="290" t="s">
        <v>254</v>
      </c>
      <c r="I44" s="290" t="s">
        <v>255</v>
      </c>
      <c r="J44" s="290" t="s">
        <v>256</v>
      </c>
      <c r="K44" s="290" t="s">
        <v>257</v>
      </c>
      <c r="L44" s="290" t="s">
        <v>258</v>
      </c>
      <c r="M44" s="290" t="s">
        <v>259</v>
      </c>
      <c r="N44" s="290"/>
      <c r="O44" s="290"/>
      <c r="P44" s="295">
        <v>8.31</v>
      </c>
      <c r="Q44" s="294" t="s">
        <v>260</v>
      </c>
      <c r="R44" s="290" t="s">
        <v>261</v>
      </c>
      <c r="S44" s="290" t="s">
        <v>249</v>
      </c>
      <c r="T44" s="290" t="s">
        <v>262</v>
      </c>
      <c r="U44" s="295">
        <v>8.7100000000000009</v>
      </c>
    </row>
  </sheetData>
  <mergeCells count="1">
    <mergeCell ref="B1:M1"/>
  </mergeCells>
  <pageMargins left="0.7" right="0.7" top="0.75" bottom="0.75" header="0.3" footer="0.3"/>
  <pageSetup paperSize="5"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topLeftCell="A37" workbookViewId="0">
      <selection activeCell="G55" sqref="G55"/>
    </sheetView>
  </sheetViews>
  <sheetFormatPr defaultRowHeight="15"/>
  <cols>
    <col min="1" max="1" width="10.85546875" bestFit="1" customWidth="1"/>
    <col min="2" max="2" width="15.28515625" bestFit="1" customWidth="1"/>
    <col min="3" max="3" width="17.5703125" bestFit="1" customWidth="1"/>
    <col min="4" max="4" width="14.140625" bestFit="1" customWidth="1"/>
    <col min="5" max="5" width="20.7109375" bestFit="1" customWidth="1"/>
    <col min="6" max="6" width="17.42578125" bestFit="1" customWidth="1"/>
    <col min="7" max="7" width="12.7109375" bestFit="1" customWidth="1"/>
  </cols>
  <sheetData>
    <row r="1" spans="1:9" ht="30.75">
      <c r="A1" s="299">
        <v>2015</v>
      </c>
      <c r="B1" s="300" t="s">
        <v>263</v>
      </c>
      <c r="C1" s="301" t="s">
        <v>264</v>
      </c>
      <c r="D1" s="302" t="s">
        <v>265</v>
      </c>
      <c r="E1" s="303" t="s">
        <v>266</v>
      </c>
      <c r="F1" s="303" t="s">
        <v>267</v>
      </c>
      <c r="G1" s="304" t="s">
        <v>268</v>
      </c>
    </row>
    <row r="2" spans="1:9">
      <c r="A2" s="305" t="s">
        <v>10</v>
      </c>
      <c r="B2" s="306">
        <f>[32]Input!$N$19+[32]Input!$K$154</f>
        <v>41658273.200000003</v>
      </c>
      <c r="C2" s="307">
        <f>61.61/1000</f>
        <v>6.1609999999999998E-2</v>
      </c>
      <c r="D2" s="307">
        <f>50.68/1000</f>
        <v>5.0680000000000003E-2</v>
      </c>
      <c r="E2" s="308">
        <f>B2*C2</f>
        <v>2566566.2118520001</v>
      </c>
      <c r="F2" s="308">
        <f>B2*D2</f>
        <v>2111241.2857760005</v>
      </c>
      <c r="G2" s="308">
        <f>F2-E2</f>
        <v>-455324.92607599963</v>
      </c>
    </row>
    <row r="3" spans="1:9">
      <c r="A3" s="305" t="s">
        <v>11</v>
      </c>
      <c r="B3" s="306">
        <f>[33]Input!$N$19+[33]Input!$K$154</f>
        <v>53083884.099999994</v>
      </c>
      <c r="C3" s="307">
        <f>40.95/1000</f>
        <v>4.095E-2</v>
      </c>
      <c r="D3" s="307">
        <f>39.61/1000</f>
        <v>3.9609999999999999E-2</v>
      </c>
      <c r="E3" s="308">
        <f t="shared" ref="E3:E4" si="0">B3*C3</f>
        <v>2173785.0538949999</v>
      </c>
      <c r="F3" s="308">
        <f t="shared" ref="F3:F4" si="1">B3*D3</f>
        <v>2102652.6492009996</v>
      </c>
      <c r="G3" s="308">
        <f t="shared" ref="G3:G4" si="2">F3-E3</f>
        <v>-71132.404694000259</v>
      </c>
    </row>
    <row r="4" spans="1:9">
      <c r="A4" s="305" t="s">
        <v>12</v>
      </c>
      <c r="B4" s="306">
        <f>[34]Input!$N$19+[34]Input!$K$154</f>
        <v>46675335</v>
      </c>
      <c r="C4" s="307">
        <f>57.4/1000</f>
        <v>5.74E-2</v>
      </c>
      <c r="D4" s="307">
        <f>62.9/1000</f>
        <v>6.2899999999999998E-2</v>
      </c>
      <c r="E4" s="308">
        <f t="shared" si="0"/>
        <v>2679164.2289999998</v>
      </c>
      <c r="F4" s="308">
        <f t="shared" si="1"/>
        <v>2935878.5715000001</v>
      </c>
      <c r="G4" s="308">
        <f t="shared" si="2"/>
        <v>256714.34250000026</v>
      </c>
    </row>
    <row r="5" spans="1:9">
      <c r="A5" s="305" t="s">
        <v>269</v>
      </c>
      <c r="B5" s="309">
        <f>SUM(B2:B4)</f>
        <v>141417492.30000001</v>
      </c>
      <c r="C5" s="310"/>
      <c r="D5" s="310"/>
      <c r="E5" s="308">
        <f>SUM(E2:E4)</f>
        <v>7419515.4947469998</v>
      </c>
      <c r="F5" s="308">
        <f>SUM(F2:F4)</f>
        <v>7149772.5064770002</v>
      </c>
      <c r="G5" s="308">
        <f>F5-E5</f>
        <v>-269742.98826999962</v>
      </c>
    </row>
    <row r="6" spans="1:9" ht="15.75" thickBot="1">
      <c r="A6" s="278"/>
      <c r="B6" s="311"/>
      <c r="C6" s="312"/>
      <c r="D6" s="312"/>
      <c r="E6" s="313"/>
      <c r="F6" s="314"/>
      <c r="G6" s="315">
        <f>SUM(G2:G4)</f>
        <v>-269742.98826999962</v>
      </c>
      <c r="H6" t="str">
        <f>IF(G6&lt;0,$I$7,$I$8)</f>
        <v>payment to IESO</v>
      </c>
    </row>
    <row r="7" spans="1:9">
      <c r="I7" s="316" t="s">
        <v>270</v>
      </c>
    </row>
    <row r="8" spans="1:9" ht="30.75">
      <c r="A8" s="299">
        <v>2015</v>
      </c>
      <c r="B8" s="300" t="s">
        <v>263</v>
      </c>
      <c r="C8" s="301" t="s">
        <v>264</v>
      </c>
      <c r="D8" s="302" t="s">
        <v>265</v>
      </c>
      <c r="E8" s="303" t="s">
        <v>266</v>
      </c>
      <c r="F8" s="303" t="s">
        <v>267</v>
      </c>
      <c r="G8" s="304" t="s">
        <v>268</v>
      </c>
      <c r="I8" s="316" t="s">
        <v>271</v>
      </c>
    </row>
    <row r="9" spans="1:9">
      <c r="A9" s="305" t="s">
        <v>13</v>
      </c>
      <c r="B9" s="306">
        <f>[35]Input!$N$19+[35]Input!$K$154</f>
        <v>48068961.009999998</v>
      </c>
      <c r="C9" s="307">
        <f>92.68/1000</f>
        <v>9.2680000000000012E-2</v>
      </c>
      <c r="D9" s="307">
        <f>95.59/1000</f>
        <v>9.5590000000000008E-2</v>
      </c>
      <c r="E9" s="308">
        <f>B9*C9</f>
        <v>4455031.3064068006</v>
      </c>
      <c r="F9" s="308">
        <f>B9*D9</f>
        <v>4594911.9829459004</v>
      </c>
      <c r="G9" s="308">
        <f>F9-E9</f>
        <v>139880.67653909978</v>
      </c>
    </row>
    <row r="10" spans="1:9">
      <c r="A10" s="305" t="s">
        <v>14</v>
      </c>
      <c r="B10" s="306">
        <f>[36]Input!$N$19+[36]Input!$K$154</f>
        <v>32736317.48</v>
      </c>
      <c r="C10" s="307">
        <f>97.3/1000</f>
        <v>9.7299999999999998E-2</v>
      </c>
      <c r="D10" s="307">
        <f>96.68/1000</f>
        <v>9.6680000000000002E-2</v>
      </c>
      <c r="E10" s="308">
        <f t="shared" ref="E10:E11" si="3">B10*C10</f>
        <v>3185243.690804</v>
      </c>
      <c r="F10" s="308">
        <f t="shared" ref="F10:F11" si="4">B10*D10</f>
        <v>3164947.1739664003</v>
      </c>
      <c r="G10" s="308">
        <f t="shared" ref="G10:G11" si="5">F10-E10</f>
        <v>-20296.516837599687</v>
      </c>
    </row>
    <row r="11" spans="1:9">
      <c r="A11" s="305" t="s">
        <v>15</v>
      </c>
      <c r="B11" s="306">
        <f>[37]Input!$N$19+[37]Input!$K$154</f>
        <v>44120112.169999994</v>
      </c>
      <c r="C11" s="307">
        <f>97.68/1000</f>
        <v>9.7680000000000003E-2</v>
      </c>
      <c r="D11" s="307">
        <f>95.4/1000</f>
        <v>9.5400000000000013E-2</v>
      </c>
      <c r="E11" s="308">
        <f t="shared" si="3"/>
        <v>4309652.5567655992</v>
      </c>
      <c r="F11" s="308">
        <f t="shared" si="4"/>
        <v>4209058.701018</v>
      </c>
      <c r="G11" s="308">
        <f t="shared" si="5"/>
        <v>-100593.85574759915</v>
      </c>
    </row>
    <row r="12" spans="1:9">
      <c r="A12" s="305" t="s">
        <v>269</v>
      </c>
      <c r="B12" s="309">
        <f>SUM(B9:B11)</f>
        <v>124925390.66</v>
      </c>
      <c r="C12" s="310"/>
      <c r="D12" s="310"/>
      <c r="E12" s="308">
        <f>SUM(E9:E11)</f>
        <v>11949927.5539764</v>
      </c>
      <c r="F12" s="308">
        <f>SUM(F9:F11)</f>
        <v>11968917.857930301</v>
      </c>
      <c r="G12" s="308">
        <f>F12-E12</f>
        <v>18990.303953900933</v>
      </c>
    </row>
    <row r="13" spans="1:9" ht="15.75" thickBot="1">
      <c r="A13" s="278"/>
      <c r="B13" s="311"/>
      <c r="C13" s="312"/>
      <c r="D13" s="312"/>
      <c r="E13" s="313"/>
      <c r="F13" s="314"/>
      <c r="G13" s="315">
        <f>SUM(G9:G11)</f>
        <v>18990.303953900933</v>
      </c>
      <c r="H13" t="str">
        <f>IF(G13&lt;0,$I$7,$I$8)</f>
        <v>Payment from IESO</v>
      </c>
    </row>
    <row r="15" spans="1:9" ht="30.75">
      <c r="A15" s="299">
        <v>2015</v>
      </c>
      <c r="B15" s="300" t="s">
        <v>263</v>
      </c>
      <c r="C15" s="301" t="s">
        <v>264</v>
      </c>
      <c r="D15" s="302" t="s">
        <v>265</v>
      </c>
      <c r="E15" s="303" t="s">
        <v>266</v>
      </c>
      <c r="F15" s="303" t="s">
        <v>267</v>
      </c>
      <c r="G15" s="304" t="s">
        <v>268</v>
      </c>
    </row>
    <row r="16" spans="1:9">
      <c r="A16" s="305" t="s">
        <v>16</v>
      </c>
      <c r="B16" s="306">
        <f>[38]Input!$N$19+[38]Input!$K$154</f>
        <v>36617859.309999995</v>
      </c>
      <c r="C16" s="307">
        <f>[38]Input!$I$18</f>
        <v>8.4129999999999996E-2</v>
      </c>
      <c r="D16" s="307">
        <f>78.83/1000</f>
        <v>7.8829999999999997E-2</v>
      </c>
      <c r="E16" s="308">
        <f>B16*C16</f>
        <v>3080660.5037502996</v>
      </c>
      <c r="F16" s="308">
        <f>B16*D16</f>
        <v>2886585.8494072994</v>
      </c>
      <c r="G16" s="308">
        <f>F16-E16</f>
        <v>-194074.65434300015</v>
      </c>
    </row>
    <row r="17" spans="1:8">
      <c r="A17" s="305" t="s">
        <v>17</v>
      </c>
      <c r="B17" s="306">
        <f>[39]Input!$N$19+[39]Input!$K$154</f>
        <v>40088742.420000002</v>
      </c>
      <c r="C17" s="307">
        <f>[39]Input!$I$18</f>
        <v>7.354999999999999E-2</v>
      </c>
      <c r="D17" s="307">
        <f>80.1/1000</f>
        <v>8.0099999999999991E-2</v>
      </c>
      <c r="E17" s="308">
        <f t="shared" ref="E17:E18" si="6">B17*C17</f>
        <v>2948527.0049909996</v>
      </c>
      <c r="F17" s="308">
        <f t="shared" ref="F17:F18" si="7">B17*D17</f>
        <v>3211108.2678419999</v>
      </c>
      <c r="G17" s="308">
        <f t="shared" ref="G17:G18" si="8">F17-E17</f>
        <v>262581.2628510003</v>
      </c>
    </row>
    <row r="18" spans="1:8">
      <c r="A18" s="305" t="s">
        <v>18</v>
      </c>
      <c r="B18" s="306">
        <f>[40]Input!$N$19+[40]Input!$K$154</f>
        <v>43143791.849999994</v>
      </c>
      <c r="C18" s="307">
        <f>[40]Input!$I$18</f>
        <v>7.1910000000000002E-2</v>
      </c>
      <c r="D18" s="307">
        <f>67.03/1000</f>
        <v>6.7030000000000006E-2</v>
      </c>
      <c r="E18" s="308">
        <f t="shared" si="6"/>
        <v>3102470.0719334995</v>
      </c>
      <c r="F18" s="308">
        <f t="shared" si="7"/>
        <v>2891928.3677054998</v>
      </c>
      <c r="G18" s="308">
        <f t="shared" si="8"/>
        <v>-210541.70422799978</v>
      </c>
    </row>
    <row r="19" spans="1:8">
      <c r="A19" s="305" t="s">
        <v>269</v>
      </c>
      <c r="B19" s="309">
        <f>SUM(B16:B18)</f>
        <v>119850393.57999998</v>
      </c>
      <c r="C19" s="310"/>
      <c r="D19" s="310"/>
      <c r="E19" s="308">
        <f>SUM(E16:E18)</f>
        <v>9131657.5806747973</v>
      </c>
      <c r="F19" s="308">
        <f>SUM(F16:F18)</f>
        <v>8989622.4849547986</v>
      </c>
      <c r="G19" s="308">
        <f>F19-E19</f>
        <v>-142035.0957199987</v>
      </c>
    </row>
    <row r="20" spans="1:8" ht="15.75" thickBot="1">
      <c r="A20" s="278"/>
      <c r="B20" s="311"/>
      <c r="C20" s="312"/>
      <c r="D20" s="312"/>
      <c r="E20" s="313"/>
      <c r="F20" s="314"/>
      <c r="G20" s="315">
        <f>SUM(G16:G18)</f>
        <v>-142035.09571999963</v>
      </c>
      <c r="H20" t="str">
        <f>IF(G20&lt;0,$I$7,$I$8)</f>
        <v>payment to IESO</v>
      </c>
    </row>
    <row r="22" spans="1:8" ht="30.75">
      <c r="A22" s="299">
        <v>2015</v>
      </c>
      <c r="B22" s="300" t="s">
        <v>263</v>
      </c>
      <c r="C22" s="301" t="s">
        <v>264</v>
      </c>
      <c r="D22" s="302" t="s">
        <v>265</v>
      </c>
      <c r="E22" s="303" t="s">
        <v>266</v>
      </c>
      <c r="F22" s="303" t="s">
        <v>267</v>
      </c>
      <c r="G22" s="304" t="s">
        <v>268</v>
      </c>
    </row>
    <row r="23" spans="1:8">
      <c r="A23" s="305" t="s">
        <v>19</v>
      </c>
      <c r="B23" s="306">
        <f>[41]Input!$N$19+[41]Input!$K$154</f>
        <v>44373273.189999998</v>
      </c>
      <c r="C23" s="307">
        <f>[41]Input!$I$18</f>
        <v>7.1930000000000008E-2</v>
      </c>
      <c r="D23" s="307">
        <f>75.44/1000</f>
        <v>7.5439999999999993E-2</v>
      </c>
      <c r="E23" s="308">
        <f>B23*C23</f>
        <v>3191769.5405567</v>
      </c>
      <c r="F23" s="308">
        <f>B23*D23</f>
        <v>3347519.7294535995</v>
      </c>
      <c r="G23" s="308">
        <f>F23-E23</f>
        <v>155750.18889689958</v>
      </c>
    </row>
    <row r="24" spans="1:8">
      <c r="A24" s="305" t="s">
        <v>272</v>
      </c>
      <c r="B24" s="306">
        <f>[42]Input!$N$19+[42]Input!$K$154</f>
        <v>41147966.780000001</v>
      </c>
      <c r="C24" s="307">
        <f>[42]Input!$I$18</f>
        <v>0.12448000000000001</v>
      </c>
      <c r="D24" s="307">
        <f>113.2/1000</f>
        <v>0.11320000000000001</v>
      </c>
      <c r="E24" s="308">
        <f t="shared" ref="E24:E25" si="9">B24*C24</f>
        <v>5122098.9047744004</v>
      </c>
      <c r="F24" s="308">
        <f t="shared" ref="F24:F25" si="10">B24*D24</f>
        <v>4657949.8394960007</v>
      </c>
      <c r="G24" s="308">
        <f t="shared" ref="G24:G25" si="11">F24-E24</f>
        <v>-464149.06527839974</v>
      </c>
    </row>
    <row r="25" spans="1:8">
      <c r="A25" s="305" t="s">
        <v>21</v>
      </c>
      <c r="B25" s="306">
        <f>[43]Input!$N$19+[43]Input!$K$154</f>
        <v>47201238.269999996</v>
      </c>
      <c r="C25" s="307">
        <f>[43]Input!$I$18</f>
        <v>8.8090000000000002E-2</v>
      </c>
      <c r="D25" s="307">
        <f>94.71/1000</f>
        <v>9.4709999999999989E-2</v>
      </c>
      <c r="E25" s="308">
        <f t="shared" si="9"/>
        <v>4157957.0792042995</v>
      </c>
      <c r="F25" s="308">
        <f t="shared" si="10"/>
        <v>4470429.2765516993</v>
      </c>
      <c r="G25" s="308">
        <f t="shared" si="11"/>
        <v>312472.19734739978</v>
      </c>
    </row>
    <row r="26" spans="1:8">
      <c r="A26" s="305" t="s">
        <v>269</v>
      </c>
      <c r="B26" s="309">
        <f>SUM(B23:B25)</f>
        <v>132722478.23999999</v>
      </c>
      <c r="C26" s="310"/>
      <c r="D26" s="310"/>
      <c r="E26" s="308">
        <f>SUM(E23:E25)</f>
        <v>12471825.524535399</v>
      </c>
      <c r="F26" s="308">
        <f>SUM(F23:F25)</f>
        <v>12475898.8455013</v>
      </c>
      <c r="G26" s="308">
        <f>F26-E26</f>
        <v>4073.3209659010172</v>
      </c>
    </row>
    <row r="27" spans="1:8" ht="15.75" thickBot="1">
      <c r="A27" s="278"/>
      <c r="B27" s="311"/>
      <c r="C27" s="312"/>
      <c r="D27" s="312"/>
      <c r="E27" s="313"/>
      <c r="F27" s="314"/>
      <c r="G27" s="315">
        <f>SUM(G23:G25)</f>
        <v>4073.3209658996202</v>
      </c>
      <c r="H27" t="str">
        <f>IF(G27&lt;0,$I$7,$I$8)</f>
        <v>Payment from IESO</v>
      </c>
    </row>
    <row r="29" spans="1:8" ht="30.75">
      <c r="A29" s="299">
        <v>2016</v>
      </c>
      <c r="B29" s="300" t="s">
        <v>263</v>
      </c>
      <c r="C29" s="301" t="s">
        <v>264</v>
      </c>
      <c r="D29" s="302" t="s">
        <v>265</v>
      </c>
      <c r="E29" s="303" t="s">
        <v>266</v>
      </c>
      <c r="F29" s="303" t="s">
        <v>267</v>
      </c>
      <c r="G29" s="304" t="s">
        <v>268</v>
      </c>
    </row>
    <row r="30" spans="1:8">
      <c r="A30" s="305" t="s">
        <v>10</v>
      </c>
      <c r="B30" s="306">
        <f>[44]Input!$N$19+[44]Input!$K$154</f>
        <v>38668048.939999998</v>
      </c>
      <c r="C30" s="307">
        <f>[44]Input!$I$18</f>
        <v>9.214E-2</v>
      </c>
      <c r="D30" s="307">
        <f>91.79/1000</f>
        <v>9.179000000000001E-2</v>
      </c>
      <c r="E30" s="308">
        <f>B30*C30</f>
        <v>3562874.0293315998</v>
      </c>
      <c r="F30" s="308">
        <f>B30*D30</f>
        <v>3549340.2122026002</v>
      </c>
      <c r="G30" s="308">
        <f>F30-E30</f>
        <v>-13533.817128999624</v>
      </c>
    </row>
    <row r="31" spans="1:8">
      <c r="A31" s="305" t="s">
        <v>11</v>
      </c>
      <c r="B31" s="306">
        <f>[45]Input!$N$19+[45]Input!$K$154</f>
        <v>46778375.449999988</v>
      </c>
      <c r="C31" s="307">
        <f>[45]Input!$I$18</f>
        <v>9.6780000000000005E-2</v>
      </c>
      <c r="D31" s="307">
        <f>98.51/1000</f>
        <v>9.851E-2</v>
      </c>
      <c r="E31" s="308">
        <f t="shared" ref="E31:E32" si="12">B31*C31</f>
        <v>4527211.1760509992</v>
      </c>
      <c r="F31" s="308">
        <f t="shared" ref="F31:F32" si="13">B31*D31</f>
        <v>4608137.7655794993</v>
      </c>
      <c r="G31" s="308">
        <f t="shared" ref="G31:G32" si="14">F31-E31</f>
        <v>80926.589528500102</v>
      </c>
    </row>
    <row r="32" spans="1:8">
      <c r="A32" s="305" t="s">
        <v>12</v>
      </c>
      <c r="B32" s="306">
        <f>[46]Input!$N$19+[46]Input!$K$154</f>
        <v>49604207.400000006</v>
      </c>
      <c r="C32" s="307">
        <f>[46]Input!$I$18</f>
        <v>0.10299</v>
      </c>
      <c r="D32" s="307">
        <f>106.1/1000</f>
        <v>0.1061</v>
      </c>
      <c r="E32" s="308">
        <f t="shared" si="12"/>
        <v>5108737.3201260008</v>
      </c>
      <c r="F32" s="308">
        <f t="shared" si="13"/>
        <v>5263006.4051400004</v>
      </c>
      <c r="G32" s="308">
        <f t="shared" si="14"/>
        <v>154269.0850139996</v>
      </c>
    </row>
    <row r="33" spans="1:8">
      <c r="A33" s="305" t="s">
        <v>269</v>
      </c>
      <c r="B33" s="309">
        <f>SUM(B30:B32)</f>
        <v>135050631.78999999</v>
      </c>
      <c r="C33" s="310"/>
      <c r="D33" s="310"/>
      <c r="E33" s="308">
        <f>SUM(E30:E32)</f>
        <v>13198822.525508599</v>
      </c>
      <c r="F33" s="308">
        <f>SUM(F30:F32)</f>
        <v>13420484.3829221</v>
      </c>
      <c r="G33" s="308">
        <f>F33-E33</f>
        <v>221661.85741350055</v>
      </c>
    </row>
    <row r="34" spans="1:8" ht="15.75" thickBot="1">
      <c r="A34" s="278"/>
      <c r="B34" s="311"/>
      <c r="C34" s="312"/>
      <c r="D34" s="312"/>
      <c r="E34" s="313"/>
      <c r="F34" s="314"/>
      <c r="G34" s="315">
        <f>SUM(G30:G32)</f>
        <v>221661.85741350008</v>
      </c>
      <c r="H34" t="str">
        <f>IF(G34&lt;0,$I$7,$I$8)</f>
        <v>Payment from IESO</v>
      </c>
    </row>
    <row r="36" spans="1:8" ht="30.75">
      <c r="A36" s="299">
        <v>2016</v>
      </c>
      <c r="B36" s="300" t="s">
        <v>263</v>
      </c>
      <c r="C36" s="301" t="s">
        <v>264</v>
      </c>
      <c r="D36" s="302" t="s">
        <v>265</v>
      </c>
      <c r="E36" s="303" t="s">
        <v>266</v>
      </c>
      <c r="F36" s="303" t="s">
        <v>267</v>
      </c>
      <c r="G36" s="304" t="s">
        <v>268</v>
      </c>
    </row>
    <row r="37" spans="1:8">
      <c r="A37" s="305" t="s">
        <v>13</v>
      </c>
      <c r="B37" s="306">
        <f>[47]Input!$N$19+[47]Input!$K$154</f>
        <v>35380635.419999994</v>
      </c>
      <c r="C37" s="307">
        <f>[47]Input!$I$18</f>
        <v>0.11176999999999999</v>
      </c>
      <c r="D37" s="307">
        <f>111.32/1000</f>
        <v>0.11131999999999999</v>
      </c>
      <c r="E37" s="308">
        <f>B37*C37</f>
        <v>3954493.6208933992</v>
      </c>
      <c r="F37" s="308">
        <f>B37*D37</f>
        <v>3938572.3349543991</v>
      </c>
      <c r="G37" s="308">
        <f>F37-E37</f>
        <v>-15921.285939000081</v>
      </c>
    </row>
    <row r="38" spans="1:8">
      <c r="A38" s="305" t="s">
        <v>14</v>
      </c>
      <c r="B38" s="306">
        <f>[48]Input!$N$19+[48]Input!$K$154</f>
        <v>43157178.940000005</v>
      </c>
      <c r="C38" s="307">
        <f>[48]Input!$I$18</f>
        <v>0.11493</v>
      </c>
      <c r="D38" s="307">
        <f>107.49/1000</f>
        <v>0.10748999999999999</v>
      </c>
      <c r="E38" s="308">
        <f t="shared" ref="E38:E39" si="15">B38*C38</f>
        <v>4960054.5755742006</v>
      </c>
      <c r="F38" s="308">
        <f t="shared" ref="F38:F39" si="16">B38*D38</f>
        <v>4638965.1642605998</v>
      </c>
      <c r="G38" s="308">
        <f t="shared" ref="G38:G39" si="17">F38-E38</f>
        <v>-321089.41131360084</v>
      </c>
    </row>
    <row r="39" spans="1:8">
      <c r="A39" s="305" t="s">
        <v>15</v>
      </c>
      <c r="B39" s="306">
        <f>[49]Input!$N$19+[49]Input!$K$154</f>
        <v>37111774.199999996</v>
      </c>
      <c r="C39" s="307">
        <f>[49]Input!$I$18</f>
        <v>9.3599999999999989E-2</v>
      </c>
      <c r="D39" s="307">
        <f>95.45/1000</f>
        <v>9.5450000000000007E-2</v>
      </c>
      <c r="E39" s="308">
        <f t="shared" si="15"/>
        <v>3473662.065119999</v>
      </c>
      <c r="F39" s="308">
        <f t="shared" si="16"/>
        <v>3542318.8473899998</v>
      </c>
      <c r="G39" s="308">
        <f t="shared" si="17"/>
        <v>68656.782270000782</v>
      </c>
    </row>
    <row r="40" spans="1:8">
      <c r="A40" s="305" t="s">
        <v>269</v>
      </c>
      <c r="B40" s="309">
        <f>SUM(B37:B39)</f>
        <v>115649588.56</v>
      </c>
      <c r="C40" s="310"/>
      <c r="D40" s="310"/>
      <c r="E40" s="308">
        <f>SUM(E37:E39)</f>
        <v>12388210.261587599</v>
      </c>
      <c r="F40" s="308">
        <f>SUM(F37:F39)</f>
        <v>12119856.346604999</v>
      </c>
      <c r="G40" s="308">
        <f>F40-E40</f>
        <v>-268353.91498260014</v>
      </c>
    </row>
    <row r="41" spans="1:8" ht="15.75" thickBot="1">
      <c r="A41" s="278"/>
      <c r="B41" s="311"/>
      <c r="C41" s="312"/>
      <c r="D41" s="312"/>
      <c r="E41" s="313"/>
      <c r="F41" s="314"/>
      <c r="G41" s="315">
        <f>SUM(G37:G39)</f>
        <v>-268353.91498260014</v>
      </c>
      <c r="H41" t="str">
        <f>IF(G41&lt;0,$I$7,$I$8)</f>
        <v>payment to IESO</v>
      </c>
    </row>
    <row r="43" spans="1:8" ht="30.75">
      <c r="A43" s="299">
        <v>2016</v>
      </c>
      <c r="B43" s="300" t="s">
        <v>263</v>
      </c>
      <c r="C43" s="301" t="s">
        <v>264</v>
      </c>
      <c r="D43" s="302" t="s">
        <v>265</v>
      </c>
      <c r="E43" s="303" t="s">
        <v>266</v>
      </c>
      <c r="F43" s="303" t="s">
        <v>267</v>
      </c>
      <c r="G43" s="304" t="s">
        <v>268</v>
      </c>
    </row>
    <row r="44" spans="1:8">
      <c r="A44" s="305" t="s">
        <v>16</v>
      </c>
      <c r="B44" s="306">
        <f>[50]Input!$N$19+[50]Input!$K$154</f>
        <v>35487171.979999997</v>
      </c>
      <c r="C44" s="307">
        <f>[50]Input!$I$18</f>
        <v>8.412E-2</v>
      </c>
      <c r="D44" s="307">
        <f>83.06/1000</f>
        <v>8.3060000000000009E-2</v>
      </c>
      <c r="E44" s="308">
        <f>B44*C44</f>
        <v>2985180.9069575998</v>
      </c>
      <c r="F44" s="308">
        <f>B44*D44</f>
        <v>2947564.5046588001</v>
      </c>
      <c r="G44" s="308">
        <f>F44-E44</f>
        <v>-37616.402298799716</v>
      </c>
    </row>
    <row r="45" spans="1:8">
      <c r="A45" s="305" t="s">
        <v>17</v>
      </c>
      <c r="B45" s="306">
        <f>[51]Input!$N$19+[51]Input!$K$154</f>
        <v>56554635.380000003</v>
      </c>
      <c r="C45" s="307">
        <f>[51]Input!$I$18</f>
        <v>7.0499999999999993E-2</v>
      </c>
      <c r="D45" s="307">
        <f>71.03/1000</f>
        <v>7.1029999999999996E-2</v>
      </c>
      <c r="E45" s="308">
        <f t="shared" ref="E45:E46" si="18">B45*C45</f>
        <v>3987101.7942899996</v>
      </c>
      <c r="F45" s="308">
        <f t="shared" ref="F45:F46" si="19">B45*D45</f>
        <v>4017075.7510413998</v>
      </c>
      <c r="G45" s="308">
        <f t="shared" ref="G45:G46" si="20">F45-E45</f>
        <v>29973.956751400139</v>
      </c>
    </row>
    <row r="46" spans="1:8">
      <c r="A46" s="305" t="s">
        <v>18</v>
      </c>
      <c r="B46" s="306">
        <f>[52]Input!$N$19+[52]Input!$K$154</f>
        <v>47411688.789999999</v>
      </c>
      <c r="C46" s="307">
        <f>[52]Input!$I$18</f>
        <v>9.1480000000000006E-2</v>
      </c>
      <c r="D46" s="307">
        <f>95.31/1000</f>
        <v>9.5310000000000006E-2</v>
      </c>
      <c r="E46" s="308">
        <f t="shared" si="18"/>
        <v>4337221.2905092007</v>
      </c>
      <c r="F46" s="308">
        <f t="shared" si="19"/>
        <v>4518808.0585749</v>
      </c>
      <c r="G46" s="308">
        <f t="shared" si="20"/>
        <v>181586.76806569938</v>
      </c>
    </row>
    <row r="47" spans="1:8">
      <c r="A47" s="305" t="s">
        <v>269</v>
      </c>
      <c r="B47" s="309">
        <f>SUM(B44:B46)</f>
        <v>139453496.15000001</v>
      </c>
      <c r="C47" s="310"/>
      <c r="D47" s="310"/>
      <c r="E47" s="308">
        <f>SUM(E44:E46)</f>
        <v>11309503.991756801</v>
      </c>
      <c r="F47" s="308">
        <f>SUM(F44:F46)</f>
        <v>11483448.314275101</v>
      </c>
      <c r="G47" s="308">
        <f>F47-E47</f>
        <v>173944.32251830027</v>
      </c>
    </row>
    <row r="48" spans="1:8" ht="15.75" thickBot="1">
      <c r="A48" s="278"/>
      <c r="B48" s="311"/>
      <c r="C48" s="312"/>
      <c r="D48" s="312"/>
      <c r="E48" s="313"/>
      <c r="F48" s="314"/>
      <c r="G48" s="315">
        <f>SUM(G44:G46)</f>
        <v>173944.3225182998</v>
      </c>
      <c r="H48" t="str">
        <f>IF(G48&lt;0,$I$7,$I$8)</f>
        <v>Payment from IESO</v>
      </c>
    </row>
    <row r="50" spans="1:8" ht="30.75">
      <c r="A50" s="299">
        <v>2016</v>
      </c>
      <c r="B50" s="300" t="s">
        <v>263</v>
      </c>
      <c r="C50" s="301" t="s">
        <v>264</v>
      </c>
      <c r="D50" s="302" t="s">
        <v>265</v>
      </c>
      <c r="E50" s="303" t="s">
        <v>266</v>
      </c>
      <c r="F50" s="303" t="s">
        <v>267</v>
      </c>
      <c r="G50" s="304" t="s">
        <v>268</v>
      </c>
    </row>
    <row r="51" spans="1:8">
      <c r="A51" s="305" t="s">
        <v>19</v>
      </c>
      <c r="B51" s="306">
        <f>[53]Input!$N$19+[53]Input!$K$154</f>
        <v>40845801.131999992</v>
      </c>
      <c r="C51" s="307">
        <f>[53]Input!$I$18</f>
        <v>0.1178</v>
      </c>
      <c r="D51" s="307">
        <f>112.26/1000</f>
        <v>0.11226</v>
      </c>
      <c r="E51" s="308">
        <f>B51*C51</f>
        <v>4811635.3733495995</v>
      </c>
      <c r="F51" s="308">
        <f>B51*D51</f>
        <v>4585349.6350783193</v>
      </c>
      <c r="G51" s="308">
        <f>F51-E51</f>
        <v>-226285.73827128019</v>
      </c>
    </row>
    <row r="52" spans="1:8">
      <c r="A52" s="305" t="s">
        <v>272</v>
      </c>
      <c r="B52" s="306">
        <f>[54]Input!$N$19+[54]Input!$K$154</f>
        <v>37789022.370000005</v>
      </c>
      <c r="C52" s="307">
        <f>[54]Input!$I$18</f>
        <v>0.115</v>
      </c>
      <c r="D52" s="307">
        <f>111.09/1000</f>
        <v>0.11109000000000001</v>
      </c>
      <c r="E52" s="308">
        <f t="shared" ref="E52:E53" si="21">B52*C52</f>
        <v>4345737.5725500006</v>
      </c>
      <c r="F52" s="308">
        <f t="shared" ref="F52:F53" si="22">B52*D52</f>
        <v>4197982.4950833004</v>
      </c>
      <c r="G52" s="308">
        <f t="shared" ref="G52:G53" si="23">F52-E52</f>
        <v>-147755.07746670023</v>
      </c>
    </row>
    <row r="53" spans="1:8">
      <c r="A53" s="305" t="s">
        <v>21</v>
      </c>
      <c r="B53" s="306">
        <f>[55]Input!$N$19+[55]Input!$K$160</f>
        <v>38163452.100000001</v>
      </c>
      <c r="C53" s="307">
        <f>[55]Input!$I$18</f>
        <v>7.8719999999999998E-2</v>
      </c>
      <c r="D53" s="307">
        <f>87.08/1000</f>
        <v>8.7080000000000005E-2</v>
      </c>
      <c r="E53" s="308">
        <f t="shared" si="21"/>
        <v>3004226.9493120001</v>
      </c>
      <c r="F53" s="308">
        <f t="shared" si="22"/>
        <v>3323273.4088680004</v>
      </c>
      <c r="G53" s="308">
        <f t="shared" si="23"/>
        <v>319046.45955600031</v>
      </c>
    </row>
    <row r="54" spans="1:8">
      <c r="A54" s="305" t="s">
        <v>269</v>
      </c>
      <c r="B54" s="309">
        <f>SUM(B51:B53)</f>
        <v>116798275.602</v>
      </c>
      <c r="C54" s="310"/>
      <c r="D54" s="310"/>
      <c r="E54" s="308">
        <f>SUM(E51:E53)</f>
        <v>12161599.8952116</v>
      </c>
      <c r="F54" s="308">
        <f>SUM(F51:F53)</f>
        <v>12106605.539029621</v>
      </c>
      <c r="G54" s="308">
        <f>F54-E54</f>
        <v>-54994.356181979179</v>
      </c>
    </row>
    <row r="55" spans="1:8" ht="15.75" thickBot="1">
      <c r="A55" s="278"/>
      <c r="B55" s="311"/>
      <c r="C55" s="312"/>
      <c r="D55" s="312"/>
      <c r="E55" s="313"/>
      <c r="F55" s="314"/>
      <c r="G55" s="315">
        <f>SUM(G51:G53)</f>
        <v>-54994.356181980111</v>
      </c>
      <c r="H55" t="str">
        <f>IF(G55&lt;0,$I$7,$I$8)</f>
        <v>payment to IESO</v>
      </c>
    </row>
    <row r="57" spans="1:8">
      <c r="G57" s="317">
        <f>-G27+G55</f>
        <v>-59067.677147879731</v>
      </c>
      <c r="H57" t="str">
        <f>IF(G57&lt;0,$I$7,$I$8)</f>
        <v>payment to IESO</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42"/>
  <sheetViews>
    <sheetView workbookViewId="0">
      <selection activeCell="D5" sqref="D5:D16"/>
    </sheetView>
  </sheetViews>
  <sheetFormatPr defaultColWidth="9.140625" defaultRowHeight="15"/>
  <cols>
    <col min="1" max="1" width="2" style="318" customWidth="1"/>
    <col min="2" max="2" width="10.140625" style="318" customWidth="1"/>
    <col min="3" max="3" width="18.85546875" style="318" bestFit="1" customWidth="1"/>
    <col min="4" max="4" width="18.5703125" style="318" customWidth="1"/>
    <col min="5" max="5" width="20.140625" style="318" bestFit="1" customWidth="1"/>
    <col min="6" max="6" width="20" style="318" customWidth="1"/>
    <col min="7" max="7" width="18.7109375" style="318" customWidth="1"/>
    <col min="8" max="8" width="14.28515625" style="318" bestFit="1" customWidth="1"/>
    <col min="9" max="10" width="15.5703125" style="318" customWidth="1"/>
    <col min="11" max="16384" width="9.140625" style="318"/>
  </cols>
  <sheetData>
    <row r="2" spans="2:15" ht="25.5" customHeight="1">
      <c r="B2" s="401" t="s">
        <v>273</v>
      </c>
      <c r="C2" s="401"/>
      <c r="D2" s="401"/>
      <c r="E2" s="401"/>
      <c r="F2" s="401"/>
      <c r="G2" s="401"/>
    </row>
    <row r="3" spans="2:15" ht="63">
      <c r="B3" s="402" t="s">
        <v>274</v>
      </c>
      <c r="C3" s="319" t="s">
        <v>275</v>
      </c>
      <c r="D3" s="319" t="s">
        <v>276</v>
      </c>
      <c r="E3" s="319" t="s">
        <v>277</v>
      </c>
      <c r="F3" s="319" t="s">
        <v>278</v>
      </c>
      <c r="G3" s="319" t="s">
        <v>279</v>
      </c>
      <c r="H3" s="320" t="s">
        <v>280</v>
      </c>
      <c r="I3" s="321"/>
      <c r="J3" s="321"/>
      <c r="K3" s="321"/>
      <c r="L3" s="321"/>
      <c r="M3" s="321"/>
      <c r="N3" s="321"/>
      <c r="O3" s="321"/>
    </row>
    <row r="4" spans="2:15" ht="15.75">
      <c r="B4" s="403"/>
      <c r="C4" s="319" t="s">
        <v>1</v>
      </c>
      <c r="D4" s="319" t="s">
        <v>204</v>
      </c>
      <c r="E4" s="319" t="s">
        <v>205</v>
      </c>
      <c r="F4" s="319" t="s">
        <v>281</v>
      </c>
      <c r="G4" s="319" t="s">
        <v>282</v>
      </c>
    </row>
    <row r="5" spans="2:15">
      <c r="B5" s="322">
        <v>42370</v>
      </c>
      <c r="C5" s="323">
        <f>'[56]Jan 2016_CNF-GUELPHHYDRO_ST-P-P'!$X$26</f>
        <v>9.2020185701217574E-2</v>
      </c>
      <c r="D5" s="323">
        <f>I22</f>
        <v>9.179530161323915E-2</v>
      </c>
      <c r="E5" s="323">
        <v>9.1789999999999997E-2</v>
      </c>
      <c r="F5" s="323">
        <f t="shared" ref="F5:F16" si="0">C5-E5</f>
        <v>2.3018570121757786E-4</v>
      </c>
      <c r="G5" s="323">
        <f>D5-E5</f>
        <v>5.3016132391531245E-6</v>
      </c>
    </row>
    <row r="6" spans="2:15">
      <c r="B6" s="322">
        <v>42401</v>
      </c>
      <c r="C6" s="323">
        <f>'[57]CNF-GUELPHHYDRO_ST-P-P_20160229'!$X$29</f>
        <v>9.8881172659946295E-2</v>
      </c>
      <c r="D6" s="323">
        <f t="shared" ref="D6:D16" si="1">I23</f>
        <v>9.8514453181481873E-2</v>
      </c>
      <c r="E6" s="323">
        <v>9.851E-2</v>
      </c>
      <c r="F6" s="323">
        <f t="shared" si="0"/>
        <v>3.71172659946295E-4</v>
      </c>
      <c r="G6" s="323">
        <f t="shared" ref="G6:G16" si="2">D6-E6</f>
        <v>4.4531814818726811E-6</v>
      </c>
    </row>
    <row r="7" spans="2:15">
      <c r="B7" s="322">
        <v>42430</v>
      </c>
      <c r="C7" s="323">
        <f>'[58]CNF-GUELPHHYDRO_ST-P-P_20160331'!$X$26</f>
        <v>0.10674920898216179</v>
      </c>
      <c r="D7" s="323">
        <f t="shared" si="1"/>
        <v>0.10609308915487416</v>
      </c>
      <c r="E7" s="323">
        <v>0.1061</v>
      </c>
      <c r="F7" s="323">
        <f t="shared" si="0"/>
        <v>6.4920898216179468E-4</v>
      </c>
      <c r="G7" s="323">
        <f t="shared" si="2"/>
        <v>-6.910845125843168E-6</v>
      </c>
    </row>
    <row r="8" spans="2:15">
      <c r="B8" s="322">
        <v>42461</v>
      </c>
      <c r="C8" s="323">
        <f>'[59]CNF-GUELPHHYDRO_ST-P-P_20160430'!$X$26</f>
        <v>0.11239744760358679</v>
      </c>
      <c r="D8" s="323">
        <f t="shared" si="1"/>
        <v>0.1113269189575269</v>
      </c>
      <c r="E8" s="323">
        <v>0.11132</v>
      </c>
      <c r="F8" s="323">
        <f t="shared" si="0"/>
        <v>1.0774476035867869E-3</v>
      </c>
      <c r="G8" s="323">
        <f t="shared" si="2"/>
        <v>6.9189575268996384E-6</v>
      </c>
    </row>
    <row r="9" spans="2:15">
      <c r="B9" s="322">
        <v>42491</v>
      </c>
      <c r="C9" s="323">
        <f>'[60]CNF-GUELPHHYDRO_ST-P-P_20160531'!$X$26</f>
        <v>0.10901059847286008</v>
      </c>
      <c r="D9" s="323">
        <f t="shared" si="1"/>
        <v>0.10748673519859221</v>
      </c>
      <c r="E9" s="323">
        <v>0.10749</v>
      </c>
      <c r="F9" s="323">
        <f t="shared" si="0"/>
        <v>1.5205984728600824E-3</v>
      </c>
      <c r="G9" s="323">
        <f t="shared" si="2"/>
        <v>-3.2648014077901744E-6</v>
      </c>
    </row>
    <row r="10" spans="2:15">
      <c r="B10" s="322">
        <v>42522</v>
      </c>
      <c r="C10" s="323">
        <f>'[61]CNF-GUELPHHYDRO_ST-P-P_20160630'!$X$23</f>
        <v>9.7030846134448859E-2</v>
      </c>
      <c r="D10" s="323">
        <f t="shared" si="1"/>
        <v>9.5455555642012843E-2</v>
      </c>
      <c r="E10" s="323">
        <v>9.5449999999999993E-2</v>
      </c>
      <c r="F10" s="323">
        <f t="shared" si="0"/>
        <v>1.5808461344488656E-3</v>
      </c>
      <c r="G10" s="323">
        <f t="shared" si="2"/>
        <v>5.5556420128499706E-6</v>
      </c>
    </row>
    <row r="11" spans="2:15">
      <c r="B11" s="322">
        <v>42552</v>
      </c>
      <c r="C11" s="323">
        <f>'[62]CNF-GUELPHHYDRO_ST-P-P_20160731'!$X$28</f>
        <v>8.4503900442052138E-2</v>
      </c>
      <c r="D11" s="323">
        <f t="shared" si="1"/>
        <v>8.3058822840268082E-2</v>
      </c>
      <c r="E11" s="323">
        <v>8.3059999999999995E-2</v>
      </c>
      <c r="F11" s="323">
        <f t="shared" si="0"/>
        <v>1.4439004420521429E-3</v>
      </c>
      <c r="G11" s="323">
        <f t="shared" si="2"/>
        <v>-1.1771597319132354E-6</v>
      </c>
    </row>
    <row r="12" spans="2:15">
      <c r="B12" s="322">
        <v>42583</v>
      </c>
      <c r="C12" s="323">
        <f>'[63]CNF-GUELPHHYDRO_ST-P-P_20160831'!$X$22</f>
        <v>7.2083864483660026E-2</v>
      </c>
      <c r="D12" s="323">
        <f t="shared" si="1"/>
        <v>7.1031563800019251E-2</v>
      </c>
      <c r="E12" s="323">
        <v>7.1029999999999996E-2</v>
      </c>
      <c r="F12" s="323">
        <f t="shared" si="0"/>
        <v>1.0538644836600303E-3</v>
      </c>
      <c r="G12" s="323">
        <f t="shared" si="2"/>
        <v>1.5638000192552681E-6</v>
      </c>
    </row>
    <row r="13" spans="2:15">
      <c r="B13" s="322">
        <v>42614</v>
      </c>
      <c r="C13" s="323">
        <f>'[64]CNF-GUELPHHYDRO_ST-P-P_20160930'!$X$30</f>
        <v>9.6737940988535331E-2</v>
      </c>
      <c r="D13" s="323">
        <f t="shared" si="1"/>
        <v>9.530287275227961E-2</v>
      </c>
      <c r="E13" s="323">
        <v>9.5310000000000006E-2</v>
      </c>
      <c r="F13" s="323">
        <f t="shared" si="0"/>
        <v>1.4279409885353256E-3</v>
      </c>
      <c r="G13" s="323">
        <f t="shared" si="2"/>
        <v>-7.1272477203954132E-6</v>
      </c>
    </row>
    <row r="14" spans="2:15">
      <c r="B14" s="322">
        <v>42644</v>
      </c>
      <c r="C14" s="323">
        <f>'[65]CNF-GUELPHHYDRO_ST-P-P_20161031'!$X$20</f>
        <v>0.11370472816756631</v>
      </c>
      <c r="D14" s="323">
        <f t="shared" si="1"/>
        <v>0.11226123121991324</v>
      </c>
      <c r="E14" s="323">
        <v>0.11226</v>
      </c>
      <c r="F14" s="323">
        <f t="shared" si="0"/>
        <v>1.4447281675663143E-3</v>
      </c>
      <c r="G14" s="323">
        <f t="shared" si="2"/>
        <v>1.2312199132447077E-6</v>
      </c>
    </row>
    <row r="15" spans="2:15">
      <c r="B15" s="322">
        <v>42675</v>
      </c>
      <c r="C15" s="323">
        <f>'[66]CNF-GUELPHHYDRO_ST-P-P_20161130'!$X$25</f>
        <v>0.1121163126961354</v>
      </c>
      <c r="D15" s="323">
        <f t="shared" si="1"/>
        <v>0.1110954550431961</v>
      </c>
      <c r="E15" s="323">
        <v>0.11108999999999999</v>
      </c>
      <c r="F15" s="323">
        <f t="shared" si="0"/>
        <v>1.0263126961354008E-3</v>
      </c>
      <c r="G15" s="323">
        <f t="shared" si="2"/>
        <v>5.455043196100906E-6</v>
      </c>
    </row>
    <row r="16" spans="2:15">
      <c r="B16" s="322">
        <v>42705</v>
      </c>
      <c r="C16" s="323">
        <f>'[67]CNF-GUELPHHYDRO_ST-P-P_20161231'!$X$20</f>
        <v>8.7595358220541319E-2</v>
      </c>
      <c r="D16" s="323">
        <f t="shared" si="1"/>
        <v>8.70784251552469E-2</v>
      </c>
      <c r="E16" s="323">
        <v>8.7080000000000005E-2</v>
      </c>
      <c r="F16" s="323">
        <f t="shared" si="0"/>
        <v>5.1535822054131486E-4</v>
      </c>
      <c r="G16" s="323">
        <f t="shared" si="2"/>
        <v>-1.5748447531049869E-6</v>
      </c>
    </row>
    <row r="19" spans="2:11" ht="20.25">
      <c r="B19" s="404" t="s">
        <v>283</v>
      </c>
      <c r="C19" s="404"/>
      <c r="D19" s="404"/>
      <c r="E19" s="404"/>
      <c r="F19" s="404"/>
      <c r="G19" s="404"/>
      <c r="H19" s="404"/>
      <c r="I19" s="404"/>
      <c r="J19" s="404"/>
    </row>
    <row r="20" spans="2:11" ht="78.75">
      <c r="B20" s="402" t="s">
        <v>274</v>
      </c>
      <c r="C20" s="319" t="s">
        <v>284</v>
      </c>
      <c r="D20" s="319" t="s">
        <v>285</v>
      </c>
      <c r="E20" s="319" t="s">
        <v>286</v>
      </c>
      <c r="F20" s="319" t="s">
        <v>287</v>
      </c>
      <c r="G20" s="319" t="s">
        <v>288</v>
      </c>
      <c r="H20" s="319" t="s">
        <v>289</v>
      </c>
      <c r="I20" s="319" t="s">
        <v>290</v>
      </c>
      <c r="J20" s="319" t="s">
        <v>291</v>
      </c>
    </row>
    <row r="21" spans="2:11" ht="15.75">
      <c r="B21" s="403"/>
      <c r="C21" s="324" t="s">
        <v>1</v>
      </c>
      <c r="D21" s="324" t="s">
        <v>204</v>
      </c>
      <c r="E21" s="324" t="s">
        <v>292</v>
      </c>
      <c r="F21" s="324" t="s">
        <v>4</v>
      </c>
      <c r="G21" s="324" t="s">
        <v>293</v>
      </c>
      <c r="H21" s="324" t="s">
        <v>40</v>
      </c>
      <c r="I21" s="324" t="s">
        <v>294</v>
      </c>
      <c r="J21" s="324" t="s">
        <v>295</v>
      </c>
    </row>
    <row r="22" spans="2:11">
      <c r="B22" s="322">
        <v>42370</v>
      </c>
      <c r="C22" s="325">
        <f>-'[56]Jan 2016_CNF-GUELPHHYDRO_ST-P-P'!$F$39</f>
        <v>10441315.59</v>
      </c>
      <c r="D22" s="326"/>
      <c r="E22" s="327">
        <f>C22+D22</f>
        <v>10441315.59</v>
      </c>
      <c r="F22" s="328">
        <v>10441541.789999999</v>
      </c>
      <c r="G22" s="328">
        <f>F22-E22</f>
        <v>226.19999999925494</v>
      </c>
      <c r="H22" s="329">
        <f>'[56]Jan 2016_CNF-GUELPHHYDRO_ST-P-P'!$X$39+'[56]Jan 2016_CNF-GUELPHHYDRO_ST-P-P'!$Y$39</f>
        <v>113748.107</v>
      </c>
      <c r="I22" s="323">
        <f>F22/H22/1000</f>
        <v>9.179530161323915E-2</v>
      </c>
      <c r="J22" s="323">
        <f>E22/H22/1000</f>
        <v>9.1793313008716709E-2</v>
      </c>
      <c r="K22" s="330"/>
    </row>
    <row r="23" spans="2:11">
      <c r="B23" s="322">
        <v>42401</v>
      </c>
      <c r="C23" s="325">
        <f>-'[57]CNF-GUELPHHYDRO_ST-P-P_20160229'!$F$40</f>
        <v>10470843.470000001</v>
      </c>
      <c r="D23" s="325">
        <f>-'[57]CNF-GUELPHHYDRO_ST-P-P_20160229'!$F$318</f>
        <v>-1533.44</v>
      </c>
      <c r="E23" s="327">
        <f t="shared" ref="E23:E33" si="3">C23+D23</f>
        <v>10469310.030000001</v>
      </c>
      <c r="F23" s="328">
        <v>10469839.16</v>
      </c>
      <c r="G23" s="328">
        <f t="shared" ref="G23:G33" si="4">F23-E23</f>
        <v>529.12999999895692</v>
      </c>
      <c r="H23" s="329">
        <f>'[57]CNF-GUELPHHYDRO_ST-P-P_20160229'!$X$40+'[57]CNF-GUELPHHYDRO_ST-P-P_20160229'!$Y$40</f>
        <v>106277.189</v>
      </c>
      <c r="I23" s="323">
        <f t="shared" ref="I23:I33" si="5">F23/H23/1000</f>
        <v>9.8514453181481873E-2</v>
      </c>
      <c r="J23" s="323">
        <f t="shared" ref="J23:J33" si="6">E23/H23/1000</f>
        <v>9.8509474408473491E-2</v>
      </c>
    </row>
    <row r="24" spans="2:11">
      <c r="B24" s="322">
        <v>42430</v>
      </c>
      <c r="C24" s="325">
        <f>-'[58]CNF-GUELPHHYDRO_ST-P-P_20160331'!$F$38</f>
        <v>11339067.49</v>
      </c>
      <c r="D24" s="325">
        <f>-'[58]CNF-GUELPHHYDRO_ST-P-P_20160331'!$F$303</f>
        <v>9031.4</v>
      </c>
      <c r="E24" s="327">
        <f t="shared" si="3"/>
        <v>11348098.890000001</v>
      </c>
      <c r="F24" s="328">
        <v>11348831.43</v>
      </c>
      <c r="G24" s="328">
        <f t="shared" si="4"/>
        <v>732.53999999910593</v>
      </c>
      <c r="H24" s="329">
        <f>'[58]CNF-GUELPHHYDRO_ST-P-P_20160331'!$X$38+'[58]CNF-GUELPHHYDRO_ST-P-P_20160331'!$Y$38</f>
        <v>106970.50599999999</v>
      </c>
      <c r="I24" s="323">
        <f t="shared" si="5"/>
        <v>0.10609308915487416</v>
      </c>
      <c r="J24" s="323">
        <f t="shared" si="6"/>
        <v>0.10608624109901847</v>
      </c>
    </row>
    <row r="25" spans="2:11">
      <c r="B25" s="322">
        <v>42461</v>
      </c>
      <c r="C25" s="325">
        <f>-'[59]CNF-GUELPHHYDRO_ST-P-P_20160430'!$F$39</f>
        <v>11165570.77</v>
      </c>
      <c r="D25" s="325"/>
      <c r="E25" s="327">
        <f t="shared" si="3"/>
        <v>11165570.77</v>
      </c>
      <c r="F25" s="328">
        <v>11168105.1</v>
      </c>
      <c r="G25" s="328">
        <f t="shared" si="4"/>
        <v>2534.3300000000745</v>
      </c>
      <c r="H25" s="329">
        <f>'[59]CNF-GUELPHHYDRO_ST-P-P_20160430'!$X$39+'[59]CNF-GUELPHHYDRO_ST-P-P_20160430'!$Y$39</f>
        <v>100318.10100000001</v>
      </c>
      <c r="I25" s="323">
        <f t="shared" si="5"/>
        <v>0.1113269189575269</v>
      </c>
      <c r="J25" s="323">
        <f t="shared" si="6"/>
        <v>0.1113016560191864</v>
      </c>
    </row>
    <row r="26" spans="2:11">
      <c r="B26" s="322">
        <v>42491</v>
      </c>
      <c r="C26" s="325">
        <f>-'[60]CNF-GUELPHHYDRO_ST-P-P_20160531'!$F$40</f>
        <v>10828737.93</v>
      </c>
      <c r="D26" s="325">
        <f>-'[60]CNF-GUELPHHYDRO_ST-P-P_20160531'!$F$368</f>
        <v>-12734.98</v>
      </c>
      <c r="E26" s="327">
        <f t="shared" si="3"/>
        <v>10816002.949999999</v>
      </c>
      <c r="F26" s="328">
        <v>10816900.939999999</v>
      </c>
      <c r="G26" s="328">
        <f t="shared" si="4"/>
        <v>897.99000000022352</v>
      </c>
      <c r="H26" s="329">
        <f>'[60]CNF-GUELPHHYDRO_ST-P-P_20160531'!$X$40+'[60]CNF-GUELPHHYDRO_ST-P-P_20160531'!$Y$40</f>
        <v>100634.75200000001</v>
      </c>
      <c r="I26" s="323">
        <f t="shared" si="5"/>
        <v>0.10748673519859221</v>
      </c>
      <c r="J26" s="323">
        <f t="shared" si="6"/>
        <v>0.10747781193915994</v>
      </c>
    </row>
    <row r="27" spans="2:11">
      <c r="B27" s="322">
        <v>42522</v>
      </c>
      <c r="C27" s="325">
        <f>-'[61]CNF-GUELPHHYDRO_ST-P-P_20160630'!$F$38</f>
        <v>9946320.2899999991</v>
      </c>
      <c r="D27" s="325">
        <f>-SUM('[61]CNF-GUELPHHYDRO_ST-P-P_20160630'!$F$369:$F$378)</f>
        <v>49760.570000000007</v>
      </c>
      <c r="E27" s="327">
        <f t="shared" si="3"/>
        <v>9996080.8599999994</v>
      </c>
      <c r="F27" s="328">
        <v>9998037.3300000001</v>
      </c>
      <c r="G27" s="328">
        <f t="shared" si="4"/>
        <v>1956.4700000006706</v>
      </c>
      <c r="H27" s="329">
        <f>'[61]CNF-GUELPHHYDRO_ST-P-P_20160630'!$X$38+'[61]CNF-GUELPHHYDRO_ST-P-P_20160630'!$Y$38</f>
        <v>104740.235</v>
      </c>
      <c r="I27" s="323">
        <f t="shared" si="5"/>
        <v>9.5455555642012843E-2</v>
      </c>
      <c r="J27" s="323">
        <f t="shared" si="6"/>
        <v>9.5436876382795952E-2</v>
      </c>
    </row>
    <row r="28" spans="2:11">
      <c r="B28" s="322">
        <v>42552</v>
      </c>
      <c r="C28" s="325">
        <f>-'[62]CNF-GUELPHHYDRO_ST-P-P_20160731'!$F$39</f>
        <v>9381230.9199999999</v>
      </c>
      <c r="D28" s="325">
        <f>-SUM('[62]CNF-GUELPHHYDRO_ST-P-P_20160731'!$F$369:$F$371)</f>
        <v>21124.16</v>
      </c>
      <c r="E28" s="327">
        <f t="shared" si="3"/>
        <v>9402355.0800000001</v>
      </c>
      <c r="F28" s="328">
        <v>9400925.0700000003</v>
      </c>
      <c r="G28" s="328">
        <f t="shared" si="4"/>
        <v>-1430.0099999997765</v>
      </c>
      <c r="H28" s="329">
        <f>'[62]CNF-GUELPHHYDRO_ST-P-P_20160731'!$X$39+'[62]CNF-GUELPHHYDRO_ST-P-P_20160731'!$Y$39</f>
        <v>113183.943</v>
      </c>
      <c r="I28" s="323">
        <f t="shared" si="5"/>
        <v>8.3058822840268082E-2</v>
      </c>
      <c r="J28" s="323">
        <f t="shared" si="6"/>
        <v>8.3071457229582465E-2</v>
      </c>
    </row>
    <row r="29" spans="2:11">
      <c r="B29" s="322">
        <v>42583</v>
      </c>
      <c r="C29" s="325">
        <f>-'[63]CNF-GUELPHHYDRO_ST-P-P_20160831'!$F$40</f>
        <v>8668261.8100000005</v>
      </c>
      <c r="D29" s="325">
        <f>-'[63]CNF-GUELPHHYDRO_ST-P-P_20160831'!$F$377</f>
        <v>1228.6099999999999</v>
      </c>
      <c r="E29" s="327">
        <f t="shared" si="3"/>
        <v>8669490.4199999999</v>
      </c>
      <c r="F29" s="328">
        <v>8670008.1899999995</v>
      </c>
      <c r="G29" s="328">
        <f t="shared" si="4"/>
        <v>517.76999999955297</v>
      </c>
      <c r="H29" s="329">
        <f>'[63]CNF-GUELPHHYDRO_ST-P-P_20160831'!$X$40+'[63]CNF-GUELPHHYDRO_ST-P-P_20160831'!$Y$40</f>
        <v>122058.52899999999</v>
      </c>
      <c r="I29" s="323">
        <f t="shared" si="5"/>
        <v>7.1031563800019251E-2</v>
      </c>
      <c r="J29" s="323">
        <f t="shared" si="6"/>
        <v>7.102732181869896E-2</v>
      </c>
    </row>
    <row r="30" spans="2:11">
      <c r="B30" s="322">
        <v>42614</v>
      </c>
      <c r="C30" s="325">
        <f>-'[64]CNF-GUELPHHYDRO_ST-P-P_20160930'!$F$40</f>
        <v>10185920.51</v>
      </c>
      <c r="D30" s="325">
        <f>-'[64]CNF-GUELPHHYDRO_ST-P-P_20160930'!$F$358</f>
        <v>-6360.21</v>
      </c>
      <c r="E30" s="327">
        <f>C30+D30</f>
        <v>10179560.299999999</v>
      </c>
      <c r="F30" s="328">
        <v>10183995.029999999</v>
      </c>
      <c r="G30" s="328">
        <f t="shared" si="4"/>
        <v>4434.730000000447</v>
      </c>
      <c r="H30" s="329">
        <f>'[64]CNF-GUELPHHYDRO_ST-P-P_20160930'!$X$40+'[64]CNF-GUELPHHYDRO_ST-P-P_20160930'!$Y$40</f>
        <v>106859.266</v>
      </c>
      <c r="I30" s="323">
        <f t="shared" si="5"/>
        <v>9.530287275227961E-2</v>
      </c>
      <c r="J30" s="323">
        <f t="shared" si="6"/>
        <v>9.5261372092898325E-2</v>
      </c>
    </row>
    <row r="31" spans="2:11">
      <c r="B31" s="322">
        <v>42644</v>
      </c>
      <c r="C31" s="325">
        <f>-'[65]CNF-GUELPHHYDRO_ST-P-P_20161031'!$F$38</f>
        <v>11437594.960000001</v>
      </c>
      <c r="D31" s="325"/>
      <c r="E31" s="327">
        <f t="shared" si="3"/>
        <v>11437594.960000001</v>
      </c>
      <c r="F31" s="328">
        <v>11438824.140000001</v>
      </c>
      <c r="G31" s="328">
        <f t="shared" si="4"/>
        <v>1229.179999999702</v>
      </c>
      <c r="H31" s="329">
        <f>'[65]CNF-GUELPHHYDRO_ST-P-P_20161031'!$X$38+'[65]CNF-GUELPHHYDRO_ST-P-P_20161031'!$Y$38</f>
        <v>101894.697</v>
      </c>
      <c r="I31" s="323">
        <f t="shared" si="5"/>
        <v>0.11226123121991324</v>
      </c>
      <c r="J31" s="323">
        <f t="shared" si="6"/>
        <v>0.1122491679817253</v>
      </c>
    </row>
    <row r="32" spans="2:11">
      <c r="B32" s="322">
        <v>42675</v>
      </c>
      <c r="C32" s="325">
        <f>-'[66]CNF-GUELPHHYDRO_ST-P-P_20161130'!$F$40</f>
        <v>11522517.869999999</v>
      </c>
      <c r="D32" s="325"/>
      <c r="E32" s="327">
        <f t="shared" si="3"/>
        <v>11522517.869999999</v>
      </c>
      <c r="F32" s="328">
        <v>11522145.470000001</v>
      </c>
      <c r="G32" s="328">
        <f t="shared" si="4"/>
        <v>-372.39999999850988</v>
      </c>
      <c r="H32" s="329">
        <f>'[66]CNF-GUELPHHYDRO_ST-P-P_20161130'!$X$40+'[66]CNF-GUELPHHYDRO_ST-P-P_20161130'!$Y$40</f>
        <v>103713.923</v>
      </c>
      <c r="I32" s="323">
        <f t="shared" si="5"/>
        <v>0.1110954550431961</v>
      </c>
      <c r="J32" s="323">
        <f t="shared" si="6"/>
        <v>0.11109904568936226</v>
      </c>
    </row>
    <row r="33" spans="2:10">
      <c r="B33" s="322">
        <v>42705</v>
      </c>
      <c r="C33" s="325">
        <f>-'[67]CNF-GUELPHHYDRO_ST-P-P_20161231'!$F$40</f>
        <v>9536142.2799999993</v>
      </c>
      <c r="D33" s="325">
        <f>-'[67]CNF-GUELPHHYDRO_ST-P-P_20161231'!$F$319</f>
        <v>-40.24</v>
      </c>
      <c r="E33" s="327">
        <f t="shared" si="3"/>
        <v>9536102.0399999991</v>
      </c>
      <c r="F33" s="328">
        <v>9539063.1199999992</v>
      </c>
      <c r="G33" s="328">
        <f t="shared" si="4"/>
        <v>2961.0800000000745</v>
      </c>
      <c r="H33" s="329">
        <f>'[67]CNF-GUELPHHYDRO_ST-P-P_20161231'!$X$40+'[67]CNF-GUELPHHYDRO_ST-P-P_20161231'!$Y$40</f>
        <v>109545.655</v>
      </c>
      <c r="I33" s="323">
        <f t="shared" si="5"/>
        <v>8.70784251552469E-2</v>
      </c>
      <c r="J33" s="323">
        <f t="shared" si="6"/>
        <v>8.7051394598900336E-2</v>
      </c>
    </row>
    <row r="34" spans="2:10">
      <c r="D34" s="331">
        <f>SUM(D22:D33)</f>
        <v>60475.87000000001</v>
      </c>
      <c r="E34" s="331">
        <f>SUM(E22:E33)</f>
        <v>124983999.75999999</v>
      </c>
      <c r="F34" s="331">
        <f>SUM(F22:F33)</f>
        <v>124998216.77</v>
      </c>
      <c r="G34" s="331">
        <f>SUM(G22:G33)</f>
        <v>14217.009999999776</v>
      </c>
    </row>
    <row r="35" spans="2:10">
      <c r="E35" s="331"/>
      <c r="F35" s="331"/>
      <c r="G35" s="331"/>
    </row>
    <row r="36" spans="2:10">
      <c r="B36" s="322">
        <v>42736</v>
      </c>
      <c r="C36" s="325">
        <f>-'[68]CNF-GUELPHHYDRO_ST-P-P_20170131'!$F$39</f>
        <v>9419115.4399999995</v>
      </c>
      <c r="D36" s="325"/>
      <c r="E36" s="327">
        <f>C36+D36</f>
        <v>9419115.4399999995</v>
      </c>
      <c r="F36" s="328">
        <v>9370013.8900000006</v>
      </c>
      <c r="G36" s="328">
        <f>F36-E36</f>
        <v>-49101.549999998882</v>
      </c>
      <c r="H36" s="329">
        <f>'[68]CNF-GUELPHHYDRO_ST-P-P_20170131'!$X$39+'[68]CNF-GUELPHHYDRO_ST-P-P_20170131'!$Y$39</f>
        <v>113873.689</v>
      </c>
      <c r="I36" s="323">
        <f>F36/H36/1000</f>
        <v>8.228427455265809E-2</v>
      </c>
      <c r="J36" s="323">
        <f>E36/H36/1000</f>
        <v>8.2715467661717709E-2</v>
      </c>
    </row>
    <row r="37" spans="2:10">
      <c r="B37" s="322">
        <v>42767</v>
      </c>
      <c r="C37" s="325">
        <f>-'[69]CNF-GUELPHHYDRO_ST-P-P_20170228'!$F$39</f>
        <v>8684680.2100000009</v>
      </c>
      <c r="D37" s="325"/>
      <c r="E37" s="327">
        <f t="shared" ref="E37:E41" si="7">C37+D37</f>
        <v>8684680.2100000009</v>
      </c>
      <c r="F37" s="328">
        <v>8684448</v>
      </c>
      <c r="G37" s="328">
        <f t="shared" ref="G37:G41" si="8">F37-E37</f>
        <v>-232.21000000089407</v>
      </c>
      <c r="H37" s="329">
        <f>'[69]CNF-GUELPHHYDRO_ST-P-P_20170228'!$X$39+'[69]CNF-GUELPHHYDRO_ST-P-P_20170228'!$Y$39</f>
        <v>100524.73699999999</v>
      </c>
      <c r="I37" s="323">
        <f t="shared" ref="I37:I41" si="9">F37/H37/1000</f>
        <v>8.6391153652060793E-2</v>
      </c>
      <c r="J37" s="323">
        <f t="shared" ref="J37:J41" si="10">E37/H37/1000</f>
        <v>8.639346363074793E-2</v>
      </c>
    </row>
    <row r="38" spans="2:10">
      <c r="B38" s="322">
        <v>42795</v>
      </c>
      <c r="C38" s="325">
        <f>-'[70]CNF-GUELPHHYDRO_ST-P-P_20170331'!$F$41</f>
        <v>7951786.8899999997</v>
      </c>
      <c r="D38" s="325">
        <f>-'[70]CNF-GUELPHHYDRO_ST-P-P_20170331'!$F$366</f>
        <v>-807.12</v>
      </c>
      <c r="E38" s="327">
        <f t="shared" si="7"/>
        <v>7950979.7699999996</v>
      </c>
      <c r="F38" s="328">
        <v>7951058.2699999996</v>
      </c>
      <c r="G38" s="328">
        <f t="shared" si="8"/>
        <v>78.5</v>
      </c>
      <c r="H38" s="329">
        <f>'[70]CNF-GUELPHHYDRO_ST-P-P_20170331'!$X$41+'[70]CNF-GUELPHHYDRO_ST-P-P_20170331'!$Y$41</f>
        <v>111440.16</v>
      </c>
      <c r="I38" s="323">
        <f t="shared" si="9"/>
        <v>7.1348230925009429E-2</v>
      </c>
      <c r="J38" s="323">
        <f t="shared" si="10"/>
        <v>7.1347526511088999E-2</v>
      </c>
    </row>
    <row r="39" spans="2:10">
      <c r="B39" s="322">
        <v>42826</v>
      </c>
      <c r="C39" s="325">
        <f>-'[71]CNF-GUELPHHYDRO_ST-P-P_20170430'!$F$40</f>
        <v>10196735.74</v>
      </c>
      <c r="D39" s="325">
        <f>-('[71]CNF-GUELPHHYDRO_ST-P-P_20170430'!$F$347+'[71]CNF-GUELPHHYDRO_ST-P-P_20170430'!$F$348+'[71]CNF-GUELPHHYDRO_ST-P-P_20170430'!$F$349)</f>
        <v>111666.66</v>
      </c>
      <c r="E39" s="327">
        <f t="shared" si="7"/>
        <v>10308402.4</v>
      </c>
      <c r="F39" s="328">
        <v>10308435.140000001</v>
      </c>
      <c r="G39" s="328">
        <f t="shared" si="8"/>
        <v>32.740000000223517</v>
      </c>
      <c r="H39" s="329">
        <f>'[71]CNF-GUELPHHYDRO_ST-P-P_20170430'!$X$40+'[71]CNF-GUELPHHYDRO_ST-P-P_20170430'!$Y$40</f>
        <v>95635.542000000001</v>
      </c>
      <c r="I39" s="323">
        <f t="shared" si="9"/>
        <v>0.10778874594551888</v>
      </c>
      <c r="J39" s="323">
        <f t="shared" si="10"/>
        <v>0.10778840360417469</v>
      </c>
    </row>
    <row r="40" spans="2:10">
      <c r="B40" s="322">
        <v>42856</v>
      </c>
      <c r="C40" s="325">
        <f>-'[72]CNF-GUELPHHYDRO_ST-P-P_20170531'!$F$40</f>
        <v>12205772.08</v>
      </c>
      <c r="D40" s="325">
        <f>-'[72]CNF-GUELPHHYDRO_ST-P-P_20170531'!$F$313</f>
        <v>86854.33</v>
      </c>
      <c r="E40" s="327">
        <f t="shared" si="7"/>
        <v>12292626.41</v>
      </c>
      <c r="F40" s="328">
        <v>12310432.41</v>
      </c>
      <c r="G40" s="328">
        <f t="shared" si="8"/>
        <v>17806</v>
      </c>
      <c r="H40" s="329">
        <f>'[72]CNF-GUELPHHYDRO_ST-P-P_20170531'!$X$40+'[72]CNF-GUELPHHYDRO_ST-P-P_20170531'!$Y$40</f>
        <v>100040.141</v>
      </c>
      <c r="I40" s="323">
        <f t="shared" si="9"/>
        <v>0.12305492862110221</v>
      </c>
      <c r="J40" s="323">
        <f t="shared" si="10"/>
        <v>0.12287694006748751</v>
      </c>
    </row>
    <row r="41" spans="2:10">
      <c r="B41" s="332">
        <v>42887</v>
      </c>
      <c r="C41" s="333">
        <f>-'[73]CNF-GUELPHHYDRO_ST-P-P_20170630'!$F$38</f>
        <v>14735443.560000001</v>
      </c>
      <c r="D41" s="333">
        <f>-('[73]CNF-GUELPHHYDRO_ST-P-P_20170630'!$F$350+'[73]CNF-GUELPHHYDRO_ST-P-P_20170630'!$F$351)</f>
        <v>1347940.5499999998</v>
      </c>
      <c r="E41" s="334">
        <f t="shared" si="7"/>
        <v>16083384.109999999</v>
      </c>
      <c r="F41" s="335">
        <v>16083898.42</v>
      </c>
      <c r="G41" s="335">
        <f t="shared" si="8"/>
        <v>514.31000000052154</v>
      </c>
      <c r="H41" s="336">
        <f>'[73]CNF-GUELPHHYDRO_ST-P-P_20170630'!$X$38+('[74]Class A'!$D$23/1000)</f>
        <v>104314.12134623124</v>
      </c>
      <c r="I41" s="337">
        <f t="shared" si="9"/>
        <v>0.15418716289250606</v>
      </c>
      <c r="J41" s="337">
        <f t="shared" si="10"/>
        <v>0.15418223249580268</v>
      </c>
    </row>
    <row r="42" spans="2:10">
      <c r="D42" s="338">
        <f>SUM(D36:D41)</f>
        <v>1545654.42</v>
      </c>
      <c r="E42" s="338">
        <f>SUM(E36:E41)</f>
        <v>64739188.340000004</v>
      </c>
      <c r="F42" s="338">
        <f>SUM(F36:F41)</f>
        <v>64708286.129999995</v>
      </c>
      <c r="G42" s="338">
        <f>SUM(G36:G41)</f>
        <v>-30902.209999999031</v>
      </c>
    </row>
  </sheetData>
  <mergeCells count="4">
    <mergeCell ref="B2:G2"/>
    <mergeCell ref="B3:B4"/>
    <mergeCell ref="B19:J19"/>
    <mergeCell ref="B20:B21"/>
  </mergeCells>
  <hyperlinks>
    <hyperlink ref="H3"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F21" sqref="F21"/>
    </sheetView>
  </sheetViews>
  <sheetFormatPr defaultColWidth="9.140625" defaultRowHeight="15"/>
  <cols>
    <col min="1" max="1" width="9.140625" style="318"/>
    <col min="2" max="2" width="16.42578125" style="318" customWidth="1"/>
    <col min="3" max="3" width="16.7109375" style="318" customWidth="1"/>
    <col min="4" max="4" width="11.7109375" style="318" bestFit="1" customWidth="1"/>
    <col min="5" max="5" width="17" style="318" customWidth="1"/>
    <col min="6" max="6" width="15.28515625" style="318" customWidth="1"/>
    <col min="7" max="7" width="9.140625" style="318"/>
    <col min="8" max="9" width="14.28515625" style="318" bestFit="1" customWidth="1"/>
    <col min="10" max="10" width="15.5703125" style="318" bestFit="1" customWidth="1"/>
    <col min="11" max="16384" width="9.140625" style="318"/>
  </cols>
  <sheetData>
    <row r="1" spans="1:10" ht="63">
      <c r="A1" s="405" t="s">
        <v>274</v>
      </c>
      <c r="B1" s="339" t="s">
        <v>296</v>
      </c>
      <c r="C1" s="339" t="s">
        <v>297</v>
      </c>
      <c r="D1" s="339" t="s">
        <v>298</v>
      </c>
      <c r="E1" s="339" t="s">
        <v>299</v>
      </c>
      <c r="F1" s="339" t="s">
        <v>171</v>
      </c>
    </row>
    <row r="2" spans="1:10" ht="30.75">
      <c r="A2" s="405"/>
      <c r="B2" s="340" t="s">
        <v>1</v>
      </c>
      <c r="C2" s="340" t="s">
        <v>204</v>
      </c>
      <c r="D2" s="340" t="s">
        <v>205</v>
      </c>
      <c r="E2" s="340" t="s">
        <v>300</v>
      </c>
      <c r="F2" s="340" t="s">
        <v>301</v>
      </c>
      <c r="H2" s="341" t="s">
        <v>302</v>
      </c>
      <c r="I2" s="341" t="s">
        <v>303</v>
      </c>
      <c r="J2" s="341" t="s">
        <v>304</v>
      </c>
    </row>
    <row r="3" spans="1:10">
      <c r="A3" s="322">
        <v>42339</v>
      </c>
      <c r="B3" s="325">
        <f>SUM([5]Query!$D$210:$D$211)</f>
        <v>266201.39999999997</v>
      </c>
      <c r="C3" s="329">
        <f>SUM([5]Query!$E$210:$E$211)</f>
        <v>3099819.36</v>
      </c>
      <c r="D3" s="326">
        <f>+'[1]GA Analysis'!R46</f>
        <v>0.11462</v>
      </c>
      <c r="E3" s="325">
        <f>C3*D3</f>
        <v>355301.29504319996</v>
      </c>
      <c r="F3" s="327">
        <f>B3-E3</f>
        <v>-89099.895043199998</v>
      </c>
      <c r="H3" s="331">
        <f>B15-B3</f>
        <v>88313.43</v>
      </c>
      <c r="I3" s="331">
        <f>E15-E3</f>
        <v>-38728.709939399967</v>
      </c>
      <c r="J3" s="331">
        <f>H3-I3</f>
        <v>127042.13993939996</v>
      </c>
    </row>
    <row r="4" spans="1:10">
      <c r="A4" s="322">
        <v>42370</v>
      </c>
      <c r="B4" s="325">
        <f>[9]Query!$D$256+[9]Query!$D$257</f>
        <v>306190.91000000003</v>
      </c>
      <c r="C4" s="329">
        <f>[9]Query!$E$256+[9]Query!$E$257</f>
        <v>2855976.55</v>
      </c>
      <c r="D4" s="326">
        <f>'[1]GA Analysis'!O35</f>
        <v>8.4229999999999999E-2</v>
      </c>
      <c r="E4" s="325">
        <f>C4*D4</f>
        <v>240558.90480649998</v>
      </c>
      <c r="F4" s="327">
        <f>B4-E4</f>
        <v>65632.005193500052</v>
      </c>
    </row>
    <row r="5" spans="1:10">
      <c r="A5" s="322">
        <v>42401</v>
      </c>
      <c r="B5" s="325">
        <f>[11]Query!$D$258+[11]Query!$D$259</f>
        <v>259289.81</v>
      </c>
      <c r="C5" s="329">
        <f>[11]Query!$E$258+[11]Query!$E$259</f>
        <v>2920915.65</v>
      </c>
      <c r="D5" s="326">
        <f>'[1]GA Analysis'!O36</f>
        <v>0.10384</v>
      </c>
      <c r="E5" s="325">
        <f t="shared" ref="E5:E15" si="0">C5*D5</f>
        <v>303307.88109599997</v>
      </c>
      <c r="F5" s="327">
        <f t="shared" ref="F5:F15" si="1">B5-E5</f>
        <v>-44018.071095999971</v>
      </c>
    </row>
    <row r="6" spans="1:10">
      <c r="A6" s="322">
        <v>42430</v>
      </c>
      <c r="B6" s="325">
        <f>[13]Query!$D$243+[13]Query!$D$244</f>
        <v>312200.57</v>
      </c>
      <c r="C6" s="329">
        <f>[13]Query!$E$243+[13]Query!$E$244</f>
        <v>3108500.77</v>
      </c>
      <c r="D6" s="326">
        <f>'[1]GA Analysis'!O37</f>
        <v>9.0219999999999995E-2</v>
      </c>
      <c r="E6" s="325">
        <f t="shared" si="0"/>
        <v>280448.93946939998</v>
      </c>
      <c r="F6" s="327">
        <f t="shared" si="1"/>
        <v>31751.630530600029</v>
      </c>
    </row>
    <row r="7" spans="1:10">
      <c r="A7" s="322">
        <v>42461</v>
      </c>
      <c r="B7" s="325">
        <f>[15]Query!$D$246+[15]Query!$D$247</f>
        <v>239084.12</v>
      </c>
      <c r="C7" s="329">
        <f>[15]Query!$E$246+[15]Query!$E$247</f>
        <v>2442653.23</v>
      </c>
      <c r="D7" s="326">
        <f>'[1]GA Analysis'!O38</f>
        <v>0.12114999999999999</v>
      </c>
      <c r="E7" s="325">
        <f t="shared" si="0"/>
        <v>295927.4388145</v>
      </c>
      <c r="F7" s="327">
        <f t="shared" si="1"/>
        <v>-56843.318814500002</v>
      </c>
    </row>
    <row r="8" spans="1:10">
      <c r="A8" s="322">
        <v>42491</v>
      </c>
      <c r="B8" s="325">
        <f>SUM([17]Query!$G$387:$G$392)</f>
        <v>274187.14999999997</v>
      </c>
      <c r="C8" s="329">
        <f>SUM([17]Query!$H$387:$H$392)</f>
        <v>2354201.2999999998</v>
      </c>
      <c r="D8" s="326">
        <f>'[1]GA Analysis'!O39</f>
        <v>0.10405</v>
      </c>
      <c r="E8" s="325">
        <f t="shared" si="0"/>
        <v>244954.645265</v>
      </c>
      <c r="F8" s="327">
        <f t="shared" si="1"/>
        <v>29232.504734999966</v>
      </c>
    </row>
    <row r="9" spans="1:10">
      <c r="A9" s="322">
        <v>42522</v>
      </c>
      <c r="B9" s="325">
        <f>SUM([19]Query!$G$432:$G$435)</f>
        <v>257381.19</v>
      </c>
      <c r="C9" s="329">
        <f>SUM([19]Query!$H$432:$H$435)</f>
        <v>2393032.8099999996</v>
      </c>
      <c r="D9" s="326">
        <f>'[1]GA Analysis'!O40</f>
        <v>0.11650000000000001</v>
      </c>
      <c r="E9" s="325">
        <f t="shared" si="0"/>
        <v>278788.32236499997</v>
      </c>
      <c r="F9" s="327">
        <f t="shared" si="1"/>
        <v>-21407.132364999969</v>
      </c>
    </row>
    <row r="10" spans="1:10">
      <c r="A10" s="322">
        <v>42552</v>
      </c>
      <c r="B10" s="325">
        <f>SUM([21]Query!$G$306:$G$311)</f>
        <v>249840.78</v>
      </c>
      <c r="C10" s="329">
        <f>SUM([21]Query!$H$306:$H$311)</f>
        <v>2392270.5799999996</v>
      </c>
      <c r="D10" s="326">
        <f>'[1]GA Analysis'!O41</f>
        <v>7.6670000000000002E-2</v>
      </c>
      <c r="E10" s="325">
        <f t="shared" si="0"/>
        <v>183415.38536859996</v>
      </c>
      <c r="F10" s="327">
        <f t="shared" si="1"/>
        <v>66425.394631400035</v>
      </c>
    </row>
    <row r="11" spans="1:10">
      <c r="A11" s="322">
        <v>42583</v>
      </c>
      <c r="B11" s="325">
        <f>SUM([23]Query!$G$252:$G$257)</f>
        <v>218695.63</v>
      </c>
      <c r="C11" s="329">
        <f>SUM([23]Query!$H$252:$H$257)</f>
        <v>2754083.21</v>
      </c>
      <c r="D11" s="326">
        <f>'[1]GA Analysis'!O42</f>
        <v>8.5690000000000002E-2</v>
      </c>
      <c r="E11" s="325">
        <f t="shared" si="0"/>
        <v>235997.39026489999</v>
      </c>
      <c r="F11" s="327">
        <f t="shared" si="1"/>
        <v>-17301.760264899989</v>
      </c>
    </row>
    <row r="12" spans="1:10">
      <c r="A12" s="322">
        <v>42614</v>
      </c>
      <c r="B12" s="325">
        <f>SUM([25]Query!$G$281:$G$286)</f>
        <v>202659.37999999998</v>
      </c>
      <c r="C12" s="329">
        <f>SUM([25]Query!$H$281:$H$286)</f>
        <v>2477033.4700000007</v>
      </c>
      <c r="D12" s="326">
        <f>'[1]GA Analysis'!O43</f>
        <v>7.0599999999999996E-2</v>
      </c>
      <c r="E12" s="325">
        <f t="shared" si="0"/>
        <v>174878.56298200003</v>
      </c>
      <c r="F12" s="327">
        <f t="shared" si="1"/>
        <v>27780.817017999943</v>
      </c>
    </row>
    <row r="13" spans="1:10">
      <c r="A13" s="322">
        <v>42644</v>
      </c>
      <c r="B13" s="325">
        <f>SUM([27]Query!$G$267:$G$272)</f>
        <v>191416.83</v>
      </c>
      <c r="C13" s="329">
        <f>SUM([27]Query!$H$267:$H$272)</f>
        <v>2472764.7599999998</v>
      </c>
      <c r="D13" s="326">
        <f>'[1]GA Analysis'!O44</f>
        <v>9.7199999999999995E-2</v>
      </c>
      <c r="E13" s="325">
        <f t="shared" si="0"/>
        <v>240352.73467199996</v>
      </c>
      <c r="F13" s="327">
        <f t="shared" si="1"/>
        <v>-48935.904671999975</v>
      </c>
    </row>
    <row r="14" spans="1:10">
      <c r="A14" s="322">
        <v>42675</v>
      </c>
      <c r="B14" s="325">
        <f>SUM([29]Query!$G$314:$G$321)</f>
        <v>262814.51999999996</v>
      </c>
      <c r="C14" s="329">
        <f>SUM([29]Query!$H$314:$H$321)</f>
        <v>2550576.1799999997</v>
      </c>
      <c r="D14" s="326">
        <f>'[1]GA Analysis'!O45</f>
        <v>0.12271</v>
      </c>
      <c r="E14" s="325">
        <f t="shared" si="0"/>
        <v>312981.20304779994</v>
      </c>
      <c r="F14" s="327">
        <f t="shared" si="1"/>
        <v>-50166.683047799976</v>
      </c>
    </row>
    <row r="15" spans="1:10">
      <c r="A15" s="322">
        <v>42705</v>
      </c>
      <c r="B15" s="325">
        <f>SUM([6]Query!$G$315:$G$320)</f>
        <v>354514.82999999996</v>
      </c>
      <c r="C15" s="329">
        <f>SUM([6]Query!$H$315:$H$320)</f>
        <v>2988225.27</v>
      </c>
      <c r="D15" s="326">
        <f>'[1]GA Analysis'!O46</f>
        <v>0.10594000000000001</v>
      </c>
      <c r="E15" s="325">
        <f t="shared" si="0"/>
        <v>316572.5851038</v>
      </c>
      <c r="F15" s="327">
        <f t="shared" si="1"/>
        <v>37942.244896199962</v>
      </c>
    </row>
    <row r="16" spans="1:10" ht="15.75">
      <c r="A16" s="318" t="s">
        <v>269</v>
      </c>
      <c r="F16" s="342">
        <f>SUM(F3:F15)</f>
        <v>-69008.168298699893</v>
      </c>
    </row>
    <row r="19" spans="5:6">
      <c r="E19" s="318" t="s">
        <v>305</v>
      </c>
      <c r="F19" s="331">
        <f>F15</f>
        <v>37942.244896199962</v>
      </c>
    </row>
    <row r="20" spans="5:6">
      <c r="E20" s="318" t="s">
        <v>306</v>
      </c>
      <c r="F20" s="343">
        <f>F3</f>
        <v>-89099.895043199998</v>
      </c>
    </row>
    <row r="21" spans="5:6">
      <c r="F21" s="344">
        <f>F19-F20</f>
        <v>127042.13993939996</v>
      </c>
    </row>
    <row r="22" spans="5:6">
      <c r="F22" s="345"/>
    </row>
    <row r="23" spans="5:6">
      <c r="F23" s="331"/>
    </row>
  </sheetData>
  <mergeCells count="1">
    <mergeCell ref="A1:A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Instructions</vt:lpstr>
      <vt:lpstr>GA Analysis </vt:lpstr>
      <vt:lpstr>Test</vt:lpstr>
      <vt:lpstr>1.Adjustments</vt:lpstr>
      <vt:lpstr>2.GA Detailed Analysis</vt:lpstr>
      <vt:lpstr>3.RPP True-up</vt:lpstr>
      <vt:lpstr>4.IESO Invoice Analysis</vt:lpstr>
      <vt:lpstr>5.UBR Retailer Contract</vt:lpstr>
      <vt:lpstr>'GA Analysis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CALHOUNC</cp:lastModifiedBy>
  <cp:lastPrinted>2017-11-17T14:08:50Z</cp:lastPrinted>
  <dcterms:created xsi:type="dcterms:W3CDTF">2017-05-01T19:29:01Z</dcterms:created>
  <dcterms:modified xsi:type="dcterms:W3CDTF">2017-11-17T17:32:16Z</dcterms:modified>
</cp:coreProperties>
</file>