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80" windowWidth="27960" windowHeight="12015"/>
  </bookViews>
  <sheets>
    <sheet name="OEB Depreciation Summary" sheetId="14" r:id="rId1"/>
  </sheets>
  <calcPr calcId="145621"/>
</workbook>
</file>

<file path=xl/calcChain.xml><?xml version="1.0" encoding="utf-8"?>
<calcChain xmlns="http://schemas.openxmlformats.org/spreadsheetml/2006/main">
  <c r="C42" i="14" l="1"/>
  <c r="M12" i="14"/>
  <c r="M11" i="14"/>
  <c r="M10" i="14"/>
  <c r="L12" i="14"/>
  <c r="L11" i="14"/>
  <c r="L10" i="14"/>
  <c r="K12" i="14"/>
  <c r="K11" i="14"/>
  <c r="K10" i="14"/>
  <c r="K9" i="14"/>
  <c r="K13" i="14"/>
  <c r="J12" i="14"/>
  <c r="J11" i="14"/>
  <c r="J10" i="14"/>
  <c r="J9" i="14"/>
  <c r="I12" i="14"/>
  <c r="I11" i="14"/>
  <c r="I13" i="14" s="1"/>
  <c r="I10" i="14"/>
  <c r="I9" i="14"/>
  <c r="H12" i="14"/>
  <c r="H11" i="14"/>
  <c r="H10" i="14"/>
  <c r="H9" i="14"/>
  <c r="G12" i="14"/>
  <c r="G11" i="14"/>
  <c r="G10" i="14"/>
  <c r="G9" i="14"/>
  <c r="G13" i="14"/>
  <c r="F12" i="14"/>
  <c r="F11" i="14"/>
  <c r="F10" i="14"/>
  <c r="F9" i="14"/>
  <c r="F13" i="14"/>
  <c r="E12" i="14"/>
  <c r="E11" i="14"/>
  <c r="E10" i="14"/>
  <c r="E9" i="14"/>
  <c r="D12" i="14"/>
  <c r="D11" i="14"/>
  <c r="D10" i="14"/>
  <c r="D9" i="14"/>
  <c r="J13" i="14" l="1"/>
  <c r="H13" i="14"/>
  <c r="E13" i="14"/>
  <c r="D13" i="14" l="1"/>
  <c r="C12" i="14"/>
  <c r="C13" i="14"/>
  <c r="C11" i="14"/>
  <c r="C10" i="14"/>
  <c r="C9" i="14"/>
  <c r="K24" i="14"/>
  <c r="I24" i="14"/>
  <c r="H22" i="14"/>
  <c r="C75" i="14" l="1"/>
  <c r="B89" i="14"/>
  <c r="B87" i="14"/>
  <c r="B80" i="14"/>
  <c r="B54" i="14"/>
  <c r="B67" i="14"/>
  <c r="B66" i="14"/>
  <c r="B65" i="14"/>
  <c r="B64" i="14"/>
  <c r="B63" i="14"/>
  <c r="B59" i="14"/>
  <c r="B58" i="14"/>
  <c r="B57" i="14"/>
  <c r="B56" i="14"/>
  <c r="B55" i="14"/>
  <c r="B31" i="14"/>
  <c r="B30" i="14"/>
  <c r="B29" i="14"/>
  <c r="B28" i="14"/>
  <c r="M111" i="14"/>
  <c r="L111" i="14"/>
  <c r="K111" i="14"/>
  <c r="K116" i="14" s="1"/>
  <c r="J111" i="14"/>
  <c r="I111" i="14"/>
  <c r="C111" i="14"/>
  <c r="D111" i="14" s="1"/>
  <c r="E111" i="14" s="1"/>
  <c r="F111" i="14" s="1"/>
  <c r="G111" i="14" s="1"/>
  <c r="H111" i="14" s="1"/>
  <c r="H62" i="14"/>
  <c r="G62" i="14"/>
  <c r="F62" i="14"/>
  <c r="E62" i="14"/>
  <c r="D62" i="14"/>
  <c r="C62" i="14"/>
  <c r="H35" i="14"/>
  <c r="G35" i="14"/>
  <c r="F35" i="14"/>
  <c r="E35" i="14"/>
  <c r="D35" i="14"/>
  <c r="C35" i="14"/>
  <c r="B27" i="14"/>
  <c r="M92" i="14"/>
  <c r="L92" i="14"/>
  <c r="K92" i="14"/>
  <c r="J92" i="14"/>
  <c r="I92" i="14"/>
  <c r="G92" i="14"/>
  <c r="F92" i="14"/>
  <c r="E92" i="14"/>
  <c r="C85" i="14"/>
  <c r="C81" i="14"/>
  <c r="C80" i="14"/>
  <c r="C107" i="14"/>
  <c r="C106" i="14"/>
  <c r="C105" i="14"/>
  <c r="B105" i="14" s="1"/>
  <c r="C104" i="14"/>
  <c r="C103" i="14"/>
  <c r="B103" i="14" s="1"/>
  <c r="C108" i="14"/>
  <c r="C83" i="14"/>
  <c r="C59" i="14"/>
  <c r="C57" i="14"/>
  <c r="C56" i="14"/>
  <c r="C55" i="14"/>
  <c r="C58" i="14"/>
  <c r="C30" i="14"/>
  <c r="C32" i="14"/>
  <c r="I90" i="14"/>
  <c r="I89" i="14"/>
  <c r="I88" i="14"/>
  <c r="I87" i="14"/>
  <c r="I86" i="14"/>
  <c r="G75" i="14"/>
  <c r="G87" i="14" s="1"/>
  <c r="D84" i="14"/>
  <c r="D108" i="14"/>
  <c r="B108" i="14" s="1"/>
  <c r="D85" i="14"/>
  <c r="H108" i="14"/>
  <c r="H109" i="14" s="1"/>
  <c r="G108" i="14"/>
  <c r="G107" i="14"/>
  <c r="D107" i="14"/>
  <c r="E106" i="14"/>
  <c r="E105" i="14"/>
  <c r="D105" i="14"/>
  <c r="D104" i="14"/>
  <c r="M109" i="14"/>
  <c r="L109" i="14"/>
  <c r="K109" i="14"/>
  <c r="J109" i="14"/>
  <c r="I109" i="14"/>
  <c r="F98" i="14"/>
  <c r="F106" i="14" s="1"/>
  <c r="E98" i="14"/>
  <c r="E108" i="14" s="1"/>
  <c r="H90" i="14"/>
  <c r="B90" i="14" s="1"/>
  <c r="H87" i="14"/>
  <c r="H86" i="14"/>
  <c r="D86" i="14"/>
  <c r="B86" i="14" s="1"/>
  <c r="D83" i="14"/>
  <c r="D82" i="14"/>
  <c r="I75" i="14"/>
  <c r="H89" i="14"/>
  <c r="F75" i="14"/>
  <c r="F88" i="14" s="1"/>
  <c r="E75" i="14"/>
  <c r="E87" i="14" s="1"/>
  <c r="H59" i="14"/>
  <c r="H60" i="14" s="1"/>
  <c r="G59" i="14"/>
  <c r="F59" i="14"/>
  <c r="G58" i="14"/>
  <c r="F58" i="14"/>
  <c r="F57" i="14"/>
  <c r="M62" i="14"/>
  <c r="L62" i="14"/>
  <c r="K62" i="14"/>
  <c r="K66" i="14" s="1"/>
  <c r="J62" i="14"/>
  <c r="I62" i="14"/>
  <c r="M60" i="14"/>
  <c r="L60" i="14"/>
  <c r="L66" i="14" s="1"/>
  <c r="K60" i="14"/>
  <c r="J60" i="14"/>
  <c r="I49" i="14"/>
  <c r="I60" i="14" s="1"/>
  <c r="E49" i="14"/>
  <c r="E59" i="14" s="1"/>
  <c r="D49" i="14"/>
  <c r="D56" i="14" s="1"/>
  <c r="M35" i="14"/>
  <c r="L35" i="14"/>
  <c r="K35" i="14"/>
  <c r="J35" i="14"/>
  <c r="I35" i="14"/>
  <c r="E32" i="14"/>
  <c r="E31" i="14"/>
  <c r="E30" i="14"/>
  <c r="E29" i="14"/>
  <c r="K22" i="14"/>
  <c r="K33" i="14" s="1"/>
  <c r="I22" i="14"/>
  <c r="I33" i="14" s="1"/>
  <c r="M33" i="14"/>
  <c r="L33" i="14"/>
  <c r="J22" i="14"/>
  <c r="J33" i="14" s="1"/>
  <c r="H6" i="14"/>
  <c r="G32" i="14"/>
  <c r="F22" i="14"/>
  <c r="F6" i="14" s="1"/>
  <c r="D22" i="14"/>
  <c r="D31" i="14" s="1"/>
  <c r="B106" i="14" l="1"/>
  <c r="B107" i="14"/>
  <c r="B104" i="14"/>
  <c r="C109" i="14"/>
  <c r="B83" i="14"/>
  <c r="B85" i="14"/>
  <c r="B81" i="14"/>
  <c r="H116" i="14"/>
  <c r="C60" i="14"/>
  <c r="C84" i="14"/>
  <c r="B84" i="14" s="1"/>
  <c r="C29" i="14"/>
  <c r="C82" i="14"/>
  <c r="B82" i="14" s="1"/>
  <c r="C31" i="14"/>
  <c r="C6" i="14"/>
  <c r="C28" i="14"/>
  <c r="D29" i="14"/>
  <c r="F86" i="14"/>
  <c r="L67" i="14"/>
  <c r="K67" i="14"/>
  <c r="I66" i="14"/>
  <c r="M66" i="14"/>
  <c r="F60" i="14"/>
  <c r="F65" i="14" s="1"/>
  <c r="F83" i="14"/>
  <c r="F85" i="14"/>
  <c r="F87" i="14"/>
  <c r="K115" i="14"/>
  <c r="I112" i="14"/>
  <c r="D106" i="14"/>
  <c r="E6" i="14"/>
  <c r="E56" i="14"/>
  <c r="E84" i="14"/>
  <c r="I6" i="14"/>
  <c r="F84" i="14"/>
  <c r="E57" i="14"/>
  <c r="E60" i="14" s="1"/>
  <c r="E33" i="14"/>
  <c r="E39" i="14" s="1"/>
  <c r="E85" i="14"/>
  <c r="G60" i="14"/>
  <c r="G66" i="14" s="1"/>
  <c r="D81" i="14"/>
  <c r="D92" i="14" s="1"/>
  <c r="I115" i="14"/>
  <c r="M116" i="14"/>
  <c r="M118" i="14" s="1"/>
  <c r="J115" i="14"/>
  <c r="D109" i="14"/>
  <c r="D112" i="14" s="1"/>
  <c r="H114" i="14"/>
  <c r="G109" i="14"/>
  <c r="H115" i="14"/>
  <c r="I63" i="14"/>
  <c r="I67" i="14"/>
  <c r="M67" i="14"/>
  <c r="J66" i="14"/>
  <c r="H65" i="14"/>
  <c r="H64" i="14"/>
  <c r="H66" i="14"/>
  <c r="H63" i="14"/>
  <c r="F63" i="14"/>
  <c r="G65" i="14"/>
  <c r="G64" i="14"/>
  <c r="L64" i="14"/>
  <c r="L65" i="14"/>
  <c r="G89" i="14"/>
  <c r="F107" i="14"/>
  <c r="M6" i="14"/>
  <c r="I113" i="14"/>
  <c r="J114" i="14"/>
  <c r="I116" i="14"/>
  <c r="G6" i="14"/>
  <c r="K6" i="14"/>
  <c r="D58" i="14"/>
  <c r="D59" i="14"/>
  <c r="J64" i="14"/>
  <c r="J65" i="14"/>
  <c r="J67" i="14"/>
  <c r="G84" i="14"/>
  <c r="G85" i="14"/>
  <c r="G88" i="14"/>
  <c r="D32" i="14"/>
  <c r="D57" i="14"/>
  <c r="E58" i="14"/>
  <c r="K64" i="14"/>
  <c r="K65" i="14"/>
  <c r="E82" i="14"/>
  <c r="H85" i="14"/>
  <c r="G86" i="14"/>
  <c r="H88" i="14"/>
  <c r="B88" i="14" s="1"/>
  <c r="E107" i="14"/>
  <c r="H112" i="14"/>
  <c r="J113" i="14"/>
  <c r="K114" i="14"/>
  <c r="J116" i="14"/>
  <c r="D6" i="14"/>
  <c r="L6" i="14"/>
  <c r="D55" i="14"/>
  <c r="F108" i="14"/>
  <c r="L115" i="14"/>
  <c r="D28" i="14"/>
  <c r="I64" i="14"/>
  <c r="M64" i="14"/>
  <c r="I65" i="14"/>
  <c r="M65" i="14"/>
  <c r="E83" i="14"/>
  <c r="E86" i="14"/>
  <c r="H113" i="14"/>
  <c r="I114" i="14"/>
  <c r="D116" i="14"/>
  <c r="L116" i="14"/>
  <c r="J6" i="14"/>
  <c r="F109" i="14"/>
  <c r="K39" i="14"/>
  <c r="K38" i="14"/>
  <c r="K40" i="14"/>
  <c r="L40" i="14"/>
  <c r="L39" i="14"/>
  <c r="J40" i="14"/>
  <c r="J37" i="14"/>
  <c r="J39" i="14"/>
  <c r="J38" i="14"/>
  <c r="I39" i="14"/>
  <c r="I38" i="14"/>
  <c r="I40" i="14"/>
  <c r="I37" i="14"/>
  <c r="I36" i="14"/>
  <c r="F31" i="14"/>
  <c r="F32" i="14"/>
  <c r="H32" i="14"/>
  <c r="M40" i="14"/>
  <c r="M42" i="14" s="1"/>
  <c r="D30" i="14"/>
  <c r="F30" i="14"/>
  <c r="G31" i="14"/>
  <c r="G33" i="14" s="1"/>
  <c r="H92" i="14" l="1"/>
  <c r="H33" i="14"/>
  <c r="H38" i="14" s="1"/>
  <c r="B38" i="14" s="1"/>
  <c r="B32" i="14"/>
  <c r="C92" i="14"/>
  <c r="H118" i="14"/>
  <c r="E40" i="14"/>
  <c r="E36" i="14"/>
  <c r="E38" i="14"/>
  <c r="E37" i="14"/>
  <c r="D115" i="14"/>
  <c r="C116" i="14"/>
  <c r="B116" i="14" s="1"/>
  <c r="C33" i="14"/>
  <c r="C36" i="14" s="1"/>
  <c r="C112" i="14"/>
  <c r="B112" i="14" s="1"/>
  <c r="C115" i="14"/>
  <c r="B115" i="14" s="1"/>
  <c r="C114" i="14"/>
  <c r="C69" i="14"/>
  <c r="J42" i="14"/>
  <c r="K118" i="14"/>
  <c r="D114" i="14"/>
  <c r="F64" i="14"/>
  <c r="L42" i="14"/>
  <c r="G63" i="14"/>
  <c r="G69" i="14" s="1"/>
  <c r="I69" i="14"/>
  <c r="I118" i="14"/>
  <c r="L118" i="14"/>
  <c r="J118" i="14"/>
  <c r="G115" i="14"/>
  <c r="G112" i="14"/>
  <c r="G113" i="14"/>
  <c r="G116" i="14"/>
  <c r="G114" i="14"/>
  <c r="E109" i="14"/>
  <c r="E115" i="14" s="1"/>
  <c r="D113" i="14"/>
  <c r="D118" i="14" s="1"/>
  <c r="K69" i="14"/>
  <c r="J69" i="14"/>
  <c r="F69" i="14"/>
  <c r="D60" i="14"/>
  <c r="D63" i="14" s="1"/>
  <c r="H69" i="14"/>
  <c r="D33" i="14"/>
  <c r="D39" i="14" s="1"/>
  <c r="E64" i="14"/>
  <c r="E63" i="14"/>
  <c r="E113" i="14"/>
  <c r="F112" i="14"/>
  <c r="F116" i="14"/>
  <c r="F113" i="14"/>
  <c r="F115" i="14"/>
  <c r="F114" i="14"/>
  <c r="M69" i="14"/>
  <c r="F33" i="14"/>
  <c r="F39" i="14" s="1"/>
  <c r="L69" i="14"/>
  <c r="K42" i="14"/>
  <c r="I42" i="14"/>
  <c r="F40" i="14"/>
  <c r="G37" i="14"/>
  <c r="G39" i="14"/>
  <c r="G38" i="14"/>
  <c r="G36" i="14"/>
  <c r="G40" i="14"/>
  <c r="H40" i="14"/>
  <c r="B40" i="14" s="1"/>
  <c r="M9" i="14" s="1"/>
  <c r="M13" i="14" s="1"/>
  <c r="H37" i="14"/>
  <c r="B37" i="14" s="1"/>
  <c r="H36" i="14"/>
  <c r="B36" i="14" s="1"/>
  <c r="H39" i="14"/>
  <c r="B39" i="14" s="1"/>
  <c r="L9" i="14" s="1"/>
  <c r="L13" i="14" s="1"/>
  <c r="B114" i="14" l="1"/>
  <c r="F37" i="14"/>
  <c r="E42" i="14"/>
  <c r="D36" i="14"/>
  <c r="D37" i="14"/>
  <c r="C38" i="14"/>
  <c r="C113" i="14"/>
  <c r="B113" i="14" s="1"/>
  <c r="C39" i="14"/>
  <c r="D38" i="14"/>
  <c r="D40" i="14"/>
  <c r="C40" i="14"/>
  <c r="C37" i="14"/>
  <c r="F38" i="14"/>
  <c r="F36" i="14"/>
  <c r="F42" i="14" s="1"/>
  <c r="H42" i="14"/>
  <c r="G118" i="14"/>
  <c r="F118" i="14"/>
  <c r="E116" i="14"/>
  <c r="E114" i="14"/>
  <c r="E112" i="14"/>
  <c r="E69" i="14"/>
  <c r="G42" i="14"/>
  <c r="D69" i="14"/>
  <c r="C118" i="14" l="1"/>
  <c r="D42" i="14"/>
  <c r="E118" i="14"/>
</calcChain>
</file>

<file path=xl/comments1.xml><?xml version="1.0" encoding="utf-8"?>
<comments xmlns="http://schemas.openxmlformats.org/spreadsheetml/2006/main">
  <authors>
    <author>Leanne Veurtjes</author>
  </authors>
  <commentList>
    <comment ref="A35" authorId="0">
      <text>
        <r>
          <rPr>
            <b/>
            <sz val="9"/>
            <color indexed="81"/>
            <rFont val="Tahoma"/>
            <family val="2"/>
          </rPr>
          <t>remaining useful life</t>
        </r>
      </text>
    </comment>
    <comment ref="A62" authorId="0">
      <text>
        <r>
          <rPr>
            <b/>
            <sz val="9"/>
            <color indexed="81"/>
            <rFont val="Tahoma"/>
            <family val="2"/>
          </rPr>
          <t>remaining useful life</t>
        </r>
      </text>
    </comment>
    <comment ref="A111" authorId="0">
      <text>
        <r>
          <rPr>
            <b/>
            <sz val="9"/>
            <color indexed="81"/>
            <rFont val="Tahoma"/>
            <family val="2"/>
          </rPr>
          <t>remaining useful life</t>
        </r>
      </text>
    </comment>
  </commentList>
</comments>
</file>

<file path=xl/sharedStrings.xml><?xml version="1.0" encoding="utf-8"?>
<sst xmlns="http://schemas.openxmlformats.org/spreadsheetml/2006/main" count="44" uniqueCount="18">
  <si>
    <t>Other Equipment</t>
  </si>
  <si>
    <t>Useful Life</t>
  </si>
  <si>
    <t>SMART METER CAPITAL</t>
  </si>
  <si>
    <t>Addition</t>
  </si>
  <si>
    <t>NBV</t>
  </si>
  <si>
    <t>Disposals asset removal</t>
  </si>
  <si>
    <t>COMPUTER HARDWARE</t>
  </si>
  <si>
    <t>OTHER EQUIPMENT</t>
  </si>
  <si>
    <t>COMPUTER SOFTWARE and APPLICATION SOFTWARE</t>
  </si>
  <si>
    <t>DEPRECIATION SUMMARY</t>
  </si>
  <si>
    <t>DEPRECIATION DETAIL SCHEDULES</t>
  </si>
  <si>
    <t>Disposals accumulated depreciation</t>
  </si>
  <si>
    <t>Capital Additions</t>
  </si>
  <si>
    <t>Remaining Useful Life</t>
  </si>
  <si>
    <t>Depreciation Expense</t>
  </si>
  <si>
    <t>Smart Meter Capital</t>
  </si>
  <si>
    <t>Computer Hardware</t>
  </si>
  <si>
    <t>Computer Softw &amp; Appl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</si>
</sst>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9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9"/>
      <color indexed="81"/>
      <name val="Tahoma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u/>
      <sz val="11"/>
      <color theme="1"/>
      <name val="Arial"/>
      <family val="2"/>
    </font>
    <font>
      <i/>
      <sz val="10"/>
      <color theme="1"/>
      <name val="Arial"/>
      <family val="2"/>
    </font>
    <font>
      <u/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8">
    <xf numFmtId="0" fontId="0" fillId="0" borderId="0" xfId="0"/>
    <xf numFmtId="0" fontId="0" fillId="0" borderId="0" xfId="0" applyAlignment="1">
      <alignment horizontal="left"/>
    </xf>
    <xf numFmtId="164" fontId="0" fillId="0" borderId="0" xfId="0" applyNumberFormat="1"/>
    <xf numFmtId="0" fontId="0" fillId="0" borderId="0" xfId="0"/>
    <xf numFmtId="0" fontId="4" fillId="0" borderId="0" xfId="0" applyFont="1"/>
    <xf numFmtId="0" fontId="5" fillId="0" borderId="0" xfId="0" applyFont="1"/>
    <xf numFmtId="0" fontId="5" fillId="0" borderId="0" xfId="0" applyNumberFormat="1" applyFont="1"/>
    <xf numFmtId="0" fontId="0" fillId="3" borderId="0" xfId="0" applyFill="1"/>
    <xf numFmtId="0" fontId="4" fillId="3" borderId="0" xfId="0" applyFont="1" applyFill="1"/>
    <xf numFmtId="0" fontId="0" fillId="3" borderId="11" xfId="0" applyFill="1" applyBorder="1" applyAlignment="1">
      <alignment horizontal="center"/>
    </xf>
    <xf numFmtId="0" fontId="0" fillId="3" borderId="7" xfId="0" applyFill="1" applyBorder="1"/>
    <xf numFmtId="0" fontId="4" fillId="3" borderId="7" xfId="0" applyFont="1" applyFill="1" applyBorder="1"/>
    <xf numFmtId="164" fontId="0" fillId="3" borderId="7" xfId="0" applyNumberFormat="1" applyFill="1" applyBorder="1"/>
    <xf numFmtId="0" fontId="0" fillId="3" borderId="0" xfId="0" applyFill="1" applyAlignment="1">
      <alignment horizontal="left"/>
    </xf>
    <xf numFmtId="43" fontId="0" fillId="3" borderId="0" xfId="1" applyFont="1" applyFill="1"/>
    <xf numFmtId="0" fontId="4" fillId="3" borderId="10" xfId="0" applyFont="1" applyFill="1" applyBorder="1"/>
    <xf numFmtId="0" fontId="4" fillId="3" borderId="11" xfId="0" applyFont="1" applyFill="1" applyBorder="1"/>
    <xf numFmtId="164" fontId="0" fillId="3" borderId="11" xfId="0" applyNumberFormat="1" applyFill="1" applyBorder="1"/>
    <xf numFmtId="43" fontId="4" fillId="3" borderId="10" xfId="1" applyFont="1" applyFill="1" applyBorder="1"/>
    <xf numFmtId="43" fontId="1" fillId="3" borderId="10" xfId="1" applyFont="1" applyFill="1" applyBorder="1"/>
    <xf numFmtId="0" fontId="0" fillId="3" borderId="4" xfId="0" applyFill="1" applyBorder="1"/>
    <xf numFmtId="0" fontId="4" fillId="3" borderId="0" xfId="0" applyFont="1" applyFill="1" applyBorder="1"/>
    <xf numFmtId="0" fontId="0" fillId="3" borderId="0" xfId="0" applyFill="1" applyBorder="1"/>
    <xf numFmtId="0" fontId="0" fillId="3" borderId="5" xfId="0" applyFill="1" applyBorder="1"/>
    <xf numFmtId="0" fontId="0" fillId="3" borderId="16" xfId="0" applyFill="1" applyBorder="1" applyAlignment="1">
      <alignment horizontal="center"/>
    </xf>
    <xf numFmtId="164" fontId="0" fillId="3" borderId="0" xfId="0" applyNumberFormat="1" applyFill="1" applyBorder="1"/>
    <xf numFmtId="164" fontId="0" fillId="3" borderId="5" xfId="0" applyNumberFormat="1" applyFill="1" applyBorder="1"/>
    <xf numFmtId="0" fontId="0" fillId="3" borderId="17" xfId="0" applyFill="1" applyBorder="1"/>
    <xf numFmtId="164" fontId="0" fillId="3" borderId="0" xfId="1" applyNumberFormat="1" applyFont="1" applyFill="1" applyBorder="1"/>
    <xf numFmtId="164" fontId="0" fillId="3" borderId="5" xfId="1" applyNumberFormat="1" applyFont="1" applyFill="1" applyBorder="1"/>
    <xf numFmtId="164" fontId="0" fillId="3" borderId="16" xfId="0" applyNumberFormat="1" applyFill="1" applyBorder="1"/>
    <xf numFmtId="0" fontId="0" fillId="3" borderId="6" xfId="0" applyFill="1" applyBorder="1"/>
    <xf numFmtId="0" fontId="0" fillId="3" borderId="8" xfId="0" applyFill="1" applyBorder="1"/>
    <xf numFmtId="0" fontId="6" fillId="3" borderId="18" xfId="0" applyFont="1" applyFill="1" applyBorder="1"/>
    <xf numFmtId="0" fontId="4" fillId="3" borderId="12" xfId="0" applyFont="1" applyFill="1" applyBorder="1"/>
    <xf numFmtId="0" fontId="0" fillId="3" borderId="12" xfId="0" applyFill="1" applyBorder="1"/>
    <xf numFmtId="164" fontId="0" fillId="3" borderId="12" xfId="0" applyNumberFormat="1" applyFill="1" applyBorder="1"/>
    <xf numFmtId="0" fontId="0" fillId="3" borderId="19" xfId="0" applyFill="1" applyBorder="1"/>
    <xf numFmtId="0" fontId="0" fillId="3" borderId="20" xfId="0" applyFill="1" applyBorder="1"/>
    <xf numFmtId="0" fontId="0" fillId="3" borderId="21" xfId="0" applyFill="1" applyBorder="1"/>
    <xf numFmtId="0" fontId="0" fillId="3" borderId="22" xfId="0" applyFill="1" applyBorder="1" applyAlignment="1">
      <alignment horizontal="center"/>
    </xf>
    <xf numFmtId="0" fontId="0" fillId="3" borderId="0" xfId="0" applyFill="1" applyBorder="1" applyAlignment="1">
      <alignment horizontal="right"/>
    </xf>
    <xf numFmtId="164" fontId="0" fillId="3" borderId="21" xfId="1" applyNumberFormat="1" applyFont="1" applyFill="1" applyBorder="1"/>
    <xf numFmtId="0" fontId="5" fillId="2" borderId="20" xfId="0" applyFont="1" applyFill="1" applyBorder="1" applyAlignment="1">
      <alignment horizontal="left"/>
    </xf>
    <xf numFmtId="0" fontId="5" fillId="2" borderId="0" xfId="0" applyFont="1" applyFill="1" applyBorder="1" applyAlignment="1">
      <alignment horizontal="center"/>
    </xf>
    <xf numFmtId="0" fontId="5" fillId="2" borderId="21" xfId="0" applyFont="1" applyFill="1" applyBorder="1" applyAlignment="1">
      <alignment horizontal="center"/>
    </xf>
    <xf numFmtId="43" fontId="5" fillId="2" borderId="0" xfId="0" applyNumberFormat="1" applyFont="1" applyFill="1" applyBorder="1" applyAlignment="1">
      <alignment horizontal="center"/>
    </xf>
    <xf numFmtId="0" fontId="8" fillId="3" borderId="20" xfId="0" applyFont="1" applyFill="1" applyBorder="1" applyAlignment="1">
      <alignment horizontal="left"/>
    </xf>
    <xf numFmtId="0" fontId="0" fillId="3" borderId="20" xfId="0" applyFill="1" applyBorder="1" applyAlignment="1">
      <alignment horizontal="left"/>
    </xf>
    <xf numFmtId="43" fontId="7" fillId="3" borderId="0" xfId="0" applyNumberFormat="1" applyFont="1" applyFill="1" applyBorder="1"/>
    <xf numFmtId="43" fontId="0" fillId="3" borderId="0" xfId="1" applyFont="1" applyFill="1" applyBorder="1"/>
    <xf numFmtId="43" fontId="4" fillId="3" borderId="0" xfId="0" applyNumberFormat="1" applyFont="1" applyFill="1" applyBorder="1"/>
    <xf numFmtId="43" fontId="0" fillId="3" borderId="0" xfId="0" applyNumberFormat="1" applyFill="1" applyBorder="1"/>
    <xf numFmtId="0" fontId="0" fillId="3" borderId="20" xfId="0" applyFont="1" applyFill="1" applyBorder="1" applyAlignment="1">
      <alignment horizontal="left"/>
    </xf>
    <xf numFmtId="43" fontId="0" fillId="3" borderId="0" xfId="0" applyNumberFormat="1" applyFont="1" applyFill="1" applyBorder="1"/>
    <xf numFmtId="43" fontId="0" fillId="3" borderId="21" xfId="0" applyNumberFormat="1" applyFont="1" applyFill="1" applyBorder="1"/>
    <xf numFmtId="0" fontId="5" fillId="2" borderId="20" xfId="0" applyNumberFormat="1" applyFont="1" applyFill="1" applyBorder="1" applyAlignment="1">
      <alignment horizontal="left"/>
    </xf>
    <xf numFmtId="0" fontId="5" fillId="2" borderId="0" xfId="0" applyNumberFormat="1" applyFont="1" applyFill="1" applyBorder="1" applyAlignment="1">
      <alignment horizontal="center"/>
    </xf>
    <xf numFmtId="0" fontId="5" fillId="2" borderId="21" xfId="0" applyNumberFormat="1" applyFont="1" applyFill="1" applyBorder="1" applyAlignment="1">
      <alignment horizontal="center"/>
    </xf>
    <xf numFmtId="43" fontId="0" fillId="3" borderId="21" xfId="1" applyFont="1" applyFill="1" applyBorder="1"/>
    <xf numFmtId="0" fontId="0" fillId="3" borderId="9" xfId="0" applyFont="1" applyFill="1" applyBorder="1" applyAlignment="1">
      <alignment horizontal="left"/>
    </xf>
    <xf numFmtId="43" fontId="1" fillId="3" borderId="23" xfId="1" applyFont="1" applyFill="1" applyBorder="1"/>
    <xf numFmtId="0" fontId="2" fillId="3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13" xfId="0" applyFont="1" applyFill="1" applyBorder="1" applyAlignment="1">
      <alignment horizontal="center"/>
    </xf>
    <xf numFmtId="0" fontId="2" fillId="3" borderId="14" xfId="0" applyFont="1" applyFill="1" applyBorder="1" applyAlignment="1">
      <alignment horizontal="center"/>
    </xf>
    <xf numFmtId="0" fontId="2" fillId="3" borderId="15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FFFF99"/>
      <color rgb="FFFFFFCC"/>
      <color rgb="FF99FF66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N126"/>
  <sheetViews>
    <sheetView tabSelected="1" zoomScale="130" zoomScaleNormal="130" workbookViewId="0">
      <selection activeCell="C82" sqref="C82"/>
    </sheetView>
  </sheetViews>
  <sheetFormatPr defaultRowHeight="14.25" x14ac:dyDescent="0.2"/>
  <cols>
    <col min="2" max="2" width="11.25" style="4" bestFit="1" customWidth="1"/>
    <col min="3" max="3" width="11.75" style="3" bestFit="1" customWidth="1"/>
    <col min="4" max="4" width="11.5" bestFit="1" customWidth="1"/>
    <col min="5" max="5" width="13" bestFit="1" customWidth="1"/>
    <col min="6" max="7" width="11.5" bestFit="1" customWidth="1"/>
    <col min="8" max="8" width="10.375" bestFit="1" customWidth="1"/>
    <col min="9" max="9" width="11" bestFit="1" customWidth="1"/>
    <col min="10" max="10" width="10.375" bestFit="1" customWidth="1"/>
    <col min="11" max="14" width="11.5" bestFit="1" customWidth="1"/>
  </cols>
  <sheetData>
    <row r="1" spans="1:14" s="3" customFormat="1" x14ac:dyDescent="0.2">
      <c r="A1" s="7"/>
      <c r="B1" s="8"/>
      <c r="C1" s="7"/>
      <c r="D1" s="7"/>
      <c r="E1" s="7"/>
      <c r="F1" s="7"/>
      <c r="G1" s="7"/>
      <c r="H1" s="7"/>
      <c r="I1" s="7"/>
      <c r="J1" s="7"/>
      <c r="K1" s="7"/>
      <c r="L1" s="7"/>
      <c r="M1" s="7"/>
    </row>
    <row r="2" spans="1:14" s="3" customFormat="1" ht="15" thickBot="1" x14ac:dyDescent="0.25">
      <c r="A2" s="7"/>
      <c r="B2" s="8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spans="1:14" s="3" customFormat="1" ht="15" x14ac:dyDescent="0.25">
      <c r="A3" s="62" t="s">
        <v>9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4"/>
    </row>
    <row r="4" spans="1:14" s="3" customFormat="1" x14ac:dyDescent="0.2">
      <c r="A4" s="20"/>
      <c r="B4" s="21"/>
      <c r="C4" s="22"/>
      <c r="D4" s="22"/>
      <c r="E4" s="22"/>
      <c r="F4" s="22"/>
      <c r="G4" s="22"/>
      <c r="H4" s="22"/>
      <c r="I4" s="22"/>
      <c r="J4" s="22"/>
      <c r="K4" s="22"/>
      <c r="L4" s="22"/>
      <c r="M4" s="23"/>
    </row>
    <row r="5" spans="1:14" s="3" customFormat="1" x14ac:dyDescent="0.2">
      <c r="A5" s="20"/>
      <c r="B5" s="21"/>
      <c r="C5" s="9">
        <v>2008</v>
      </c>
      <c r="D5" s="9">
        <v>2009</v>
      </c>
      <c r="E5" s="9">
        <v>2010</v>
      </c>
      <c r="F5" s="9">
        <v>2011</v>
      </c>
      <c r="G5" s="9">
        <v>2012</v>
      </c>
      <c r="H5" s="9">
        <v>2013</v>
      </c>
      <c r="I5" s="9">
        <v>2014</v>
      </c>
      <c r="J5" s="9">
        <v>2015</v>
      </c>
      <c r="K5" s="9">
        <v>2016</v>
      </c>
      <c r="L5" s="9">
        <v>2017</v>
      </c>
      <c r="M5" s="24">
        <v>2018</v>
      </c>
    </row>
    <row r="6" spans="1:14" s="3" customFormat="1" x14ac:dyDescent="0.2">
      <c r="A6" s="20" t="s">
        <v>12</v>
      </c>
      <c r="B6" s="21"/>
      <c r="C6" s="25">
        <f t="shared" ref="C6:M6" si="0">C22+C49+C75+C98</f>
        <v>606500</v>
      </c>
      <c r="D6" s="25">
        <f t="shared" si="0"/>
        <v>616978</v>
      </c>
      <c r="E6" s="25">
        <f t="shared" si="0"/>
        <v>3589076.24</v>
      </c>
      <c r="F6" s="25">
        <f t="shared" si="0"/>
        <v>1234452.42</v>
      </c>
      <c r="G6" s="25">
        <f t="shared" si="0"/>
        <v>175962.65</v>
      </c>
      <c r="H6" s="25">
        <f t="shared" si="0"/>
        <v>63807.91</v>
      </c>
      <c r="I6" s="25">
        <f t="shared" si="0"/>
        <v>135650.71</v>
      </c>
      <c r="J6" s="25">
        <f t="shared" si="0"/>
        <v>99007.950000000012</v>
      </c>
      <c r="K6" s="25">
        <f t="shared" si="0"/>
        <v>116286.89</v>
      </c>
      <c r="L6" s="25">
        <f t="shared" si="0"/>
        <v>88000</v>
      </c>
      <c r="M6" s="26">
        <f t="shared" si="0"/>
        <v>129000</v>
      </c>
      <c r="N6" s="2"/>
    </row>
    <row r="7" spans="1:14" s="3" customFormat="1" x14ac:dyDescent="0.2">
      <c r="A7" s="20"/>
      <c r="B7" s="21"/>
      <c r="C7" s="25"/>
      <c r="D7" s="25"/>
      <c r="E7" s="25"/>
      <c r="F7" s="25"/>
      <c r="G7" s="25"/>
      <c r="H7" s="25"/>
      <c r="I7" s="25"/>
      <c r="J7" s="25"/>
      <c r="K7" s="25"/>
      <c r="L7" s="25"/>
      <c r="M7" s="26"/>
      <c r="N7" s="2"/>
    </row>
    <row r="8" spans="1:14" s="3" customFormat="1" x14ac:dyDescent="0.2">
      <c r="A8" s="27" t="s">
        <v>14</v>
      </c>
      <c r="B8" s="16"/>
      <c r="C8" s="28"/>
      <c r="D8" s="28"/>
      <c r="E8" s="28"/>
      <c r="F8" s="28"/>
      <c r="G8" s="28"/>
      <c r="H8" s="28"/>
      <c r="I8" s="28"/>
      <c r="J8" s="28"/>
      <c r="K8" s="28"/>
      <c r="L8" s="28"/>
      <c r="M8" s="29"/>
    </row>
    <row r="9" spans="1:14" s="3" customFormat="1" x14ac:dyDescent="0.2">
      <c r="A9" s="20" t="s">
        <v>15</v>
      </c>
      <c r="B9" s="21"/>
      <c r="C9" s="25">
        <f>B27</f>
        <v>0</v>
      </c>
      <c r="D9" s="25">
        <f>$B28</f>
        <v>12436.8</v>
      </c>
      <c r="E9" s="25">
        <f>$B29</f>
        <v>131830.97433333335</v>
      </c>
      <c r="F9" s="25">
        <f>$B30</f>
        <v>271029.85733333341</v>
      </c>
      <c r="G9" s="25">
        <f>$B31</f>
        <v>307492.86600000004</v>
      </c>
      <c r="H9" s="25">
        <f>$B32</f>
        <v>313841.29633333336</v>
      </c>
      <c r="I9" s="25">
        <f>$B36</f>
        <v>424366.17591098114</v>
      </c>
      <c r="J9" s="25">
        <f>$B37</f>
        <v>434418.22674431448</v>
      </c>
      <c r="K9" s="25">
        <f>$B38</f>
        <v>437107.8150776478</v>
      </c>
      <c r="L9" s="25">
        <f>$B39</f>
        <v>451900.79882764781</v>
      </c>
      <c r="M9" s="26">
        <f>$B40</f>
        <v>460942.46549431444</v>
      </c>
    </row>
    <row r="10" spans="1:14" s="3" customFormat="1" x14ac:dyDescent="0.2">
      <c r="A10" s="20" t="s">
        <v>16</v>
      </c>
      <c r="B10" s="21"/>
      <c r="C10" s="25">
        <f>B54</f>
        <v>0</v>
      </c>
      <c r="D10" s="25">
        <f>$B55</f>
        <v>1181.0999999999999</v>
      </c>
      <c r="E10" s="25">
        <f>$B56</f>
        <v>16797</v>
      </c>
      <c r="F10" s="25">
        <f>$B57</f>
        <v>31231.8</v>
      </c>
      <c r="G10" s="25">
        <f>$B58</f>
        <v>31231.8</v>
      </c>
      <c r="H10" s="25">
        <f>$B59</f>
        <v>31231.8</v>
      </c>
      <c r="I10" s="25">
        <f>$B63</f>
        <v>35409.093749999993</v>
      </c>
      <c r="J10" s="25">
        <f>$B64</f>
        <v>25151.587499999998</v>
      </c>
      <c r="K10" s="25">
        <f>$B65</f>
        <v>10716.7875</v>
      </c>
      <c r="L10" s="25">
        <f>$B66</f>
        <v>10716.7875</v>
      </c>
      <c r="M10" s="26">
        <f>$B67</f>
        <v>5358.3937500000002</v>
      </c>
    </row>
    <row r="11" spans="1:14" s="3" customFormat="1" x14ac:dyDescent="0.2">
      <c r="A11" s="20" t="s">
        <v>17</v>
      </c>
      <c r="B11" s="21"/>
      <c r="C11" s="25">
        <f>B80</f>
        <v>29433.5</v>
      </c>
      <c r="D11" s="25">
        <f>$B81</f>
        <v>74595.7</v>
      </c>
      <c r="E11" s="25">
        <f>$B82</f>
        <v>107282.50199999999</v>
      </c>
      <c r="F11" s="25">
        <f>$B83</f>
        <v>144634.81999999998</v>
      </c>
      <c r="G11" s="25">
        <f>$B84</f>
        <v>169381.601</v>
      </c>
      <c r="H11" s="25">
        <f>$B85</f>
        <v>144300.666</v>
      </c>
      <c r="I11" s="25">
        <f>$B86</f>
        <v>102427.79099999998</v>
      </c>
      <c r="J11" s="25">
        <f>$B87</f>
        <v>73030.313999999984</v>
      </c>
      <c r="K11" s="25">
        <f>$B88</f>
        <v>35677.995999999999</v>
      </c>
      <c r="L11" s="25">
        <f>$B89</f>
        <v>10931.215</v>
      </c>
      <c r="M11" s="26">
        <f>$B90</f>
        <v>6578.65</v>
      </c>
    </row>
    <row r="12" spans="1:14" s="3" customFormat="1" x14ac:dyDescent="0.2">
      <c r="A12" s="20" t="s">
        <v>0</v>
      </c>
      <c r="B12" s="21"/>
      <c r="C12" s="17">
        <f>B103</f>
        <v>10405.5</v>
      </c>
      <c r="D12" s="17">
        <f>$B104</f>
        <v>23303.533333333333</v>
      </c>
      <c r="E12" s="17">
        <f>$B105</f>
        <v>28010.266333333333</v>
      </c>
      <c r="F12" s="17">
        <f>$B106</f>
        <v>32333.299333333332</v>
      </c>
      <c r="G12" s="17">
        <f>$B107</f>
        <v>34635.19933333333</v>
      </c>
      <c r="H12" s="17">
        <f>$B108</f>
        <v>34828.265999999996</v>
      </c>
      <c r="I12" s="17">
        <f>$B112</f>
        <v>49432.552606697733</v>
      </c>
      <c r="J12" s="17">
        <f>$B113</f>
        <v>49432.552606697733</v>
      </c>
      <c r="K12" s="17">
        <f>$B114</f>
        <v>49432.552606697733</v>
      </c>
      <c r="L12" s="17">
        <f>$B115</f>
        <v>49432.552606697733</v>
      </c>
      <c r="M12" s="30">
        <f>$B116</f>
        <v>49432.552606697733</v>
      </c>
    </row>
    <row r="13" spans="1:14" s="3" customFormat="1" x14ac:dyDescent="0.2">
      <c r="A13" s="20"/>
      <c r="B13" s="21"/>
      <c r="C13" s="25">
        <f t="shared" ref="C13:M13" si="1">SUM(C9:C12)</f>
        <v>39839</v>
      </c>
      <c r="D13" s="25">
        <f t="shared" si="1"/>
        <v>111517.13333333333</v>
      </c>
      <c r="E13" s="25">
        <f t="shared" si="1"/>
        <v>283920.74266666669</v>
      </c>
      <c r="F13" s="25">
        <f t="shared" si="1"/>
        <v>479229.77666666667</v>
      </c>
      <c r="G13" s="25">
        <f t="shared" si="1"/>
        <v>542741.46633333329</v>
      </c>
      <c r="H13" s="25">
        <f t="shared" si="1"/>
        <v>524202.02833333338</v>
      </c>
      <c r="I13" s="25">
        <f t="shared" si="1"/>
        <v>611635.61326767888</v>
      </c>
      <c r="J13" s="25">
        <f t="shared" si="1"/>
        <v>582032.68085101224</v>
      </c>
      <c r="K13" s="25">
        <f t="shared" si="1"/>
        <v>532935.15118434548</v>
      </c>
      <c r="L13" s="25">
        <f t="shared" si="1"/>
        <v>522981.35393434553</v>
      </c>
      <c r="M13" s="26">
        <f t="shared" si="1"/>
        <v>522312.06185101217</v>
      </c>
      <c r="N13" s="2"/>
    </row>
    <row r="14" spans="1:14" s="3" customFormat="1" ht="15" thickBot="1" x14ac:dyDescent="0.25">
      <c r="A14" s="31"/>
      <c r="B14" s="11"/>
      <c r="C14" s="12"/>
      <c r="D14" s="10"/>
      <c r="E14" s="10"/>
      <c r="F14" s="10"/>
      <c r="G14" s="10"/>
      <c r="H14" s="10"/>
      <c r="I14" s="10"/>
      <c r="J14" s="10"/>
      <c r="K14" s="10"/>
      <c r="L14" s="10"/>
      <c r="M14" s="32"/>
    </row>
    <row r="15" spans="1:14" s="3" customFormat="1" x14ac:dyDescent="0.2">
      <c r="A15" s="7"/>
      <c r="B15" s="8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</row>
    <row r="16" spans="1:14" s="3" customFormat="1" ht="15" thickBot="1" x14ac:dyDescent="0.25">
      <c r="A16" s="7"/>
      <c r="B16" s="8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</row>
    <row r="17" spans="1:13" s="3" customFormat="1" ht="15.75" thickBot="1" x14ac:dyDescent="0.3">
      <c r="A17" s="65" t="s">
        <v>10</v>
      </c>
      <c r="B17" s="66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7"/>
    </row>
    <row r="18" spans="1:13" s="3" customFormat="1" x14ac:dyDescent="0.2">
      <c r="A18" s="7"/>
      <c r="B18" s="8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</row>
    <row r="19" spans="1:13" ht="15" x14ac:dyDescent="0.25">
      <c r="A19" s="33" t="s">
        <v>2</v>
      </c>
      <c r="B19" s="34"/>
      <c r="C19" s="35"/>
      <c r="D19" s="35"/>
      <c r="E19" s="35"/>
      <c r="F19" s="35"/>
      <c r="G19" s="36"/>
      <c r="H19" s="35"/>
      <c r="I19" s="35"/>
      <c r="J19" s="35"/>
      <c r="K19" s="35"/>
      <c r="L19" s="35"/>
      <c r="M19" s="37"/>
    </row>
    <row r="20" spans="1:13" x14ac:dyDescent="0.2">
      <c r="A20" s="38"/>
      <c r="B20" s="21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39"/>
    </row>
    <row r="21" spans="1:13" x14ac:dyDescent="0.2">
      <c r="A21" s="38"/>
      <c r="B21" s="21"/>
      <c r="C21" s="9">
        <v>2008</v>
      </c>
      <c r="D21" s="9">
        <v>2009</v>
      </c>
      <c r="E21" s="9">
        <v>2010</v>
      </c>
      <c r="F21" s="9">
        <v>2011</v>
      </c>
      <c r="G21" s="9">
        <v>2012</v>
      </c>
      <c r="H21" s="9">
        <v>2013</v>
      </c>
      <c r="I21" s="9">
        <v>2014</v>
      </c>
      <c r="J21" s="9">
        <v>2015</v>
      </c>
      <c r="K21" s="9">
        <v>2016</v>
      </c>
      <c r="L21" s="9">
        <v>2017</v>
      </c>
      <c r="M21" s="40">
        <v>2018</v>
      </c>
    </row>
    <row r="22" spans="1:13" x14ac:dyDescent="0.2">
      <c r="A22" s="38"/>
      <c r="B22" s="41" t="s">
        <v>3</v>
      </c>
      <c r="C22" s="28"/>
      <c r="D22" s="28">
        <f>52838+185256+17021+39587+33431+44971</f>
        <v>373104</v>
      </c>
      <c r="E22" s="28">
        <v>3208721.2300000004</v>
      </c>
      <c r="F22" s="28">
        <f>673389+15193.83+278662.43</f>
        <v>967245.26</v>
      </c>
      <c r="G22" s="28">
        <v>126645</v>
      </c>
      <c r="H22" s="28">
        <f>-72138.86+32573.48+67.91+98840.38+3895+570</f>
        <v>63807.91</v>
      </c>
      <c r="I22" s="28">
        <f>39624.81-10615.2+0+6895.36-I24+7367</f>
        <v>59890.31</v>
      </c>
      <c r="J22" s="28">
        <f>98609.69+328.66+0+69.6</f>
        <v>99007.950000000012</v>
      </c>
      <c r="K22" s="28">
        <f>98895.64+2635.47-K24</f>
        <v>116286.89</v>
      </c>
      <c r="L22" s="28">
        <v>88000</v>
      </c>
      <c r="M22" s="42">
        <v>129000</v>
      </c>
    </row>
    <row r="23" spans="1:13" s="5" customFormat="1" ht="11.25" x14ac:dyDescent="0.2">
      <c r="A23" s="43" t="s">
        <v>1</v>
      </c>
      <c r="B23" s="44"/>
      <c r="C23" s="44">
        <v>15</v>
      </c>
      <c r="D23" s="44">
        <v>15</v>
      </c>
      <c r="E23" s="44">
        <v>15</v>
      </c>
      <c r="F23" s="44">
        <v>15</v>
      </c>
      <c r="G23" s="44">
        <v>15</v>
      </c>
      <c r="H23" s="44">
        <v>15</v>
      </c>
      <c r="I23" s="44">
        <v>15</v>
      </c>
      <c r="J23" s="44">
        <v>12</v>
      </c>
      <c r="K23" s="44">
        <v>12</v>
      </c>
      <c r="L23" s="44">
        <v>12</v>
      </c>
      <c r="M23" s="45">
        <v>12</v>
      </c>
    </row>
    <row r="24" spans="1:13" s="5" customFormat="1" ht="11.25" x14ac:dyDescent="0.2">
      <c r="A24" s="43" t="s">
        <v>5</v>
      </c>
      <c r="B24" s="44"/>
      <c r="C24" s="44"/>
      <c r="D24" s="44"/>
      <c r="E24" s="44"/>
      <c r="F24" s="44"/>
      <c r="G24" s="44"/>
      <c r="H24" s="44"/>
      <c r="I24" s="46">
        <f>-16618.34</f>
        <v>-16618.34</v>
      </c>
      <c r="J24" s="44"/>
      <c r="K24" s="46">
        <f>-14755.78</f>
        <v>-14755.78</v>
      </c>
      <c r="L24" s="44"/>
      <c r="M24" s="45"/>
    </row>
    <row r="25" spans="1:13" s="5" customFormat="1" ht="11.25" x14ac:dyDescent="0.2">
      <c r="A25" s="43" t="s">
        <v>11</v>
      </c>
      <c r="B25" s="44"/>
      <c r="C25" s="44"/>
      <c r="D25" s="44"/>
      <c r="E25" s="44"/>
      <c r="F25" s="44"/>
      <c r="G25" s="44"/>
      <c r="H25" s="44"/>
      <c r="I25" s="46">
        <v>3431.29</v>
      </c>
      <c r="J25" s="44"/>
      <c r="K25" s="46">
        <v>6281.03</v>
      </c>
      <c r="L25" s="44"/>
      <c r="M25" s="45"/>
    </row>
    <row r="26" spans="1:13" x14ac:dyDescent="0.2">
      <c r="A26" s="47" t="s">
        <v>14</v>
      </c>
      <c r="B26" s="21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39"/>
    </row>
    <row r="27" spans="1:13" s="3" customFormat="1" x14ac:dyDescent="0.2">
      <c r="A27" s="48">
        <v>2008</v>
      </c>
      <c r="B27" s="49">
        <f>SUM(C27:M27)</f>
        <v>0</v>
      </c>
      <c r="C27" s="50"/>
      <c r="D27" s="50"/>
      <c r="E27" s="22"/>
      <c r="F27" s="22"/>
      <c r="G27" s="22"/>
      <c r="H27" s="22"/>
      <c r="I27" s="22"/>
      <c r="J27" s="22"/>
      <c r="K27" s="22"/>
      <c r="L27" s="22"/>
      <c r="M27" s="39"/>
    </row>
    <row r="28" spans="1:13" x14ac:dyDescent="0.2">
      <c r="A28" s="48">
        <v>2009</v>
      </c>
      <c r="B28" s="51">
        <f t="shared" ref="B28:B32" si="2">SUM(C28:M28)</f>
        <v>12436.8</v>
      </c>
      <c r="C28" s="50">
        <f>(C$22/C$23)*0.5</f>
        <v>0</v>
      </c>
      <c r="D28" s="50">
        <f>(D$22/D$23)*0.5</f>
        <v>12436.8</v>
      </c>
      <c r="E28" s="22"/>
      <c r="F28" s="22"/>
      <c r="G28" s="22"/>
      <c r="H28" s="22"/>
      <c r="I28" s="22"/>
      <c r="J28" s="22"/>
      <c r="K28" s="22"/>
      <c r="L28" s="22"/>
      <c r="M28" s="39"/>
    </row>
    <row r="29" spans="1:13" x14ac:dyDescent="0.2">
      <c r="A29" s="48">
        <v>2010</v>
      </c>
      <c r="B29" s="51">
        <f t="shared" si="2"/>
        <v>131830.97433333335</v>
      </c>
      <c r="C29" s="50">
        <f>(C$22/C$23)</f>
        <v>0</v>
      </c>
      <c r="D29" s="50">
        <f>(D$22/D$23)</f>
        <v>24873.599999999999</v>
      </c>
      <c r="E29" s="50">
        <f>(E$22/E$23)*0.5</f>
        <v>106957.37433333336</v>
      </c>
      <c r="F29" s="22"/>
      <c r="G29" s="22"/>
      <c r="H29" s="22"/>
      <c r="I29" s="22"/>
      <c r="J29" s="22"/>
      <c r="K29" s="22"/>
      <c r="L29" s="22"/>
      <c r="M29" s="39"/>
    </row>
    <row r="30" spans="1:13" x14ac:dyDescent="0.2">
      <c r="A30" s="48">
        <v>2011</v>
      </c>
      <c r="B30" s="51">
        <f t="shared" si="2"/>
        <v>271029.85733333341</v>
      </c>
      <c r="C30" s="50">
        <f t="shared" ref="C30:F32" si="3">(C$22/C$23)</f>
        <v>0</v>
      </c>
      <c r="D30" s="50">
        <f t="shared" si="3"/>
        <v>24873.599999999999</v>
      </c>
      <c r="E30" s="50">
        <f>(E$22/E$23)</f>
        <v>213914.74866666671</v>
      </c>
      <c r="F30" s="50">
        <f>(F$22/F$23)*0.5</f>
        <v>32241.508666666668</v>
      </c>
      <c r="G30" s="22"/>
      <c r="H30" s="22"/>
      <c r="I30" s="52"/>
      <c r="J30" s="22"/>
      <c r="K30" s="22"/>
      <c r="L30" s="22"/>
      <c r="M30" s="39"/>
    </row>
    <row r="31" spans="1:13" x14ac:dyDescent="0.2">
      <c r="A31" s="48">
        <v>2012</v>
      </c>
      <c r="B31" s="51">
        <f t="shared" si="2"/>
        <v>307492.86600000004</v>
      </c>
      <c r="C31" s="50">
        <f t="shared" si="3"/>
        <v>0</v>
      </c>
      <c r="D31" s="50">
        <f t="shared" si="3"/>
        <v>24873.599999999999</v>
      </c>
      <c r="E31" s="50">
        <f t="shared" si="3"/>
        <v>213914.74866666671</v>
      </c>
      <c r="F31" s="50">
        <f>(F$22/F$23)</f>
        <v>64483.017333333337</v>
      </c>
      <c r="G31" s="50">
        <f>(G$22/G$23)*0.5</f>
        <v>4221.5</v>
      </c>
      <c r="H31" s="22"/>
      <c r="I31" s="22"/>
      <c r="J31" s="22"/>
      <c r="K31" s="22"/>
      <c r="L31" s="22"/>
      <c r="M31" s="39"/>
    </row>
    <row r="32" spans="1:13" x14ac:dyDescent="0.2">
      <c r="A32" s="48">
        <v>2013</v>
      </c>
      <c r="B32" s="51">
        <f t="shared" si="2"/>
        <v>313841.29633333336</v>
      </c>
      <c r="C32" s="50">
        <f t="shared" si="3"/>
        <v>0</v>
      </c>
      <c r="D32" s="50">
        <f t="shared" si="3"/>
        <v>24873.599999999999</v>
      </c>
      <c r="E32" s="50">
        <f t="shared" si="3"/>
        <v>213914.74866666671</v>
      </c>
      <c r="F32" s="50">
        <f t="shared" si="3"/>
        <v>64483.017333333337</v>
      </c>
      <c r="G32" s="50">
        <f>(G$22/G$23)</f>
        <v>8443</v>
      </c>
      <c r="H32" s="50">
        <f>(H$22/H$23)*0.5</f>
        <v>2126.9303333333332</v>
      </c>
      <c r="I32" s="22"/>
      <c r="J32" s="22"/>
      <c r="K32" s="22"/>
      <c r="L32" s="22"/>
      <c r="M32" s="39"/>
    </row>
    <row r="33" spans="1:13" x14ac:dyDescent="0.2">
      <c r="A33" s="53" t="s">
        <v>4</v>
      </c>
      <c r="B33" s="21"/>
      <c r="C33" s="54">
        <f t="shared" ref="C33:H33" si="4">C22-SUM(C28:C32)</f>
        <v>0</v>
      </c>
      <c r="D33" s="54">
        <f t="shared" si="4"/>
        <v>261172.80000000002</v>
      </c>
      <c r="E33" s="54">
        <f t="shared" si="4"/>
        <v>2460019.6096666669</v>
      </c>
      <c r="F33" s="54">
        <f t="shared" si="4"/>
        <v>806037.71666666667</v>
      </c>
      <c r="G33" s="54">
        <f t="shared" si="4"/>
        <v>113980.5</v>
      </c>
      <c r="H33" s="54">
        <f t="shared" si="4"/>
        <v>61680.979666666673</v>
      </c>
      <c r="I33" s="54">
        <f>I22</f>
        <v>59890.31</v>
      </c>
      <c r="J33" s="54">
        <f t="shared" ref="J33:M33" si="5">J22-SUM(J28:J32)</f>
        <v>99007.950000000012</v>
      </c>
      <c r="K33" s="54">
        <f t="shared" si="5"/>
        <v>116286.89</v>
      </c>
      <c r="L33" s="54">
        <f t="shared" si="5"/>
        <v>88000</v>
      </c>
      <c r="M33" s="55">
        <f t="shared" si="5"/>
        <v>129000</v>
      </c>
    </row>
    <row r="34" spans="1:13" s="5" customFormat="1" ht="11.25" x14ac:dyDescent="0.2">
      <c r="A34" s="43" t="s">
        <v>1</v>
      </c>
      <c r="B34" s="44"/>
      <c r="C34" s="44">
        <v>12</v>
      </c>
      <c r="D34" s="44">
        <v>12</v>
      </c>
      <c r="E34" s="44">
        <v>12</v>
      </c>
      <c r="F34" s="44">
        <v>12</v>
      </c>
      <c r="G34" s="44">
        <v>12</v>
      </c>
      <c r="H34" s="44">
        <v>12</v>
      </c>
      <c r="I34" s="44">
        <v>12</v>
      </c>
      <c r="J34" s="44">
        <v>12</v>
      </c>
      <c r="K34" s="44">
        <v>12</v>
      </c>
      <c r="L34" s="44">
        <v>12</v>
      </c>
      <c r="M34" s="45">
        <v>12</v>
      </c>
    </row>
    <row r="35" spans="1:13" s="6" customFormat="1" ht="11.25" x14ac:dyDescent="0.2">
      <c r="A35" s="56" t="s">
        <v>13</v>
      </c>
      <c r="B35" s="57"/>
      <c r="C35" s="57">
        <f>12-5.5</f>
        <v>6.5</v>
      </c>
      <c r="D35" s="57">
        <f>C35+1</f>
        <v>7.5</v>
      </c>
      <c r="E35" s="57">
        <f>D35+1</f>
        <v>8.5</v>
      </c>
      <c r="F35" s="57">
        <f>E35+1</f>
        <v>9.5</v>
      </c>
      <c r="G35" s="57">
        <f>F35+1</f>
        <v>10.5</v>
      </c>
      <c r="H35" s="57">
        <f>G35+1</f>
        <v>11.5</v>
      </c>
      <c r="I35" s="57">
        <f>I34</f>
        <v>12</v>
      </c>
      <c r="J35" s="57">
        <f t="shared" ref="J35:M35" si="6">J34</f>
        <v>12</v>
      </c>
      <c r="K35" s="57">
        <f t="shared" si="6"/>
        <v>12</v>
      </c>
      <c r="L35" s="57">
        <f t="shared" si="6"/>
        <v>12</v>
      </c>
      <c r="M35" s="58">
        <f t="shared" si="6"/>
        <v>12</v>
      </c>
    </row>
    <row r="36" spans="1:13" x14ac:dyDescent="0.2">
      <c r="A36" s="48">
        <v>2014</v>
      </c>
      <c r="B36" s="51">
        <f t="shared" ref="B36:B40" si="7">SUM(C36:M36)</f>
        <v>424366.17591098114</v>
      </c>
      <c r="C36" s="50">
        <f t="shared" ref="C36:H40" si="8">(C$33/C$35)</f>
        <v>0</v>
      </c>
      <c r="D36" s="50">
        <f t="shared" si="8"/>
        <v>34823.040000000001</v>
      </c>
      <c r="E36" s="50">
        <f t="shared" si="8"/>
        <v>289414.07172549021</v>
      </c>
      <c r="F36" s="50">
        <f t="shared" si="8"/>
        <v>84846.075438596497</v>
      </c>
      <c r="G36" s="50">
        <f t="shared" si="8"/>
        <v>10855.285714285714</v>
      </c>
      <c r="H36" s="50">
        <f t="shared" si="8"/>
        <v>5363.5634492753625</v>
      </c>
      <c r="I36" s="50">
        <f>(I$33/I$35)*0.5-I25</f>
        <v>-935.86041666666688</v>
      </c>
      <c r="J36" s="22"/>
      <c r="K36" s="22"/>
      <c r="L36" s="22"/>
      <c r="M36" s="39"/>
    </row>
    <row r="37" spans="1:13" x14ac:dyDescent="0.2">
      <c r="A37" s="48">
        <v>2015</v>
      </c>
      <c r="B37" s="51">
        <f t="shared" si="7"/>
        <v>434418.22674431448</v>
      </c>
      <c r="C37" s="50">
        <f t="shared" si="8"/>
        <v>0</v>
      </c>
      <c r="D37" s="50">
        <f t="shared" si="8"/>
        <v>34823.040000000001</v>
      </c>
      <c r="E37" s="50">
        <f t="shared" si="8"/>
        <v>289414.07172549021</v>
      </c>
      <c r="F37" s="50">
        <f t="shared" si="8"/>
        <v>84846.075438596497</v>
      </c>
      <c r="G37" s="50">
        <f t="shared" si="8"/>
        <v>10855.285714285714</v>
      </c>
      <c r="H37" s="50">
        <f t="shared" si="8"/>
        <v>5363.5634492753625</v>
      </c>
      <c r="I37" s="50">
        <f>(I$33/I$35)</f>
        <v>4990.8591666666662</v>
      </c>
      <c r="J37" s="50">
        <f>(J$33/J$35)*0.5</f>
        <v>4125.3312500000002</v>
      </c>
      <c r="K37" s="50"/>
      <c r="L37" s="50"/>
      <c r="M37" s="59"/>
    </row>
    <row r="38" spans="1:13" x14ac:dyDescent="0.2">
      <c r="A38" s="48">
        <v>2016</v>
      </c>
      <c r="B38" s="51">
        <f t="shared" si="7"/>
        <v>437107.8150776478</v>
      </c>
      <c r="C38" s="50">
        <f t="shared" si="8"/>
        <v>0</v>
      </c>
      <c r="D38" s="50">
        <f t="shared" si="8"/>
        <v>34823.040000000001</v>
      </c>
      <c r="E38" s="50">
        <f t="shared" si="8"/>
        <v>289414.07172549021</v>
      </c>
      <c r="F38" s="50">
        <f t="shared" si="8"/>
        <v>84846.075438596497</v>
      </c>
      <c r="G38" s="50">
        <f t="shared" si="8"/>
        <v>10855.285714285714</v>
      </c>
      <c r="H38" s="50">
        <f t="shared" si="8"/>
        <v>5363.5634492753625</v>
      </c>
      <c r="I38" s="50">
        <f>(I$33/I$35)</f>
        <v>4990.8591666666662</v>
      </c>
      <c r="J38" s="50">
        <f>(J$33/J$35)</f>
        <v>8250.6625000000004</v>
      </c>
      <c r="K38" s="50">
        <f>(K$33/K$35)*0.5-K25</f>
        <v>-1435.7429166666661</v>
      </c>
      <c r="L38" s="50"/>
      <c r="M38" s="59"/>
    </row>
    <row r="39" spans="1:13" x14ac:dyDescent="0.2">
      <c r="A39" s="48">
        <v>2017</v>
      </c>
      <c r="B39" s="51">
        <f t="shared" si="7"/>
        <v>451900.79882764781</v>
      </c>
      <c r="C39" s="50">
        <f t="shared" si="8"/>
        <v>0</v>
      </c>
      <c r="D39" s="50">
        <f t="shared" si="8"/>
        <v>34823.040000000001</v>
      </c>
      <c r="E39" s="50">
        <f t="shared" si="8"/>
        <v>289414.07172549021</v>
      </c>
      <c r="F39" s="50">
        <f t="shared" si="8"/>
        <v>84846.075438596497</v>
      </c>
      <c r="G39" s="50">
        <f t="shared" si="8"/>
        <v>10855.285714285714</v>
      </c>
      <c r="H39" s="50">
        <f t="shared" si="8"/>
        <v>5363.5634492753625</v>
      </c>
      <c r="I39" s="50">
        <f>(I$33/I$35)</f>
        <v>4990.8591666666662</v>
      </c>
      <c r="J39" s="50">
        <f>(J$33/J$35)</f>
        <v>8250.6625000000004</v>
      </c>
      <c r="K39" s="50">
        <f>(K$33/K$35)</f>
        <v>9690.5741666666672</v>
      </c>
      <c r="L39" s="50">
        <f>(L$33/L$35)*0.5</f>
        <v>3666.6666666666665</v>
      </c>
      <c r="M39" s="59"/>
    </row>
    <row r="40" spans="1:13" x14ac:dyDescent="0.2">
      <c r="A40" s="48">
        <v>2018</v>
      </c>
      <c r="B40" s="51">
        <f t="shared" si="7"/>
        <v>460942.46549431444</v>
      </c>
      <c r="C40" s="50">
        <f t="shared" si="8"/>
        <v>0</v>
      </c>
      <c r="D40" s="50">
        <f t="shared" si="8"/>
        <v>34823.040000000001</v>
      </c>
      <c r="E40" s="50">
        <f t="shared" si="8"/>
        <v>289414.07172549021</v>
      </c>
      <c r="F40" s="50">
        <f t="shared" si="8"/>
        <v>84846.075438596497</v>
      </c>
      <c r="G40" s="50">
        <f t="shared" si="8"/>
        <v>10855.285714285714</v>
      </c>
      <c r="H40" s="50">
        <f t="shared" si="8"/>
        <v>5363.5634492753625</v>
      </c>
      <c r="I40" s="50">
        <f>(I$33/I$35)</f>
        <v>4990.8591666666662</v>
      </c>
      <c r="J40" s="50">
        <f>(J$33/J$35)</f>
        <v>8250.6625000000004</v>
      </c>
      <c r="K40" s="50">
        <f>(K$33/K$35)</f>
        <v>9690.5741666666672</v>
      </c>
      <c r="L40" s="50">
        <f>(L$33/L$35)</f>
        <v>7333.333333333333</v>
      </c>
      <c r="M40" s="59">
        <f>(M$33/M$35)*0.5</f>
        <v>5375</v>
      </c>
    </row>
    <row r="41" spans="1:13" x14ac:dyDescent="0.2">
      <c r="A41" s="48"/>
      <c r="B41" s="21"/>
      <c r="C41" s="50"/>
      <c r="D41" s="50"/>
      <c r="E41" s="50"/>
      <c r="F41" s="22"/>
      <c r="G41" s="22"/>
      <c r="H41" s="22"/>
      <c r="I41" s="22"/>
      <c r="J41" s="22"/>
      <c r="K41" s="22"/>
      <c r="L41" s="22"/>
      <c r="M41" s="39"/>
    </row>
    <row r="42" spans="1:13" x14ac:dyDescent="0.2">
      <c r="A42" s="60" t="s">
        <v>4</v>
      </c>
      <c r="B42" s="18"/>
      <c r="C42" s="19">
        <f t="shared" ref="C42:M42" si="9">C33-SUM(C36:C40)</f>
        <v>0</v>
      </c>
      <c r="D42" s="19">
        <f t="shared" si="9"/>
        <v>87057.600000000006</v>
      </c>
      <c r="E42" s="19">
        <f t="shared" si="9"/>
        <v>1012949.2510392158</v>
      </c>
      <c r="F42" s="19">
        <f t="shared" si="9"/>
        <v>381807.3394736842</v>
      </c>
      <c r="G42" s="19">
        <f t="shared" si="9"/>
        <v>59704.071428571435</v>
      </c>
      <c r="H42" s="19">
        <f t="shared" si="9"/>
        <v>34863.16242028986</v>
      </c>
      <c r="I42" s="19">
        <f t="shared" si="9"/>
        <v>40862.733749999999</v>
      </c>
      <c r="J42" s="19">
        <f t="shared" si="9"/>
        <v>70130.631250000006</v>
      </c>
      <c r="K42" s="19">
        <f t="shared" si="9"/>
        <v>98341.484583333338</v>
      </c>
      <c r="L42" s="19">
        <f t="shared" si="9"/>
        <v>77000</v>
      </c>
      <c r="M42" s="61">
        <f t="shared" si="9"/>
        <v>123625</v>
      </c>
    </row>
    <row r="43" spans="1:13" x14ac:dyDescent="0.2">
      <c r="A43" s="13"/>
      <c r="B43" s="8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</row>
    <row r="44" spans="1:13" x14ac:dyDescent="0.2">
      <c r="A44" s="13"/>
      <c r="B44" s="8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</row>
    <row r="45" spans="1:13" x14ac:dyDescent="0.2">
      <c r="A45" s="13"/>
      <c r="B45" s="8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</row>
    <row r="46" spans="1:13" ht="15" x14ac:dyDescent="0.25">
      <c r="A46" s="33" t="s">
        <v>6</v>
      </c>
      <c r="B46" s="34"/>
      <c r="C46" s="35"/>
      <c r="D46" s="35"/>
      <c r="E46" s="35"/>
      <c r="F46" s="35"/>
      <c r="G46" s="36"/>
      <c r="H46" s="35"/>
      <c r="I46" s="35"/>
      <c r="J46" s="35"/>
      <c r="K46" s="35"/>
      <c r="L46" s="35"/>
      <c r="M46" s="37"/>
    </row>
    <row r="47" spans="1:13" x14ac:dyDescent="0.2">
      <c r="A47" s="48"/>
      <c r="B47" s="21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39"/>
    </row>
    <row r="48" spans="1:13" x14ac:dyDescent="0.2">
      <c r="A48" s="48"/>
      <c r="B48" s="21"/>
      <c r="C48" s="9">
        <v>2008</v>
      </c>
      <c r="D48" s="9">
        <v>2009</v>
      </c>
      <c r="E48" s="9">
        <v>2010</v>
      </c>
      <c r="F48" s="9">
        <v>2011</v>
      </c>
      <c r="G48" s="9">
        <v>2012</v>
      </c>
      <c r="H48" s="9">
        <v>2013</v>
      </c>
      <c r="I48" s="9">
        <v>2014</v>
      </c>
      <c r="J48" s="9">
        <v>2015</v>
      </c>
      <c r="K48" s="9">
        <v>2016</v>
      </c>
      <c r="L48" s="9">
        <v>2017</v>
      </c>
      <c r="M48" s="40">
        <v>2018</v>
      </c>
    </row>
    <row r="49" spans="1:13" x14ac:dyDescent="0.2">
      <c r="A49" s="38"/>
      <c r="B49" s="41" t="s">
        <v>3</v>
      </c>
      <c r="C49" s="28"/>
      <c r="D49" s="28">
        <f>11811</f>
        <v>11811</v>
      </c>
      <c r="E49" s="28">
        <f>136799+7549</f>
        <v>144348</v>
      </c>
      <c r="F49" s="28"/>
      <c r="G49" s="28"/>
      <c r="H49" s="28"/>
      <c r="I49" s="28">
        <f>10360.11+32507.04</f>
        <v>42867.15</v>
      </c>
      <c r="J49" s="28"/>
      <c r="K49" s="28"/>
      <c r="L49" s="28"/>
      <c r="M49" s="42"/>
    </row>
    <row r="50" spans="1:13" s="5" customFormat="1" ht="11.25" x14ac:dyDescent="0.2">
      <c r="A50" s="43" t="s">
        <v>1</v>
      </c>
      <c r="B50" s="44"/>
      <c r="C50" s="44">
        <v>5</v>
      </c>
      <c r="D50" s="44">
        <v>5</v>
      </c>
      <c r="E50" s="44">
        <v>5</v>
      </c>
      <c r="F50" s="44">
        <v>5</v>
      </c>
      <c r="G50" s="44">
        <v>5</v>
      </c>
      <c r="H50" s="44">
        <v>5</v>
      </c>
      <c r="I50" s="44">
        <v>4</v>
      </c>
      <c r="J50" s="44">
        <v>4</v>
      </c>
      <c r="K50" s="44">
        <v>4</v>
      </c>
      <c r="L50" s="44">
        <v>4</v>
      </c>
      <c r="M50" s="45">
        <v>4</v>
      </c>
    </row>
    <row r="51" spans="1:13" s="5" customFormat="1" ht="11.25" x14ac:dyDescent="0.2">
      <c r="A51" s="43" t="s">
        <v>5</v>
      </c>
      <c r="B51" s="44"/>
      <c r="C51" s="44"/>
      <c r="D51" s="44"/>
      <c r="E51" s="44"/>
      <c r="F51" s="44"/>
      <c r="G51" s="44"/>
      <c r="H51" s="44"/>
      <c r="I51" s="46"/>
      <c r="J51" s="44"/>
      <c r="K51" s="46"/>
      <c r="L51" s="44"/>
      <c r="M51" s="45"/>
    </row>
    <row r="52" spans="1:13" s="5" customFormat="1" ht="11.25" x14ac:dyDescent="0.2">
      <c r="A52" s="43" t="s">
        <v>11</v>
      </c>
      <c r="B52" s="44"/>
      <c r="C52" s="44"/>
      <c r="D52" s="44"/>
      <c r="E52" s="44"/>
      <c r="F52" s="44"/>
      <c r="G52" s="44"/>
      <c r="H52" s="44"/>
      <c r="I52" s="46"/>
      <c r="J52" s="44"/>
      <c r="K52" s="46"/>
      <c r="L52" s="44"/>
      <c r="M52" s="45"/>
    </row>
    <row r="53" spans="1:13" x14ac:dyDescent="0.2">
      <c r="A53" s="47" t="s">
        <v>14</v>
      </c>
      <c r="B53" s="21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39"/>
    </row>
    <row r="54" spans="1:13" s="3" customFormat="1" x14ac:dyDescent="0.2">
      <c r="A54" s="48">
        <v>2008</v>
      </c>
      <c r="B54" s="49">
        <f>SUM(C54:M54)</f>
        <v>0</v>
      </c>
      <c r="C54" s="50"/>
      <c r="D54" s="50"/>
      <c r="E54" s="22"/>
      <c r="F54" s="22"/>
      <c r="G54" s="22"/>
      <c r="H54" s="22"/>
      <c r="I54" s="22"/>
      <c r="J54" s="22"/>
      <c r="K54" s="22"/>
      <c r="L54" s="22"/>
      <c r="M54" s="39"/>
    </row>
    <row r="55" spans="1:13" x14ac:dyDescent="0.2">
      <c r="A55" s="48">
        <v>2009</v>
      </c>
      <c r="B55" s="51">
        <f t="shared" ref="B55:B59" si="10">SUM(C55:M55)</f>
        <v>1181.0999999999999</v>
      </c>
      <c r="C55" s="50">
        <f>(C$49/C$50)*0.5</f>
        <v>0</v>
      </c>
      <c r="D55" s="50">
        <f>(D$49/D$50)*0.5</f>
        <v>1181.0999999999999</v>
      </c>
      <c r="E55" s="22"/>
      <c r="F55" s="22"/>
      <c r="G55" s="22"/>
      <c r="H55" s="22"/>
      <c r="I55" s="22"/>
      <c r="J55" s="22"/>
      <c r="K55" s="22"/>
      <c r="L55" s="22"/>
      <c r="M55" s="39"/>
    </row>
    <row r="56" spans="1:13" x14ac:dyDescent="0.2">
      <c r="A56" s="48">
        <v>2010</v>
      </c>
      <c r="B56" s="51">
        <f t="shared" si="10"/>
        <v>16797</v>
      </c>
      <c r="C56" s="50">
        <f t="shared" ref="C56:D59" si="11">(C$49/C$50)</f>
        <v>0</v>
      </c>
      <c r="D56" s="50">
        <f t="shared" si="11"/>
        <v>2362.1999999999998</v>
      </c>
      <c r="E56" s="50">
        <f>(E$49/E$50)*0.5</f>
        <v>14434.8</v>
      </c>
      <c r="F56" s="22"/>
      <c r="G56" s="22"/>
      <c r="H56" s="22"/>
      <c r="I56" s="22"/>
      <c r="J56" s="22"/>
      <c r="K56" s="22"/>
      <c r="L56" s="22"/>
      <c r="M56" s="39"/>
    </row>
    <row r="57" spans="1:13" x14ac:dyDescent="0.2">
      <c r="A57" s="48">
        <v>2011</v>
      </c>
      <c r="B57" s="51">
        <f t="shared" si="10"/>
        <v>31231.8</v>
      </c>
      <c r="C57" s="50">
        <f t="shared" si="11"/>
        <v>0</v>
      </c>
      <c r="D57" s="50">
        <f t="shared" si="11"/>
        <v>2362.1999999999998</v>
      </c>
      <c r="E57" s="50">
        <f>(E$49/E$50)</f>
        <v>28869.599999999999</v>
      </c>
      <c r="F57" s="50">
        <f>(F$49/F$50)*0.5</f>
        <v>0</v>
      </c>
      <c r="G57" s="22"/>
      <c r="H57" s="22"/>
      <c r="I57" s="22"/>
      <c r="J57" s="22"/>
      <c r="K57" s="22"/>
      <c r="L57" s="22"/>
      <c r="M57" s="39"/>
    </row>
    <row r="58" spans="1:13" x14ac:dyDescent="0.2">
      <c r="A58" s="48">
        <v>2012</v>
      </c>
      <c r="B58" s="51">
        <f t="shared" si="10"/>
        <v>31231.8</v>
      </c>
      <c r="C58" s="50">
        <f t="shared" si="11"/>
        <v>0</v>
      </c>
      <c r="D58" s="50">
        <f t="shared" si="11"/>
        <v>2362.1999999999998</v>
      </c>
      <c r="E58" s="50">
        <f>(E$49/E$50)</f>
        <v>28869.599999999999</v>
      </c>
      <c r="F58" s="50">
        <f>(F$49/F$50)</f>
        <v>0</v>
      </c>
      <c r="G58" s="50">
        <f>(G$49/G$50)*0.5</f>
        <v>0</v>
      </c>
      <c r="H58" s="22"/>
      <c r="I58" s="22"/>
      <c r="J58" s="22"/>
      <c r="K58" s="22"/>
      <c r="L58" s="22"/>
      <c r="M58" s="39"/>
    </row>
    <row r="59" spans="1:13" x14ac:dyDescent="0.2">
      <c r="A59" s="48">
        <v>2013</v>
      </c>
      <c r="B59" s="51">
        <f t="shared" si="10"/>
        <v>31231.8</v>
      </c>
      <c r="C59" s="50">
        <f t="shared" si="11"/>
        <v>0</v>
      </c>
      <c r="D59" s="50">
        <f t="shared" si="11"/>
        <v>2362.1999999999998</v>
      </c>
      <c r="E59" s="50">
        <f>(E$49/E$50)</f>
        <v>28869.599999999999</v>
      </c>
      <c r="F59" s="50">
        <f>(F$49/F$50)</f>
        <v>0</v>
      </c>
      <c r="G59" s="50">
        <f>(G$49/G$50)</f>
        <v>0</v>
      </c>
      <c r="H59" s="50">
        <f>(H$49/H$50)*0.5</f>
        <v>0</v>
      </c>
      <c r="I59" s="22"/>
      <c r="J59" s="22"/>
      <c r="K59" s="22"/>
      <c r="L59" s="22"/>
      <c r="M59" s="39"/>
    </row>
    <row r="60" spans="1:13" x14ac:dyDescent="0.2">
      <c r="A60" s="53" t="s">
        <v>4</v>
      </c>
      <c r="B60" s="21"/>
      <c r="C60" s="54">
        <f t="shared" ref="C60:H60" si="12">C49-SUM(C55:C59)</f>
        <v>0</v>
      </c>
      <c r="D60" s="54">
        <f t="shared" si="12"/>
        <v>1181.0999999999985</v>
      </c>
      <c r="E60" s="54">
        <f t="shared" si="12"/>
        <v>43304.399999999994</v>
      </c>
      <c r="F60" s="54">
        <f t="shared" si="12"/>
        <v>0</v>
      </c>
      <c r="G60" s="54">
        <f t="shared" si="12"/>
        <v>0</v>
      </c>
      <c r="H60" s="54">
        <f t="shared" si="12"/>
        <v>0</v>
      </c>
      <c r="I60" s="54">
        <f t="shared" ref="I60:M60" si="13">I49-SUM(I55:I59)</f>
        <v>42867.15</v>
      </c>
      <c r="J60" s="54">
        <f t="shared" si="13"/>
        <v>0</v>
      </c>
      <c r="K60" s="54">
        <f t="shared" si="13"/>
        <v>0</v>
      </c>
      <c r="L60" s="54">
        <f t="shared" si="13"/>
        <v>0</v>
      </c>
      <c r="M60" s="55">
        <f t="shared" si="13"/>
        <v>0</v>
      </c>
    </row>
    <row r="61" spans="1:13" s="5" customFormat="1" ht="11.25" x14ac:dyDescent="0.2">
      <c r="A61" s="43" t="s">
        <v>1</v>
      </c>
      <c r="B61" s="44"/>
      <c r="C61" s="44">
        <v>5</v>
      </c>
      <c r="D61" s="44">
        <v>5</v>
      </c>
      <c r="E61" s="44">
        <v>5</v>
      </c>
      <c r="F61" s="44">
        <v>5</v>
      </c>
      <c r="G61" s="44">
        <v>5</v>
      </c>
      <c r="H61" s="44">
        <v>5</v>
      </c>
      <c r="I61" s="44">
        <v>4</v>
      </c>
      <c r="J61" s="44">
        <v>4</v>
      </c>
      <c r="K61" s="44">
        <v>4</v>
      </c>
      <c r="L61" s="44">
        <v>4</v>
      </c>
      <c r="M61" s="45">
        <v>4</v>
      </c>
    </row>
    <row r="62" spans="1:13" s="6" customFormat="1" ht="11.25" x14ac:dyDescent="0.2">
      <c r="A62" s="56" t="s">
        <v>13</v>
      </c>
      <c r="B62" s="57"/>
      <c r="C62" s="57">
        <f>5-5</f>
        <v>0</v>
      </c>
      <c r="D62" s="57">
        <f>D61-4.5</f>
        <v>0.5</v>
      </c>
      <c r="E62" s="57">
        <f>D62+1</f>
        <v>1.5</v>
      </c>
      <c r="F62" s="57">
        <f>E62+1</f>
        <v>2.5</v>
      </c>
      <c r="G62" s="57">
        <f>F62+1</f>
        <v>3.5</v>
      </c>
      <c r="H62" s="57">
        <f>G62+1</f>
        <v>4.5</v>
      </c>
      <c r="I62" s="57">
        <f>I61</f>
        <v>4</v>
      </c>
      <c r="J62" s="57">
        <f t="shared" ref="J62:M62" si="14">J61</f>
        <v>4</v>
      </c>
      <c r="K62" s="57">
        <f t="shared" si="14"/>
        <v>4</v>
      </c>
      <c r="L62" s="57">
        <f t="shared" si="14"/>
        <v>4</v>
      </c>
      <c r="M62" s="58">
        <f t="shared" si="14"/>
        <v>4</v>
      </c>
    </row>
    <row r="63" spans="1:13" x14ac:dyDescent="0.2">
      <c r="A63" s="48">
        <v>2014</v>
      </c>
      <c r="B63" s="51">
        <f t="shared" ref="B63:B67" si="15">SUM(C63:M63)</f>
        <v>35409.093749999993</v>
      </c>
      <c r="C63" s="50"/>
      <c r="D63" s="50">
        <f>(D$60/D$62)*0.5</f>
        <v>1181.0999999999985</v>
      </c>
      <c r="E63" s="50">
        <f>(E$60/E$62)</f>
        <v>28869.599999999995</v>
      </c>
      <c r="F63" s="50">
        <f>(F$60/F$62)</f>
        <v>0</v>
      </c>
      <c r="G63" s="50">
        <f>(G$60/G$62)</f>
        <v>0</v>
      </c>
      <c r="H63" s="50">
        <f>(H$60/H$62)</f>
        <v>0</v>
      </c>
      <c r="I63" s="50">
        <f>(I$60/I$62)*0.5</f>
        <v>5358.3937500000002</v>
      </c>
      <c r="J63" s="22"/>
      <c r="K63" s="22"/>
      <c r="L63" s="22"/>
      <c r="M63" s="39"/>
    </row>
    <row r="64" spans="1:13" x14ac:dyDescent="0.2">
      <c r="A64" s="48">
        <v>2015</v>
      </c>
      <c r="B64" s="51">
        <f t="shared" si="15"/>
        <v>25151.587499999998</v>
      </c>
      <c r="C64" s="50"/>
      <c r="D64" s="50"/>
      <c r="E64" s="50">
        <f>(E$60/E$62)*0.5</f>
        <v>14434.799999999997</v>
      </c>
      <c r="F64" s="50">
        <f t="shared" ref="F64:M64" si="16">(F$60/F$62)</f>
        <v>0</v>
      </c>
      <c r="G64" s="50">
        <f t="shared" si="16"/>
        <v>0</v>
      </c>
      <c r="H64" s="50">
        <f t="shared" si="16"/>
        <v>0</v>
      </c>
      <c r="I64" s="50">
        <f t="shared" si="16"/>
        <v>10716.7875</v>
      </c>
      <c r="J64" s="50">
        <f t="shared" si="16"/>
        <v>0</v>
      </c>
      <c r="K64" s="50">
        <f t="shared" si="16"/>
        <v>0</v>
      </c>
      <c r="L64" s="50">
        <f t="shared" si="16"/>
        <v>0</v>
      </c>
      <c r="M64" s="59">
        <f t="shared" si="16"/>
        <v>0</v>
      </c>
    </row>
    <row r="65" spans="1:13" x14ac:dyDescent="0.2">
      <c r="A65" s="48">
        <v>2016</v>
      </c>
      <c r="B65" s="51">
        <f t="shared" si="15"/>
        <v>10716.7875</v>
      </c>
      <c r="C65" s="50"/>
      <c r="D65" s="50"/>
      <c r="E65" s="50"/>
      <c r="F65" s="50">
        <f>(F$60/F$62)*0.5</f>
        <v>0</v>
      </c>
      <c r="G65" s="50">
        <f t="shared" ref="G65:M65" si="17">(G$60/G$62)</f>
        <v>0</v>
      </c>
      <c r="H65" s="50">
        <f t="shared" si="17"/>
        <v>0</v>
      </c>
      <c r="I65" s="50">
        <f t="shared" si="17"/>
        <v>10716.7875</v>
      </c>
      <c r="J65" s="50">
        <f t="shared" si="17"/>
        <v>0</v>
      </c>
      <c r="K65" s="50">
        <f t="shared" si="17"/>
        <v>0</v>
      </c>
      <c r="L65" s="50">
        <f t="shared" si="17"/>
        <v>0</v>
      </c>
      <c r="M65" s="59">
        <f t="shared" si="17"/>
        <v>0</v>
      </c>
    </row>
    <row r="66" spans="1:13" x14ac:dyDescent="0.2">
      <c r="A66" s="48">
        <v>2017</v>
      </c>
      <c r="B66" s="51">
        <f t="shared" si="15"/>
        <v>10716.7875</v>
      </c>
      <c r="C66" s="50"/>
      <c r="D66" s="50"/>
      <c r="E66" s="50"/>
      <c r="F66" s="22"/>
      <c r="G66" s="50">
        <f>(G$60/G$62)*0.5</f>
        <v>0</v>
      </c>
      <c r="H66" s="50">
        <f t="shared" ref="H66:M66" si="18">(H$60/H$62)</f>
        <v>0</v>
      </c>
      <c r="I66" s="50">
        <f t="shared" si="18"/>
        <v>10716.7875</v>
      </c>
      <c r="J66" s="50">
        <f t="shared" si="18"/>
        <v>0</v>
      </c>
      <c r="K66" s="50">
        <f t="shared" si="18"/>
        <v>0</v>
      </c>
      <c r="L66" s="50">
        <f t="shared" si="18"/>
        <v>0</v>
      </c>
      <c r="M66" s="59">
        <f t="shared" si="18"/>
        <v>0</v>
      </c>
    </row>
    <row r="67" spans="1:13" x14ac:dyDescent="0.2">
      <c r="A67" s="48">
        <v>2018</v>
      </c>
      <c r="B67" s="51">
        <f t="shared" si="15"/>
        <v>5358.3937500000002</v>
      </c>
      <c r="C67" s="50"/>
      <c r="D67" s="50"/>
      <c r="E67" s="50"/>
      <c r="F67" s="22"/>
      <c r="G67" s="22"/>
      <c r="H67" s="22"/>
      <c r="I67" s="50">
        <f>(I$60/I$62)*0.5</f>
        <v>5358.3937500000002</v>
      </c>
      <c r="J67" s="50">
        <f>(J$60/J$62)</f>
        <v>0</v>
      </c>
      <c r="K67" s="50">
        <f>(K$60/K$62)</f>
        <v>0</v>
      </c>
      <c r="L67" s="50">
        <f>(L$60/L$62)</f>
        <v>0</v>
      </c>
      <c r="M67" s="59">
        <f>(M$60/M$62)</f>
        <v>0</v>
      </c>
    </row>
    <row r="68" spans="1:13" x14ac:dyDescent="0.2">
      <c r="A68" s="48"/>
      <c r="B68" s="21"/>
      <c r="C68" s="50"/>
      <c r="D68" s="50"/>
      <c r="E68" s="50"/>
      <c r="F68" s="22"/>
      <c r="G68" s="22"/>
      <c r="H68" s="22"/>
      <c r="I68" s="22"/>
      <c r="J68" s="22"/>
      <c r="K68" s="22"/>
      <c r="L68" s="22"/>
      <c r="M68" s="39"/>
    </row>
    <row r="69" spans="1:13" x14ac:dyDescent="0.2">
      <c r="A69" s="60"/>
      <c r="B69" s="15"/>
      <c r="C69" s="19">
        <f t="shared" ref="C69:M69" si="19">C60-SUM(C63:C67)</f>
        <v>0</v>
      </c>
      <c r="D69" s="19">
        <f t="shared" si="19"/>
        <v>0</v>
      </c>
      <c r="E69" s="19">
        <f t="shared" si="19"/>
        <v>0</v>
      </c>
      <c r="F69" s="19">
        <f t="shared" si="19"/>
        <v>0</v>
      </c>
      <c r="G69" s="19">
        <f t="shared" si="19"/>
        <v>0</v>
      </c>
      <c r="H69" s="19">
        <f t="shared" si="19"/>
        <v>0</v>
      </c>
      <c r="I69" s="19">
        <f t="shared" si="19"/>
        <v>0</v>
      </c>
      <c r="J69" s="19">
        <f t="shared" si="19"/>
        <v>0</v>
      </c>
      <c r="K69" s="19">
        <f t="shared" si="19"/>
        <v>0</v>
      </c>
      <c r="L69" s="19">
        <f t="shared" si="19"/>
        <v>0</v>
      </c>
      <c r="M69" s="61">
        <f t="shared" si="19"/>
        <v>0</v>
      </c>
    </row>
    <row r="70" spans="1:13" x14ac:dyDescent="0.2">
      <c r="A70" s="13"/>
      <c r="B70" s="8"/>
      <c r="C70" s="14"/>
      <c r="D70" s="14"/>
      <c r="E70" s="7"/>
      <c r="F70" s="7"/>
      <c r="G70" s="7"/>
      <c r="H70" s="7"/>
      <c r="I70" s="7"/>
      <c r="J70" s="7"/>
      <c r="K70" s="7"/>
      <c r="L70" s="7"/>
      <c r="M70" s="7"/>
    </row>
    <row r="71" spans="1:13" x14ac:dyDescent="0.2">
      <c r="A71" s="13"/>
      <c r="B71" s="8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</row>
    <row r="72" spans="1:13" ht="15" x14ac:dyDescent="0.25">
      <c r="A72" s="33" t="s">
        <v>8</v>
      </c>
      <c r="B72" s="34"/>
      <c r="C72" s="35"/>
      <c r="D72" s="35"/>
      <c r="E72" s="35"/>
      <c r="F72" s="35"/>
      <c r="G72" s="36"/>
      <c r="H72" s="35"/>
      <c r="I72" s="35"/>
      <c r="J72" s="35"/>
      <c r="K72" s="35"/>
      <c r="L72" s="35"/>
      <c r="M72" s="37"/>
    </row>
    <row r="73" spans="1:13" x14ac:dyDescent="0.2">
      <c r="A73" s="48"/>
      <c r="B73" s="21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39"/>
    </row>
    <row r="74" spans="1:13" x14ac:dyDescent="0.2">
      <c r="A74" s="48"/>
      <c r="B74" s="21"/>
      <c r="C74" s="9">
        <v>2009</v>
      </c>
      <c r="D74" s="9">
        <v>2009</v>
      </c>
      <c r="E74" s="9">
        <v>2010</v>
      </c>
      <c r="F74" s="9">
        <v>2011</v>
      </c>
      <c r="G74" s="9">
        <v>2012</v>
      </c>
      <c r="H74" s="9">
        <v>2013</v>
      </c>
      <c r="I74" s="9">
        <v>2014</v>
      </c>
      <c r="J74" s="9">
        <v>2015</v>
      </c>
      <c r="K74" s="9">
        <v>2016</v>
      </c>
      <c r="L74" s="9">
        <v>2017</v>
      </c>
      <c r="M74" s="40">
        <v>2018</v>
      </c>
    </row>
    <row r="75" spans="1:13" x14ac:dyDescent="0.2">
      <c r="A75" s="38"/>
      <c r="B75" s="41" t="s">
        <v>3</v>
      </c>
      <c r="C75" s="28">
        <f>294335</f>
        <v>294335</v>
      </c>
      <c r="D75" s="28">
        <v>157287</v>
      </c>
      <c r="E75" s="28">
        <f>37675.06+131905.96</f>
        <v>169581.02</v>
      </c>
      <c r="F75" s="28">
        <f>8918.58+184799.22+10224.36</f>
        <v>203942.15999999997</v>
      </c>
      <c r="G75" s="28">
        <f>13530.05+26400+1620+1975.6</f>
        <v>43525.65</v>
      </c>
      <c r="H75" s="28"/>
      <c r="I75" s="28">
        <f>308.75+32584.5</f>
        <v>32893.25</v>
      </c>
      <c r="J75" s="28"/>
      <c r="K75" s="28"/>
      <c r="L75" s="28"/>
      <c r="M75" s="42"/>
    </row>
    <row r="76" spans="1:13" s="5" customFormat="1" ht="11.25" x14ac:dyDescent="0.2">
      <c r="A76" s="43" t="s">
        <v>1</v>
      </c>
      <c r="B76" s="44"/>
      <c r="C76" s="44">
        <v>5</v>
      </c>
      <c r="D76" s="44">
        <v>5</v>
      </c>
      <c r="E76" s="44">
        <v>5</v>
      </c>
      <c r="F76" s="44">
        <v>5</v>
      </c>
      <c r="G76" s="44">
        <v>5</v>
      </c>
      <c r="H76" s="44">
        <v>5</v>
      </c>
      <c r="I76" s="44">
        <v>5</v>
      </c>
      <c r="J76" s="44">
        <v>5</v>
      </c>
      <c r="K76" s="44">
        <v>5</v>
      </c>
      <c r="L76" s="44">
        <v>5</v>
      </c>
      <c r="M76" s="45">
        <v>5</v>
      </c>
    </row>
    <row r="77" spans="1:13" s="5" customFormat="1" ht="11.25" x14ac:dyDescent="0.2">
      <c r="A77" s="43" t="s">
        <v>5</v>
      </c>
      <c r="B77" s="44"/>
      <c r="C77" s="44"/>
      <c r="D77" s="44"/>
      <c r="E77" s="44"/>
      <c r="F77" s="44"/>
      <c r="G77" s="44"/>
      <c r="H77" s="44"/>
      <c r="I77" s="46"/>
      <c r="J77" s="44"/>
      <c r="K77" s="46"/>
      <c r="L77" s="44"/>
      <c r="M77" s="45"/>
    </row>
    <row r="78" spans="1:13" s="5" customFormat="1" ht="11.25" x14ac:dyDescent="0.2">
      <c r="A78" s="43" t="s">
        <v>11</v>
      </c>
      <c r="B78" s="44"/>
      <c r="C78" s="44"/>
      <c r="D78" s="44"/>
      <c r="E78" s="44"/>
      <c r="F78" s="44"/>
      <c r="G78" s="44"/>
      <c r="H78" s="44"/>
      <c r="I78" s="46"/>
      <c r="J78" s="44"/>
      <c r="K78" s="46"/>
      <c r="L78" s="44"/>
      <c r="M78" s="45"/>
    </row>
    <row r="79" spans="1:13" x14ac:dyDescent="0.2">
      <c r="A79" s="47" t="s">
        <v>14</v>
      </c>
      <c r="B79" s="21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39"/>
    </row>
    <row r="80" spans="1:13" s="3" customFormat="1" x14ac:dyDescent="0.2">
      <c r="A80" s="48">
        <v>2008</v>
      </c>
      <c r="B80" s="51">
        <f t="shared" ref="B80:B90" si="20">SUM(C80:M80)</f>
        <v>29433.5</v>
      </c>
      <c r="C80" s="50">
        <f>(C$75/C$76)*0.5</f>
        <v>29433.5</v>
      </c>
      <c r="D80" s="50"/>
      <c r="E80" s="22"/>
      <c r="F80" s="22"/>
      <c r="G80" s="22"/>
      <c r="H80" s="22"/>
      <c r="I80" s="22"/>
      <c r="J80" s="22"/>
      <c r="K80" s="22"/>
      <c r="L80" s="22"/>
      <c r="M80" s="39"/>
    </row>
    <row r="81" spans="1:13" x14ac:dyDescent="0.2">
      <c r="A81" s="48">
        <v>2009</v>
      </c>
      <c r="B81" s="51">
        <f t="shared" si="20"/>
        <v>74595.7</v>
      </c>
      <c r="C81" s="50">
        <f>(C$75/C$76)</f>
        <v>58867</v>
      </c>
      <c r="D81" s="50">
        <f>(D$75/D$76)*0.5</f>
        <v>15728.7</v>
      </c>
      <c r="E81" s="22"/>
      <c r="F81" s="22"/>
      <c r="G81" s="22"/>
      <c r="H81" s="22"/>
      <c r="I81" s="22"/>
      <c r="J81" s="22"/>
      <c r="K81" s="22"/>
      <c r="L81" s="22"/>
      <c r="M81" s="39"/>
    </row>
    <row r="82" spans="1:13" x14ac:dyDescent="0.2">
      <c r="A82" s="48">
        <v>2010</v>
      </c>
      <c r="B82" s="51">
        <f t="shared" si="20"/>
        <v>107282.50199999999</v>
      </c>
      <c r="C82" s="50">
        <f>(C$75/C$76)</f>
        <v>58867</v>
      </c>
      <c r="D82" s="50">
        <f>(D$75/D$76)</f>
        <v>31457.4</v>
      </c>
      <c r="E82" s="50">
        <f>(E$75/E$76)*0.5</f>
        <v>16958.101999999999</v>
      </c>
      <c r="F82" s="22"/>
      <c r="G82" s="22"/>
      <c r="H82" s="22"/>
      <c r="I82" s="22"/>
      <c r="J82" s="22"/>
      <c r="K82" s="22"/>
      <c r="L82" s="22"/>
      <c r="M82" s="39"/>
    </row>
    <row r="83" spans="1:13" x14ac:dyDescent="0.2">
      <c r="A83" s="48">
        <v>2011</v>
      </c>
      <c r="B83" s="51">
        <f t="shared" si="20"/>
        <v>144634.81999999998</v>
      </c>
      <c r="C83" s="50">
        <f>(C$75/C$76)</f>
        <v>58867</v>
      </c>
      <c r="D83" s="50">
        <f>(D$75/D$76)</f>
        <v>31457.4</v>
      </c>
      <c r="E83" s="50">
        <f>(E$75/E$76)</f>
        <v>33916.203999999998</v>
      </c>
      <c r="F83" s="50">
        <f>(F$75/F$76)*0.5</f>
        <v>20394.215999999997</v>
      </c>
      <c r="G83" s="22"/>
      <c r="H83" s="22"/>
      <c r="I83" s="22"/>
      <c r="J83" s="22"/>
      <c r="K83" s="22"/>
      <c r="L83" s="22"/>
      <c r="M83" s="39"/>
    </row>
    <row r="84" spans="1:13" x14ac:dyDescent="0.2">
      <c r="A84" s="48">
        <v>2012</v>
      </c>
      <c r="B84" s="51">
        <f t="shared" si="20"/>
        <v>169381.601</v>
      </c>
      <c r="C84" s="50">
        <f>(C$75/C$76)</f>
        <v>58867</v>
      </c>
      <c r="D84" s="50">
        <f>(D$75/D$76)</f>
        <v>31457.4</v>
      </c>
      <c r="E84" s="50">
        <f>(E$75/E$76)</f>
        <v>33916.203999999998</v>
      </c>
      <c r="F84" s="50">
        <f>(F$75/F$76)</f>
        <v>40788.431999999993</v>
      </c>
      <c r="G84" s="50">
        <f>(G$75/G$76)*0.5</f>
        <v>4352.5650000000005</v>
      </c>
      <c r="H84" s="22"/>
      <c r="I84" s="22"/>
      <c r="J84" s="22"/>
      <c r="K84" s="22"/>
      <c r="L84" s="22"/>
      <c r="M84" s="39"/>
    </row>
    <row r="85" spans="1:13" x14ac:dyDescent="0.2">
      <c r="A85" s="48">
        <v>2013</v>
      </c>
      <c r="B85" s="51">
        <f t="shared" si="20"/>
        <v>144300.666</v>
      </c>
      <c r="C85" s="50">
        <f>(C$75/C$76)*0.5</f>
        <v>29433.5</v>
      </c>
      <c r="D85" s="50">
        <f>(D$75/D$76)</f>
        <v>31457.4</v>
      </c>
      <c r="E85" s="50">
        <f>(E$75/E$76)</f>
        <v>33916.203999999998</v>
      </c>
      <c r="F85" s="50">
        <f>(F$75/F$76)</f>
        <v>40788.431999999993</v>
      </c>
      <c r="G85" s="50">
        <f>(G$75/G$76)</f>
        <v>8705.130000000001</v>
      </c>
      <c r="H85" s="50">
        <f>(H$75/H$76)*0.5</f>
        <v>0</v>
      </c>
      <c r="I85" s="22"/>
      <c r="J85" s="22"/>
      <c r="K85" s="22"/>
      <c r="L85" s="22"/>
      <c r="M85" s="39"/>
    </row>
    <row r="86" spans="1:13" x14ac:dyDescent="0.2">
      <c r="A86" s="48">
        <v>2014</v>
      </c>
      <c r="B86" s="51">
        <f t="shared" si="20"/>
        <v>102427.79099999998</v>
      </c>
      <c r="C86" s="50"/>
      <c r="D86" s="50">
        <f>(D$75/D$76)*0.5</f>
        <v>15728.7</v>
      </c>
      <c r="E86" s="50">
        <f>(E$75/E$76)</f>
        <v>33916.203999999998</v>
      </c>
      <c r="F86" s="50">
        <f>(F$75/F$76)</f>
        <v>40788.431999999993</v>
      </c>
      <c r="G86" s="50">
        <f>(G$75/G$76)</f>
        <v>8705.130000000001</v>
      </c>
      <c r="H86" s="50">
        <f>(H$75/H$76)</f>
        <v>0</v>
      </c>
      <c r="I86" s="50">
        <f>(I$75/I$76)*0.5</f>
        <v>3289.3249999999998</v>
      </c>
      <c r="J86" s="22"/>
      <c r="K86" s="22"/>
      <c r="L86" s="22"/>
      <c r="M86" s="39"/>
    </row>
    <row r="87" spans="1:13" x14ac:dyDescent="0.2">
      <c r="A87" s="48">
        <v>2015</v>
      </c>
      <c r="B87" s="51">
        <f t="shared" si="20"/>
        <v>73030.313999999984</v>
      </c>
      <c r="C87" s="50"/>
      <c r="D87" s="50"/>
      <c r="E87" s="50">
        <f>(E$75/E$76)*0.5</f>
        <v>16958.101999999999</v>
      </c>
      <c r="F87" s="50">
        <f>(F$75/F$76)</f>
        <v>40788.431999999993</v>
      </c>
      <c r="G87" s="50">
        <f>(G$75/G$76)</f>
        <v>8705.130000000001</v>
      </c>
      <c r="H87" s="50">
        <f>(H$75/H$76)</f>
        <v>0</v>
      </c>
      <c r="I87" s="50">
        <f>(I$75/I$76)</f>
        <v>6578.65</v>
      </c>
      <c r="J87" s="50"/>
      <c r="K87" s="50"/>
      <c r="L87" s="50"/>
      <c r="M87" s="59"/>
    </row>
    <row r="88" spans="1:13" x14ac:dyDescent="0.2">
      <c r="A88" s="48">
        <v>2016</v>
      </c>
      <c r="B88" s="51">
        <f t="shared" si="20"/>
        <v>35677.995999999999</v>
      </c>
      <c r="C88" s="50"/>
      <c r="D88" s="50"/>
      <c r="E88" s="50"/>
      <c r="F88" s="50">
        <f>(F$75/F$76)*0.5</f>
        <v>20394.215999999997</v>
      </c>
      <c r="G88" s="50">
        <f>(G$75/G$76)</f>
        <v>8705.130000000001</v>
      </c>
      <c r="H88" s="50">
        <f>(H$75/H$76)</f>
        <v>0</v>
      </c>
      <c r="I88" s="50">
        <f>(I$75/I$76)</f>
        <v>6578.65</v>
      </c>
      <c r="J88" s="50"/>
      <c r="K88" s="50"/>
      <c r="L88" s="50"/>
      <c r="M88" s="59"/>
    </row>
    <row r="89" spans="1:13" x14ac:dyDescent="0.2">
      <c r="A89" s="48">
        <v>2017</v>
      </c>
      <c r="B89" s="51">
        <f t="shared" si="20"/>
        <v>10931.215</v>
      </c>
      <c r="C89" s="50"/>
      <c r="D89" s="50"/>
      <c r="E89" s="50"/>
      <c r="F89" s="22"/>
      <c r="G89" s="50">
        <f>(G$75/G$76)*0.5</f>
        <v>4352.5650000000005</v>
      </c>
      <c r="H89" s="50">
        <f>(H$75/H$76)</f>
        <v>0</v>
      </c>
      <c r="I89" s="50">
        <f>(I$75/I$76)</f>
        <v>6578.65</v>
      </c>
      <c r="J89" s="50"/>
      <c r="K89" s="50"/>
      <c r="L89" s="50"/>
      <c r="M89" s="59"/>
    </row>
    <row r="90" spans="1:13" x14ac:dyDescent="0.2">
      <c r="A90" s="48">
        <v>2018</v>
      </c>
      <c r="B90" s="51">
        <f t="shared" si="20"/>
        <v>6578.65</v>
      </c>
      <c r="C90" s="50"/>
      <c r="D90" s="50"/>
      <c r="E90" s="50"/>
      <c r="F90" s="22"/>
      <c r="G90" s="22"/>
      <c r="H90" s="50">
        <f>(H$75/H$76)*0.5</f>
        <v>0</v>
      </c>
      <c r="I90" s="50">
        <f>(I$75/I$76)</f>
        <v>6578.65</v>
      </c>
      <c r="J90" s="50"/>
      <c r="K90" s="50"/>
      <c r="L90" s="50"/>
      <c r="M90" s="59"/>
    </row>
    <row r="91" spans="1:13" x14ac:dyDescent="0.2">
      <c r="A91" s="48"/>
      <c r="B91" s="21"/>
      <c r="C91" s="50"/>
      <c r="D91" s="50"/>
      <c r="E91" s="50"/>
      <c r="F91" s="22"/>
      <c r="G91" s="22"/>
      <c r="H91" s="22"/>
      <c r="I91" s="50"/>
      <c r="J91" s="22"/>
      <c r="K91" s="22"/>
      <c r="L91" s="22"/>
      <c r="M91" s="39"/>
    </row>
    <row r="92" spans="1:13" x14ac:dyDescent="0.2">
      <c r="A92" s="60" t="s">
        <v>4</v>
      </c>
      <c r="B92" s="15"/>
      <c r="C92" s="19">
        <f>C75-SUM(C80:C90)</f>
        <v>0</v>
      </c>
      <c r="D92" s="19">
        <f t="shared" ref="D92:M92" si="21">D75-SUM(D80:D90)</f>
        <v>0</v>
      </c>
      <c r="E92" s="19">
        <f t="shared" si="21"/>
        <v>0</v>
      </c>
      <c r="F92" s="19">
        <f t="shared" si="21"/>
        <v>0</v>
      </c>
      <c r="G92" s="19">
        <f t="shared" si="21"/>
        <v>0</v>
      </c>
      <c r="H92" s="19">
        <f t="shared" si="21"/>
        <v>0</v>
      </c>
      <c r="I92" s="19">
        <f t="shared" si="21"/>
        <v>3289.3249999999971</v>
      </c>
      <c r="J92" s="19">
        <f t="shared" si="21"/>
        <v>0</v>
      </c>
      <c r="K92" s="19">
        <f t="shared" si="21"/>
        <v>0</v>
      </c>
      <c r="L92" s="19">
        <f t="shared" si="21"/>
        <v>0</v>
      </c>
      <c r="M92" s="61">
        <f t="shared" si="21"/>
        <v>0</v>
      </c>
    </row>
    <row r="93" spans="1:13" x14ac:dyDescent="0.2">
      <c r="A93" s="13"/>
      <c r="B93" s="8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</row>
    <row r="94" spans="1:13" x14ac:dyDescent="0.2">
      <c r="A94" s="13"/>
      <c r="B94" s="8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</row>
    <row r="95" spans="1:13" ht="15" x14ac:dyDescent="0.25">
      <c r="A95" s="33" t="s">
        <v>7</v>
      </c>
      <c r="B95" s="34"/>
      <c r="C95" s="35"/>
      <c r="D95" s="35"/>
      <c r="E95" s="35"/>
      <c r="F95" s="35"/>
      <c r="G95" s="36"/>
      <c r="H95" s="35"/>
      <c r="I95" s="35"/>
      <c r="J95" s="35"/>
      <c r="K95" s="35"/>
      <c r="L95" s="35"/>
      <c r="M95" s="37"/>
    </row>
    <row r="96" spans="1:13" x14ac:dyDescent="0.2">
      <c r="A96" s="48"/>
      <c r="B96" s="21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39"/>
    </row>
    <row r="97" spans="1:13" x14ac:dyDescent="0.2">
      <c r="A97" s="48"/>
      <c r="B97" s="21"/>
      <c r="C97" s="9">
        <v>2008</v>
      </c>
      <c r="D97" s="9">
        <v>2009</v>
      </c>
      <c r="E97" s="9">
        <v>2010</v>
      </c>
      <c r="F97" s="9">
        <v>2011</v>
      </c>
      <c r="G97" s="9">
        <v>2012</v>
      </c>
      <c r="H97" s="9">
        <v>2013</v>
      </c>
      <c r="I97" s="9">
        <v>2014</v>
      </c>
      <c r="J97" s="9">
        <v>2015</v>
      </c>
      <c r="K97" s="9">
        <v>2016</v>
      </c>
      <c r="L97" s="9">
        <v>2017</v>
      </c>
      <c r="M97" s="40">
        <v>2018</v>
      </c>
    </row>
    <row r="98" spans="1:13" x14ac:dyDescent="0.2">
      <c r="A98" s="38"/>
      <c r="B98" s="41" t="s">
        <v>3</v>
      </c>
      <c r="C98" s="28">
        <v>312165</v>
      </c>
      <c r="D98" s="28">
        <v>74776</v>
      </c>
      <c r="E98" s="28">
        <f>69014.48+7554.51-10143</f>
        <v>66425.989999999991</v>
      </c>
      <c r="F98" s="28">
        <f>65333.35-2068.35</f>
        <v>63265</v>
      </c>
      <c r="G98" s="28">
        <v>5792</v>
      </c>
      <c r="H98" s="28"/>
      <c r="I98" s="28"/>
      <c r="J98" s="28"/>
      <c r="K98" s="28"/>
      <c r="L98" s="28"/>
      <c r="M98" s="42"/>
    </row>
    <row r="99" spans="1:13" s="5" customFormat="1" ht="11.25" x14ac:dyDescent="0.2">
      <c r="A99" s="43" t="s">
        <v>1</v>
      </c>
      <c r="B99" s="44"/>
      <c r="C99" s="44">
        <v>15</v>
      </c>
      <c r="D99" s="44">
        <v>15</v>
      </c>
      <c r="E99" s="44">
        <v>15</v>
      </c>
      <c r="F99" s="44">
        <v>15</v>
      </c>
      <c r="G99" s="44">
        <v>15</v>
      </c>
      <c r="H99" s="44">
        <v>15</v>
      </c>
      <c r="I99" s="44">
        <v>15</v>
      </c>
      <c r="J99" s="44">
        <v>12</v>
      </c>
      <c r="K99" s="44">
        <v>12</v>
      </c>
      <c r="L99" s="44">
        <v>12</v>
      </c>
      <c r="M99" s="45">
        <v>12</v>
      </c>
    </row>
    <row r="100" spans="1:13" s="5" customFormat="1" ht="11.25" x14ac:dyDescent="0.2">
      <c r="A100" s="43" t="s">
        <v>5</v>
      </c>
      <c r="B100" s="44"/>
      <c r="C100" s="44"/>
      <c r="D100" s="44"/>
      <c r="E100" s="44"/>
      <c r="F100" s="44"/>
      <c r="G100" s="44"/>
      <c r="H100" s="44"/>
      <c r="I100" s="46"/>
      <c r="J100" s="44"/>
      <c r="K100" s="46"/>
      <c r="L100" s="44"/>
      <c r="M100" s="45"/>
    </row>
    <row r="101" spans="1:13" s="5" customFormat="1" ht="11.25" x14ac:dyDescent="0.2">
      <c r="A101" s="43" t="s">
        <v>11</v>
      </c>
      <c r="B101" s="44"/>
      <c r="C101" s="44"/>
      <c r="D101" s="44"/>
      <c r="E101" s="44"/>
      <c r="F101" s="44"/>
      <c r="G101" s="44"/>
      <c r="H101" s="44"/>
      <c r="I101" s="46"/>
      <c r="J101" s="44"/>
      <c r="K101" s="46"/>
      <c r="L101" s="44"/>
      <c r="M101" s="45"/>
    </row>
    <row r="102" spans="1:13" x14ac:dyDescent="0.2">
      <c r="A102" s="47" t="s">
        <v>14</v>
      </c>
      <c r="B102" s="21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39"/>
    </row>
    <row r="103" spans="1:13" s="3" customFormat="1" x14ac:dyDescent="0.2">
      <c r="A103" s="48">
        <v>2008</v>
      </c>
      <c r="B103" s="51">
        <f t="shared" ref="B103:B108" si="22">SUM(C103:M103)</f>
        <v>10405.5</v>
      </c>
      <c r="C103" s="50">
        <f>(C$98/C$99)*0.5</f>
        <v>10405.5</v>
      </c>
      <c r="D103" s="50"/>
      <c r="E103" s="22"/>
      <c r="F103" s="22"/>
      <c r="G103" s="22"/>
      <c r="H103" s="22"/>
      <c r="I103" s="22"/>
      <c r="J103" s="22"/>
      <c r="K103" s="22"/>
      <c r="L103" s="22"/>
      <c r="M103" s="39"/>
    </row>
    <row r="104" spans="1:13" x14ac:dyDescent="0.2">
      <c r="A104" s="48">
        <v>2009</v>
      </c>
      <c r="B104" s="51">
        <f t="shared" si="22"/>
        <v>23303.533333333333</v>
      </c>
      <c r="C104" s="50">
        <f>(C$98/C$99)</f>
        <v>20811</v>
      </c>
      <c r="D104" s="50">
        <f>(D$98/D$99)*0.5</f>
        <v>2492.5333333333333</v>
      </c>
      <c r="E104" s="22"/>
      <c r="F104" s="22"/>
      <c r="G104" s="22"/>
      <c r="H104" s="22"/>
      <c r="I104" s="22"/>
      <c r="J104" s="22"/>
      <c r="K104" s="22"/>
      <c r="L104" s="22"/>
      <c r="M104" s="39"/>
    </row>
    <row r="105" spans="1:13" x14ac:dyDescent="0.2">
      <c r="A105" s="48">
        <v>2010</v>
      </c>
      <c r="B105" s="51">
        <f t="shared" si="22"/>
        <v>28010.266333333333</v>
      </c>
      <c r="C105" s="50">
        <f>(C$98/C$99)</f>
        <v>20811</v>
      </c>
      <c r="D105" s="50">
        <f>(D$98/D$99)</f>
        <v>4985.0666666666666</v>
      </c>
      <c r="E105" s="50">
        <f>(E$98/E$99)*0.5</f>
        <v>2214.1996666666664</v>
      </c>
      <c r="F105" s="22"/>
      <c r="G105" s="22"/>
      <c r="H105" s="22"/>
      <c r="I105" s="22"/>
      <c r="J105" s="22"/>
      <c r="K105" s="22"/>
      <c r="L105" s="22"/>
      <c r="M105" s="39"/>
    </row>
    <row r="106" spans="1:13" x14ac:dyDescent="0.2">
      <c r="A106" s="48">
        <v>2011</v>
      </c>
      <c r="B106" s="51">
        <f t="shared" si="22"/>
        <v>32333.299333333332</v>
      </c>
      <c r="C106" s="50">
        <f>(C$98/C$99)</f>
        <v>20811</v>
      </c>
      <c r="D106" s="50">
        <f>(D$98/D$99)</f>
        <v>4985.0666666666666</v>
      </c>
      <c r="E106" s="50">
        <f>(E$98/E$99)</f>
        <v>4428.3993333333328</v>
      </c>
      <c r="F106" s="50">
        <f>(F$98/F$99)*0.5</f>
        <v>2108.8333333333335</v>
      </c>
      <c r="G106" s="22"/>
      <c r="H106" s="22"/>
      <c r="I106" s="22"/>
      <c r="J106" s="22"/>
      <c r="K106" s="22"/>
      <c r="L106" s="22"/>
      <c r="M106" s="39"/>
    </row>
    <row r="107" spans="1:13" x14ac:dyDescent="0.2">
      <c r="A107" s="48">
        <v>2012</v>
      </c>
      <c r="B107" s="51">
        <f t="shared" si="22"/>
        <v>34635.19933333333</v>
      </c>
      <c r="C107" s="50">
        <f>(C$98/C$99)</f>
        <v>20811</v>
      </c>
      <c r="D107" s="50">
        <f>(D$98/D$99)</f>
        <v>4985.0666666666666</v>
      </c>
      <c r="E107" s="50">
        <f>(E$98/E$99)</f>
        <v>4428.3993333333328</v>
      </c>
      <c r="F107" s="50">
        <f>(F$98/F$99)</f>
        <v>4217.666666666667</v>
      </c>
      <c r="G107" s="50">
        <f>(G$98/G$99)*0.5</f>
        <v>193.06666666666666</v>
      </c>
      <c r="H107" s="22"/>
      <c r="I107" s="22"/>
      <c r="J107" s="22"/>
      <c r="K107" s="22"/>
      <c r="L107" s="22"/>
      <c r="M107" s="39"/>
    </row>
    <row r="108" spans="1:13" x14ac:dyDescent="0.2">
      <c r="A108" s="48">
        <v>2013</v>
      </c>
      <c r="B108" s="51">
        <f t="shared" si="22"/>
        <v>34828.265999999996</v>
      </c>
      <c r="C108" s="50">
        <f>(C$98/C$99)</f>
        <v>20811</v>
      </c>
      <c r="D108" s="50">
        <f>(D$98/D$99)</f>
        <v>4985.0666666666666</v>
      </c>
      <c r="E108" s="50">
        <f>(E$98/E$99)</f>
        <v>4428.3993333333328</v>
      </c>
      <c r="F108" s="50">
        <f>(F$98/F$99)</f>
        <v>4217.666666666667</v>
      </c>
      <c r="G108" s="50">
        <f>(G$98/G$99)</f>
        <v>386.13333333333333</v>
      </c>
      <c r="H108" s="50">
        <f>(H$98/H$99)*0.5</f>
        <v>0</v>
      </c>
      <c r="I108" s="22"/>
      <c r="J108" s="22"/>
      <c r="K108" s="22"/>
      <c r="L108" s="22"/>
      <c r="M108" s="39"/>
    </row>
    <row r="109" spans="1:13" x14ac:dyDescent="0.2">
      <c r="A109" s="53" t="s">
        <v>4</v>
      </c>
      <c r="B109" s="21"/>
      <c r="C109" s="54">
        <f>C98-SUM(C103:C108)</f>
        <v>197704.5</v>
      </c>
      <c r="D109" s="54">
        <f>D98-SUM(D104:D108)</f>
        <v>52343.199999999997</v>
      </c>
      <c r="E109" s="54">
        <f>E98-SUM(E104:E108)</f>
        <v>50926.592333333327</v>
      </c>
      <c r="F109" s="54">
        <f>F98-SUM(F104:F108)</f>
        <v>52720.833333333328</v>
      </c>
      <c r="G109" s="54">
        <f>G98-SUM(G104:G108)</f>
        <v>5212.8</v>
      </c>
      <c r="H109" s="54">
        <f>H98-SUM(H104:H108)</f>
        <v>0</v>
      </c>
      <c r="I109" s="54">
        <f t="shared" ref="I109:M109" si="23">I98-SUM(I104:I108)</f>
        <v>0</v>
      </c>
      <c r="J109" s="54">
        <f t="shared" si="23"/>
        <v>0</v>
      </c>
      <c r="K109" s="54">
        <f t="shared" si="23"/>
        <v>0</v>
      </c>
      <c r="L109" s="54">
        <f t="shared" si="23"/>
        <v>0</v>
      </c>
      <c r="M109" s="55">
        <f t="shared" si="23"/>
        <v>0</v>
      </c>
    </row>
    <row r="110" spans="1:13" s="5" customFormat="1" ht="11.25" x14ac:dyDescent="0.2">
      <c r="A110" s="43" t="s">
        <v>1</v>
      </c>
      <c r="B110" s="44"/>
      <c r="C110" s="44">
        <v>12</v>
      </c>
      <c r="D110" s="44">
        <v>12</v>
      </c>
      <c r="E110" s="44">
        <v>12</v>
      </c>
      <c r="F110" s="44">
        <v>12</v>
      </c>
      <c r="G110" s="44">
        <v>12</v>
      </c>
      <c r="H110" s="44">
        <v>12</v>
      </c>
      <c r="I110" s="44">
        <v>12</v>
      </c>
      <c r="J110" s="44">
        <v>12</v>
      </c>
      <c r="K110" s="44">
        <v>12</v>
      </c>
      <c r="L110" s="44">
        <v>12</v>
      </c>
      <c r="M110" s="45">
        <v>12</v>
      </c>
    </row>
    <row r="111" spans="1:13" s="6" customFormat="1" ht="11.25" x14ac:dyDescent="0.2">
      <c r="A111" s="56" t="s">
        <v>13</v>
      </c>
      <c r="B111" s="57"/>
      <c r="C111" s="57">
        <f>12-5.5</f>
        <v>6.5</v>
      </c>
      <c r="D111" s="57">
        <f>C111+1</f>
        <v>7.5</v>
      </c>
      <c r="E111" s="57">
        <f>D111+1</f>
        <v>8.5</v>
      </c>
      <c r="F111" s="57">
        <f>E111+1</f>
        <v>9.5</v>
      </c>
      <c r="G111" s="57">
        <f>F111+1</f>
        <v>10.5</v>
      </c>
      <c r="H111" s="57">
        <f>G111+1</f>
        <v>11.5</v>
      </c>
      <c r="I111" s="57">
        <f>I110</f>
        <v>12</v>
      </c>
      <c r="J111" s="57">
        <f t="shared" ref="J111" si="24">J110</f>
        <v>12</v>
      </c>
      <c r="K111" s="57">
        <f t="shared" ref="K111" si="25">K110</f>
        <v>12</v>
      </c>
      <c r="L111" s="57">
        <f t="shared" ref="L111" si="26">L110</f>
        <v>12</v>
      </c>
      <c r="M111" s="58">
        <f t="shared" ref="M111" si="27">M110</f>
        <v>12</v>
      </c>
    </row>
    <row r="112" spans="1:13" x14ac:dyDescent="0.2">
      <c r="A112" s="48">
        <v>2014</v>
      </c>
      <c r="B112" s="51">
        <f t="shared" ref="B112:B116" si="28">SUM(C112:M112)</f>
        <v>49432.552606697733</v>
      </c>
      <c r="C112" s="50">
        <f t="shared" ref="C112:H116" si="29">(C$109/C$111)</f>
        <v>30416.076923076922</v>
      </c>
      <c r="D112" s="50">
        <f t="shared" si="29"/>
        <v>6979.0933333333332</v>
      </c>
      <c r="E112" s="50">
        <f t="shared" si="29"/>
        <v>5991.3638039215675</v>
      </c>
      <c r="F112" s="50">
        <f t="shared" si="29"/>
        <v>5549.561403508771</v>
      </c>
      <c r="G112" s="50">
        <f t="shared" si="29"/>
        <v>496.45714285714286</v>
      </c>
      <c r="H112" s="50">
        <f t="shared" si="29"/>
        <v>0</v>
      </c>
      <c r="I112" s="50">
        <f>(I$109/I$111)*0.5</f>
        <v>0</v>
      </c>
      <c r="J112" s="22"/>
      <c r="K112" s="22"/>
      <c r="L112" s="22"/>
      <c r="M112" s="39"/>
    </row>
    <row r="113" spans="1:13" x14ac:dyDescent="0.2">
      <c r="A113" s="48">
        <v>2015</v>
      </c>
      <c r="B113" s="51">
        <f t="shared" si="28"/>
        <v>49432.552606697733</v>
      </c>
      <c r="C113" s="50">
        <f t="shared" si="29"/>
        <v>30416.076923076922</v>
      </c>
      <c r="D113" s="50">
        <f t="shared" si="29"/>
        <v>6979.0933333333332</v>
      </c>
      <c r="E113" s="50">
        <f t="shared" si="29"/>
        <v>5991.3638039215675</v>
      </c>
      <c r="F113" s="50">
        <f t="shared" si="29"/>
        <v>5549.561403508771</v>
      </c>
      <c r="G113" s="50">
        <f t="shared" si="29"/>
        <v>496.45714285714286</v>
      </c>
      <c r="H113" s="50">
        <f t="shared" si="29"/>
        <v>0</v>
      </c>
      <c r="I113" s="50">
        <f>(I$109/I$111)</f>
        <v>0</v>
      </c>
      <c r="J113" s="50">
        <f>(J$109/J$111)*0.5</f>
        <v>0</v>
      </c>
      <c r="K113" s="50"/>
      <c r="L113" s="50"/>
      <c r="M113" s="59"/>
    </row>
    <row r="114" spans="1:13" x14ac:dyDescent="0.2">
      <c r="A114" s="48">
        <v>2016</v>
      </c>
      <c r="B114" s="51">
        <f t="shared" si="28"/>
        <v>49432.552606697733</v>
      </c>
      <c r="C114" s="50">
        <f t="shared" si="29"/>
        <v>30416.076923076922</v>
      </c>
      <c r="D114" s="50">
        <f t="shared" si="29"/>
        <v>6979.0933333333332</v>
      </c>
      <c r="E114" s="50">
        <f t="shared" si="29"/>
        <v>5991.3638039215675</v>
      </c>
      <c r="F114" s="50">
        <f t="shared" si="29"/>
        <v>5549.561403508771</v>
      </c>
      <c r="G114" s="50">
        <f t="shared" si="29"/>
        <v>496.45714285714286</v>
      </c>
      <c r="H114" s="50">
        <f t="shared" si="29"/>
        <v>0</v>
      </c>
      <c r="I114" s="50">
        <f>(I$109/I$111)</f>
        <v>0</v>
      </c>
      <c r="J114" s="50">
        <f>(J$109/J$111)</f>
        <v>0</v>
      </c>
      <c r="K114" s="50">
        <f>(K$109/K$111)*0.5</f>
        <v>0</v>
      </c>
      <c r="L114" s="50"/>
      <c r="M114" s="59"/>
    </row>
    <row r="115" spans="1:13" x14ac:dyDescent="0.2">
      <c r="A115" s="48">
        <v>2017</v>
      </c>
      <c r="B115" s="51">
        <f t="shared" si="28"/>
        <v>49432.552606697733</v>
      </c>
      <c r="C115" s="50">
        <f t="shared" si="29"/>
        <v>30416.076923076922</v>
      </c>
      <c r="D115" s="50">
        <f t="shared" si="29"/>
        <v>6979.0933333333332</v>
      </c>
      <c r="E115" s="50">
        <f t="shared" si="29"/>
        <v>5991.3638039215675</v>
      </c>
      <c r="F115" s="50">
        <f t="shared" si="29"/>
        <v>5549.561403508771</v>
      </c>
      <c r="G115" s="50">
        <f t="shared" si="29"/>
        <v>496.45714285714286</v>
      </c>
      <c r="H115" s="50">
        <f t="shared" si="29"/>
        <v>0</v>
      </c>
      <c r="I115" s="50">
        <f>(I$109/I$111)</f>
        <v>0</v>
      </c>
      <c r="J115" s="50">
        <f>(J$109/J$111)</f>
        <v>0</v>
      </c>
      <c r="K115" s="50">
        <f>(K$109/K$111)</f>
        <v>0</v>
      </c>
      <c r="L115" s="50">
        <f>(L$109/L$111)*0.5</f>
        <v>0</v>
      </c>
      <c r="M115" s="59"/>
    </row>
    <row r="116" spans="1:13" x14ac:dyDescent="0.2">
      <c r="A116" s="48">
        <v>2018</v>
      </c>
      <c r="B116" s="51">
        <f t="shared" si="28"/>
        <v>49432.552606697733</v>
      </c>
      <c r="C116" s="50">
        <f t="shared" si="29"/>
        <v>30416.076923076922</v>
      </c>
      <c r="D116" s="50">
        <f t="shared" si="29"/>
        <v>6979.0933333333332</v>
      </c>
      <c r="E116" s="50">
        <f t="shared" si="29"/>
        <v>5991.3638039215675</v>
      </c>
      <c r="F116" s="50">
        <f t="shared" si="29"/>
        <v>5549.561403508771</v>
      </c>
      <c r="G116" s="50">
        <f t="shared" si="29"/>
        <v>496.45714285714286</v>
      </c>
      <c r="H116" s="50">
        <f t="shared" si="29"/>
        <v>0</v>
      </c>
      <c r="I116" s="50">
        <f>(I$109/I$111)</f>
        <v>0</v>
      </c>
      <c r="J116" s="50">
        <f>(J$109/J$111)</f>
        <v>0</v>
      </c>
      <c r="K116" s="50">
        <f>(K$109/K$111)</f>
        <v>0</v>
      </c>
      <c r="L116" s="50">
        <f>(L$109/L$111)</f>
        <v>0</v>
      </c>
      <c r="M116" s="59">
        <f>(M$109/M$111)*0.5</f>
        <v>0</v>
      </c>
    </row>
    <row r="117" spans="1:13" x14ac:dyDescent="0.2">
      <c r="A117" s="48"/>
      <c r="B117" s="21"/>
      <c r="C117" s="50"/>
      <c r="D117" s="50"/>
      <c r="E117" s="50"/>
      <c r="F117" s="22"/>
      <c r="G117" s="22"/>
      <c r="H117" s="22"/>
      <c r="I117" s="22"/>
      <c r="J117" s="22"/>
      <c r="K117" s="22"/>
      <c r="L117" s="22"/>
      <c r="M117" s="39"/>
    </row>
    <row r="118" spans="1:13" x14ac:dyDescent="0.2">
      <c r="A118" s="60" t="s">
        <v>4</v>
      </c>
      <c r="B118" s="15"/>
      <c r="C118" s="19">
        <f t="shared" ref="C118:M118" si="30">C109-SUM(C112:C116)</f>
        <v>45624.115384615376</v>
      </c>
      <c r="D118" s="19">
        <f t="shared" si="30"/>
        <v>17447.73333333333</v>
      </c>
      <c r="E118" s="19">
        <f t="shared" si="30"/>
        <v>20969.773313725491</v>
      </c>
      <c r="F118" s="19">
        <f t="shared" si="30"/>
        <v>24973.026315789473</v>
      </c>
      <c r="G118" s="19">
        <f t="shared" si="30"/>
        <v>2730.514285714286</v>
      </c>
      <c r="H118" s="19">
        <f t="shared" si="30"/>
        <v>0</v>
      </c>
      <c r="I118" s="19">
        <f t="shared" si="30"/>
        <v>0</v>
      </c>
      <c r="J118" s="19">
        <f t="shared" si="30"/>
        <v>0</v>
      </c>
      <c r="K118" s="19">
        <f t="shared" si="30"/>
        <v>0</v>
      </c>
      <c r="L118" s="19">
        <f t="shared" si="30"/>
        <v>0</v>
      </c>
      <c r="M118" s="61">
        <f t="shared" si="30"/>
        <v>0</v>
      </c>
    </row>
    <row r="119" spans="1:13" x14ac:dyDescent="0.2">
      <c r="A119" s="1"/>
    </row>
    <row r="120" spans="1:13" x14ac:dyDescent="0.2">
      <c r="A120" s="1"/>
    </row>
    <row r="121" spans="1:13" x14ac:dyDescent="0.2">
      <c r="A121" s="1"/>
    </row>
    <row r="122" spans="1:13" x14ac:dyDescent="0.2">
      <c r="A122" s="1"/>
    </row>
    <row r="123" spans="1:13" x14ac:dyDescent="0.2">
      <c r="A123" s="1"/>
    </row>
    <row r="124" spans="1:13" x14ac:dyDescent="0.2">
      <c r="A124" s="1"/>
    </row>
    <row r="125" spans="1:13" x14ac:dyDescent="0.2">
      <c r="A125" s="1"/>
    </row>
    <row r="126" spans="1:13" x14ac:dyDescent="0.2">
      <c r="A126" s="1"/>
    </row>
  </sheetData>
  <mergeCells count="2">
    <mergeCell ref="A3:M3"/>
    <mergeCell ref="A17:M17"/>
  </mergeCells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OEB Depreciation Summary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Leanne Veurtjes</dc:creator>
  <cp:lastModifiedBy>Cindy Perrin</cp:lastModifiedBy>
  <cp:lastPrinted>2017-11-23T16:06:07Z</cp:lastPrinted>
  <dcterms:created xsi:type="dcterms:W3CDTF">2017-11-21T14:14:56Z</dcterms:created>
  <dcterms:modified xsi:type="dcterms:W3CDTF">2017-11-23T23:53:48Z</dcterms:modified>
</cp:coreProperties>
</file>