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/>
  <bookViews>
    <workbookView xWindow="0" yWindow="0" windowWidth="18504" windowHeight="7224"/>
  </bookViews>
  <sheets>
    <sheet name="IPC Pole Attach Calc" sheetId="1" r:id="rId1"/>
    <sheet name="Data &amp; Calculations" sheetId="2" r:id="rId2"/>
    <sheet name="Field Verification" sheetId="4" r:id="rId3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8" i="2" l="1"/>
  <c r="G67" i="2"/>
  <c r="G66" i="2"/>
  <c r="G65" i="2"/>
  <c r="G70" i="2" s="1"/>
  <c r="G71" i="2" s="1"/>
  <c r="D18" i="1" s="1"/>
  <c r="D76" i="2" l="1"/>
  <c r="I12" i="1" l="1"/>
  <c r="B2" i="4" l="1"/>
  <c r="G2" i="4"/>
  <c r="H2" i="4" s="1"/>
  <c r="G3" i="4"/>
  <c r="H3" i="4" s="1"/>
  <c r="B4" i="4"/>
  <c r="B5" i="4" s="1"/>
  <c r="B6" i="4" s="1"/>
  <c r="B7" i="4" s="1"/>
  <c r="B8" i="4" s="1"/>
  <c r="B9" i="4" s="1"/>
  <c r="B10" i="4" s="1"/>
  <c r="B11" i="4" s="1"/>
  <c r="B12" i="4" s="1"/>
  <c r="B13" i="4" s="1"/>
  <c r="B14" i="4" s="1"/>
  <c r="B15" i="4" s="1"/>
  <c r="B16" i="4" s="1"/>
  <c r="B17" i="4" s="1"/>
  <c r="B18" i="4" s="1"/>
  <c r="B19" i="4" s="1"/>
  <c r="B20" i="4" s="1"/>
  <c r="B21" i="4" s="1"/>
  <c r="B22" i="4" s="1"/>
  <c r="B23" i="4" s="1"/>
  <c r="B24" i="4" s="1"/>
  <c r="B25" i="4" s="1"/>
  <c r="B26" i="4" s="1"/>
  <c r="B27" i="4" s="1"/>
  <c r="B28" i="4" s="1"/>
  <c r="B29" i="4" s="1"/>
  <c r="B30" i="4" s="1"/>
  <c r="B31" i="4" s="1"/>
  <c r="B32" i="4" s="1"/>
  <c r="B33" i="4" s="1"/>
  <c r="B34" i="4" s="1"/>
  <c r="B35" i="4" s="1"/>
  <c r="B36" i="4" s="1"/>
  <c r="B37" i="4" s="1"/>
  <c r="B38" i="4" s="1"/>
  <c r="B39" i="4" s="1"/>
  <c r="B40" i="4" s="1"/>
  <c r="B41" i="4" s="1"/>
  <c r="B42" i="4" s="1"/>
  <c r="B43" i="4" s="1"/>
  <c r="B44" i="4" s="1"/>
  <c r="B45" i="4" s="1"/>
  <c r="B46" i="4" s="1"/>
  <c r="B47" i="4" s="1"/>
  <c r="B48" i="4" s="1"/>
  <c r="B49" i="4" s="1"/>
  <c r="B50" i="4" s="1"/>
  <c r="B51" i="4" s="1"/>
  <c r="B52" i="4" s="1"/>
  <c r="B53" i="4" s="1"/>
  <c r="B54" i="4" s="1"/>
  <c r="B55" i="4" s="1"/>
  <c r="B56" i="4" s="1"/>
  <c r="B57" i="4" s="1"/>
  <c r="B58" i="4" s="1"/>
  <c r="B59" i="4" s="1"/>
  <c r="B60" i="4" s="1"/>
  <c r="B61" i="4" s="1"/>
  <c r="B62" i="4" s="1"/>
  <c r="G4" i="4"/>
  <c r="H4" i="4"/>
  <c r="G5" i="4"/>
  <c r="H5" i="4" s="1"/>
  <c r="G6" i="4"/>
  <c r="H6" i="4" s="1"/>
  <c r="G7" i="4"/>
  <c r="H7" i="4" s="1"/>
  <c r="G8" i="4"/>
  <c r="H8" i="4"/>
  <c r="G9" i="4"/>
  <c r="H9" i="4" s="1"/>
  <c r="G10" i="4"/>
  <c r="H10" i="4"/>
  <c r="G11" i="4"/>
  <c r="H11" i="4" s="1"/>
  <c r="G12" i="4"/>
  <c r="H12" i="4"/>
  <c r="G13" i="4"/>
  <c r="H13" i="4" s="1"/>
  <c r="G14" i="4"/>
  <c r="H14" i="4" s="1"/>
  <c r="G15" i="4"/>
  <c r="H15" i="4" s="1"/>
  <c r="G16" i="4"/>
  <c r="H16" i="4"/>
  <c r="G17" i="4"/>
  <c r="H17" i="4" s="1"/>
  <c r="G18" i="4"/>
  <c r="H18" i="4"/>
  <c r="G19" i="4"/>
  <c r="H19" i="4" s="1"/>
  <c r="G20" i="4"/>
  <c r="H20" i="4"/>
  <c r="G21" i="4"/>
  <c r="H21" i="4" s="1"/>
  <c r="G22" i="4"/>
  <c r="H22" i="4" s="1"/>
  <c r="G23" i="4"/>
  <c r="H23" i="4" s="1"/>
  <c r="G24" i="4"/>
  <c r="H24" i="4"/>
  <c r="G25" i="4"/>
  <c r="H25" i="4" s="1"/>
  <c r="G26" i="4"/>
  <c r="H26" i="4"/>
  <c r="G27" i="4"/>
  <c r="H27" i="4" s="1"/>
  <c r="G28" i="4"/>
  <c r="H28" i="4"/>
  <c r="G29" i="4"/>
  <c r="H29" i="4" s="1"/>
  <c r="G30" i="4"/>
  <c r="H30" i="4" s="1"/>
  <c r="G31" i="4"/>
  <c r="H31" i="4" s="1"/>
  <c r="G32" i="4"/>
  <c r="H32" i="4"/>
  <c r="G33" i="4"/>
  <c r="H33" i="4" s="1"/>
  <c r="G34" i="4"/>
  <c r="H34" i="4"/>
  <c r="G35" i="4"/>
  <c r="H35" i="4" s="1"/>
  <c r="G36" i="4"/>
  <c r="H36" i="4"/>
  <c r="G37" i="4"/>
  <c r="H37" i="4" s="1"/>
  <c r="G38" i="4"/>
  <c r="H38" i="4" s="1"/>
  <c r="G39" i="4"/>
  <c r="H39" i="4" s="1"/>
  <c r="G40" i="4"/>
  <c r="H40" i="4"/>
  <c r="G41" i="4"/>
  <c r="H41" i="4" s="1"/>
  <c r="H42" i="4"/>
  <c r="G43" i="4"/>
  <c r="H43" i="4"/>
  <c r="G44" i="4"/>
  <c r="H44" i="4" s="1"/>
  <c r="G45" i="4"/>
  <c r="H45" i="4"/>
  <c r="G46" i="4"/>
  <c r="H46" i="4" s="1"/>
  <c r="G47" i="4"/>
  <c r="H47" i="4"/>
  <c r="G48" i="4"/>
  <c r="H48" i="4" s="1"/>
  <c r="G49" i="4"/>
  <c r="H49" i="4" s="1"/>
  <c r="G50" i="4"/>
  <c r="H50" i="4" s="1"/>
  <c r="G51" i="4"/>
  <c r="H51" i="4"/>
  <c r="G52" i="4"/>
  <c r="H52" i="4" s="1"/>
  <c r="G53" i="4"/>
  <c r="H53" i="4"/>
  <c r="G54" i="4"/>
  <c r="H54" i="4" s="1"/>
  <c r="G55" i="4"/>
  <c r="H55" i="4"/>
  <c r="G56" i="4"/>
  <c r="H56" i="4" s="1"/>
  <c r="G57" i="4"/>
  <c r="H57" i="4" s="1"/>
  <c r="G58" i="4"/>
  <c r="H58" i="4" s="1"/>
  <c r="G59" i="4"/>
  <c r="H59" i="4"/>
  <c r="G60" i="4"/>
  <c r="H60" i="4" s="1"/>
  <c r="G61" i="4"/>
  <c r="H61" i="4"/>
  <c r="G62" i="4"/>
  <c r="H62" i="4" s="1"/>
  <c r="H63" i="4" l="1"/>
  <c r="G66" i="4"/>
  <c r="I7" i="1" s="1"/>
  <c r="G68" i="4"/>
  <c r="I8" i="1" s="1"/>
  <c r="D44" i="2"/>
  <c r="I9" i="1" l="1"/>
  <c r="J7" i="1"/>
  <c r="K7" i="1" s="1"/>
  <c r="J8" i="1"/>
  <c r="K8" i="1" s="1"/>
  <c r="G72" i="4"/>
  <c r="I11" i="1"/>
  <c r="G70" i="4"/>
  <c r="H66" i="4"/>
  <c r="I66" i="4" s="1"/>
  <c r="D54" i="2"/>
  <c r="D14" i="1" s="1"/>
  <c r="D53" i="2"/>
  <c r="D52" i="2"/>
  <c r="K9" i="1" l="1"/>
  <c r="I14" i="1"/>
  <c r="I13" i="1"/>
  <c r="G76" i="4"/>
  <c r="G78" i="4"/>
  <c r="D11" i="2" s="1"/>
  <c r="H68" i="4"/>
  <c r="I68" i="4" s="1"/>
  <c r="D46" i="2"/>
  <c r="D13" i="1" s="1"/>
  <c r="D45" i="2"/>
  <c r="D36" i="2" l="1"/>
  <c r="D37" i="2" s="1"/>
  <c r="D38" i="2" s="1"/>
  <c r="D59" i="2" s="1"/>
  <c r="D15" i="1" s="1"/>
  <c r="D16" i="1" s="1"/>
  <c r="D20" i="1" s="1"/>
  <c r="D12" i="1" l="1"/>
  <c r="G26" i="2"/>
  <c r="D25" i="2"/>
  <c r="G25" i="2" s="1"/>
  <c r="G27" i="2" s="1"/>
  <c r="G22" i="2"/>
  <c r="D21" i="2"/>
  <c r="G21" i="2" s="1"/>
  <c r="G23" i="2" s="1"/>
  <c r="D6" i="2"/>
  <c r="G6" i="2" s="1"/>
  <c r="G18" i="2"/>
  <c r="D17" i="2"/>
  <c r="G17" i="2" s="1"/>
  <c r="D12" i="2"/>
  <c r="G19" i="2" l="1"/>
  <c r="G28" i="2" s="1"/>
  <c r="G29" i="2" s="1"/>
  <c r="D8" i="1" s="1"/>
  <c r="D4" i="2"/>
  <c r="G4" i="2" l="1"/>
  <c r="D5" i="2"/>
  <c r="G5" i="2" s="1"/>
  <c r="G7" i="2" l="1"/>
  <c r="D13" i="2" s="1"/>
  <c r="D7" i="1" s="1"/>
  <c r="D9" i="1" s="1"/>
  <c r="D22" i="1" s="1"/>
</calcChain>
</file>

<file path=xl/sharedStrings.xml><?xml version="1.0" encoding="utf-8"?>
<sst xmlns="http://schemas.openxmlformats.org/spreadsheetml/2006/main" count="264" uniqueCount="214">
  <si>
    <t>InnPower Appendix: Calculation of Pole Attachment Charge</t>
  </si>
  <si>
    <t>Price Component - Per Pole</t>
  </si>
  <si>
    <t>$</t>
  </si>
  <si>
    <t>Explaination</t>
  </si>
  <si>
    <t>Direct Costs</t>
  </si>
  <si>
    <t>A</t>
  </si>
  <si>
    <t>Administration Costs</t>
  </si>
  <si>
    <t>B</t>
  </si>
  <si>
    <t>Loss In Productivity</t>
  </si>
  <si>
    <t>C</t>
  </si>
  <si>
    <t>Total Direct Costs</t>
  </si>
  <si>
    <t>A + B</t>
  </si>
  <si>
    <t>Indirect Costs</t>
  </si>
  <si>
    <t>D</t>
  </si>
  <si>
    <t>Net Embedded Cost Per Pole</t>
  </si>
  <si>
    <t>E</t>
  </si>
  <si>
    <t>F</t>
  </si>
  <si>
    <t>Pole Maintenance Expense</t>
  </si>
  <si>
    <t>G</t>
  </si>
  <si>
    <t>Capital Carrying Cost</t>
  </si>
  <si>
    <t>H</t>
  </si>
  <si>
    <t>Total Indirect Costs Per Pole</t>
  </si>
  <si>
    <t>E + F + G</t>
  </si>
  <si>
    <t>I</t>
  </si>
  <si>
    <t>Allocation Factor</t>
  </si>
  <si>
    <t>J</t>
  </si>
  <si>
    <t>Indirect Costs Allocatted</t>
  </si>
  <si>
    <t>H x I</t>
  </si>
  <si>
    <t>K</t>
  </si>
  <si>
    <t>Annual Pole Rental Charge</t>
  </si>
  <si>
    <t xml:space="preserve">C + J </t>
  </si>
  <si>
    <t>Administration Costs Per Pole</t>
  </si>
  <si>
    <t>GIS System Updates/Maintenance</t>
  </si>
  <si>
    <t>Hours</t>
  </si>
  <si>
    <t>Total Admin Cost Per Year</t>
  </si>
  <si>
    <t>Total</t>
  </si>
  <si>
    <t>Allocation</t>
  </si>
  <si>
    <t>Hourly Rate Burdened</t>
  </si>
  <si>
    <t>Prepare Billing/Financial Reconciliations/Annual Statements</t>
  </si>
  <si>
    <t>Joint use permit application processing</t>
  </si>
  <si>
    <t>Total Number of IPC poles (in service)</t>
  </si>
  <si>
    <t>Number of Attachments per pole</t>
  </si>
  <si>
    <t>Number of Poles with Attachments</t>
  </si>
  <si>
    <t>Total Admin Cost per pole</t>
  </si>
  <si>
    <t>Wires Down</t>
  </si>
  <si>
    <t>Labour - Line Crew</t>
  </si>
  <si>
    <t xml:space="preserve">Vehicle </t>
  </si>
  <si>
    <t>Pole Replacement</t>
  </si>
  <si>
    <t>Labour - Technician</t>
  </si>
  <si>
    <t>Vehicle - small</t>
  </si>
  <si>
    <t>Tree on Line</t>
  </si>
  <si>
    <t>Total LIP Costs</t>
  </si>
  <si>
    <t>Total LIP Costs per pole</t>
  </si>
  <si>
    <t>Net Embedded Cost per Pole</t>
  </si>
  <si>
    <t>Total Opening NBV (Account 1830)</t>
  </si>
  <si>
    <t>Total Closing  NBV (Account 1830)</t>
  </si>
  <si>
    <t xml:space="preserve">Total Average NBV </t>
  </si>
  <si>
    <t>Adjusted Average NBV</t>
  </si>
  <si>
    <t>Based on 2016 FA Continuity TC</t>
  </si>
  <si>
    <t>Depreciation Expense</t>
  </si>
  <si>
    <t>NBV per pole</t>
  </si>
  <si>
    <t xml:space="preserve"> </t>
  </si>
  <si>
    <t>Total Depreciation Expense</t>
  </si>
  <si>
    <t xml:space="preserve">Adjusted Depreciation </t>
  </si>
  <si>
    <t>Depreciation Expense per Pole</t>
  </si>
  <si>
    <t>Total Adjusted NBV/Number of In service Poles</t>
  </si>
  <si>
    <t>Total Depreciation Expense/Number of In service Poles</t>
  </si>
  <si>
    <t>Pole Maintenance Costs</t>
  </si>
  <si>
    <t>Account 5135</t>
  </si>
  <si>
    <t xml:space="preserve">Total Pole Maintenance </t>
  </si>
  <si>
    <t>Pole Maintenance Cost per pole</t>
  </si>
  <si>
    <t>Total Adjusted Maintenance Costs/Number of In service poles</t>
  </si>
  <si>
    <t xml:space="preserve">Capital Carrying Costs </t>
  </si>
  <si>
    <t>WACC</t>
  </si>
  <si>
    <t>2016 WACC</t>
  </si>
  <si>
    <t>Additions</t>
  </si>
  <si>
    <t>Disposals</t>
  </si>
  <si>
    <t xml:space="preserve">IPC Data and Calaculations </t>
  </si>
  <si>
    <t>Data Source</t>
  </si>
  <si>
    <t>Refer to Data &amp; Calculation Tab</t>
  </si>
  <si>
    <t>IPC Distribution System Plan</t>
  </si>
  <si>
    <t xml:space="preserve">Determined from Invoices </t>
  </si>
  <si>
    <t>Time sheets</t>
  </si>
  <si>
    <t>Financial Records</t>
  </si>
  <si>
    <t>Outage Management System/Timesheets</t>
  </si>
  <si>
    <t>Total loss in Productivity per/# of Pole Attachments/ # of Attchments per pole</t>
  </si>
  <si>
    <t>2016 Fixed Asset Continuity Schedule - Appendix 2-BA  Account 1830 (Line 288)</t>
  </si>
  <si>
    <t>Adjusted Total Pole Maintenance</t>
  </si>
  <si>
    <t>Capital Carrying Cost per Pole</t>
  </si>
  <si>
    <t>Net Embedded Cost per Pole/WACC</t>
  </si>
  <si>
    <t>Total of 2016 Opening &amp; Closing NBV balance /2</t>
  </si>
  <si>
    <t>Total Depreciation Expense (Additions &amp; Disposals)</t>
  </si>
  <si>
    <t>Pole Testing Costs</t>
  </si>
  <si>
    <t>Field survey if 1/5 of IPC's Service Territory</t>
  </si>
  <si>
    <t>Number of Pole Attachments</t>
  </si>
  <si>
    <t>Estimated Number of Attachments per Pole</t>
  </si>
  <si>
    <t>% Verified</t>
  </si>
  <si>
    <t>Total IPC Poles In Service</t>
  </si>
  <si>
    <t>Number of Attachments</t>
  </si>
  <si>
    <t>Total of Poles in which attachments were verified</t>
  </si>
  <si>
    <t>Total of Poles without Attachments</t>
  </si>
  <si>
    <t>Total of Poles with Attachments</t>
  </si>
  <si>
    <t>Extrapulated Poles with Attachments</t>
  </si>
  <si>
    <t>Pole Sample Audit Results</t>
  </si>
  <si>
    <t>McKay e/o City RD 27*</t>
  </si>
  <si>
    <t>5th SR n/o 10th Line</t>
  </si>
  <si>
    <t>5th SR n/o 9th Line</t>
  </si>
  <si>
    <t>9th Line w/o 5th SR</t>
  </si>
  <si>
    <t>5th SR n/o IBR</t>
  </si>
  <si>
    <t>9th Line w/o 10th SR</t>
  </si>
  <si>
    <t>10th SR s/o 10th Line</t>
  </si>
  <si>
    <t>10th Line w/o 10th SR</t>
  </si>
  <si>
    <t>10th Line e/o 10th SR</t>
  </si>
  <si>
    <t>10th SR s/o Lockhart</t>
  </si>
  <si>
    <t>20th SR s/o Mpaleview</t>
  </si>
  <si>
    <t>Mapleview e/o 20th SR</t>
  </si>
  <si>
    <t>Mapleview w/o 25th SR</t>
  </si>
  <si>
    <t>Lockhart e/o 20th SR</t>
  </si>
  <si>
    <t>Lockhart w/o 20th SR</t>
  </si>
  <si>
    <t>20th SR n/o 10th Line</t>
  </si>
  <si>
    <t>9th Line w/o 20th SR</t>
  </si>
  <si>
    <t>9th Line w/o 25th SR</t>
  </si>
  <si>
    <t>20th SR N/O Mapleview</t>
  </si>
  <si>
    <t>Mapleview W/O 20th SR</t>
  </si>
  <si>
    <t>N/A</t>
  </si>
  <si>
    <t>9th Line E/O Yonge + W/O Yonge</t>
  </si>
  <si>
    <t>IBR e/o 10th SR</t>
  </si>
  <si>
    <t>IBR e/o Industrial Park</t>
  </si>
  <si>
    <t>IBR e/o City RD 27</t>
  </si>
  <si>
    <t>City RD 27 s/o 9th Line</t>
  </si>
  <si>
    <t>City RD 27 s/o McKay</t>
  </si>
  <si>
    <t>City RD 27 s/o Salem</t>
  </si>
  <si>
    <t>Essa n/o Salem</t>
  </si>
  <si>
    <t>Salem w/o 5th SR</t>
  </si>
  <si>
    <t>IBR at Industrial Park</t>
  </si>
  <si>
    <t>9th at Industrial Park</t>
  </si>
  <si>
    <t>Lockhart w/o Yonge</t>
  </si>
  <si>
    <t>Lockhart e/o Sandy Cove DS</t>
  </si>
  <si>
    <t>10th Line e/o 20th SR</t>
  </si>
  <si>
    <t xml:space="preserve">20th SR s/o 9th Line </t>
  </si>
  <si>
    <t>25th SR n/o 10th Line</t>
  </si>
  <si>
    <t xml:space="preserve">Lockhart e/o 25 SR </t>
  </si>
  <si>
    <t>25th SR n/o Lockhart</t>
  </si>
  <si>
    <t>25th SR at Mapleview + Mapleview e/o 25th SR</t>
  </si>
  <si>
    <t>13th E/O 25th SR</t>
  </si>
  <si>
    <t>BBP E/O 20th SR</t>
  </si>
  <si>
    <t>Mapleview W/O Yonge</t>
  </si>
  <si>
    <t>IBR w/o Webster</t>
  </si>
  <si>
    <t>IBR E/O Yonge St.</t>
  </si>
  <si>
    <t>10th Line w/o 20th SR</t>
  </si>
  <si>
    <t xml:space="preserve">20th SR n/o 9th Line </t>
  </si>
  <si>
    <t>Lebanon w/o 25th SR</t>
  </si>
  <si>
    <t>9th Line e/o 25th SR</t>
  </si>
  <si>
    <t>25th SR s/o 10th Line</t>
  </si>
  <si>
    <t>10th Line e/o 25th SR</t>
  </si>
  <si>
    <t>25th SR s/o BBP</t>
  </si>
  <si>
    <t>BBP N/O 13th</t>
  </si>
  <si>
    <t>Yonge S/O Mapleview</t>
  </si>
  <si>
    <t>Yonge S/O Lockhart</t>
  </si>
  <si>
    <t>Yonge (Stroud)</t>
  </si>
  <si>
    <t>Yonge S/O Victoria St.</t>
  </si>
  <si>
    <t>Yonge St. S/O Line 9</t>
  </si>
  <si>
    <t>Yonge St. S/O IBR</t>
  </si>
  <si>
    <t>25th SR s/o 9th Line</t>
  </si>
  <si>
    <t>Attachments</t>
  </si>
  <si>
    <t>Estimated # of Poles</t>
  </si>
  <si>
    <t>Distance (m)</t>
  </si>
  <si>
    <t>Average Span Length (m)</t>
  </si>
  <si>
    <t>Actual Number of Attachments</t>
  </si>
  <si>
    <t>Location</t>
  </si>
  <si>
    <t>Number</t>
  </si>
  <si>
    <t>InnPower Appendix: Summary of Attachmant Verification</t>
  </si>
  <si>
    <t>Pole Attachment Field Verification</t>
  </si>
  <si>
    <t>Total Poles with Attachments</t>
  </si>
  <si>
    <t>Total Poles W/O Attachments</t>
  </si>
  <si>
    <t>Total Number of Poles in Field Audit</t>
  </si>
  <si>
    <t>Number of Attachments in Field Audit</t>
  </si>
  <si>
    <t>Total IPC In Service Poles</t>
  </si>
  <si>
    <t>% of Poles in Verifcation</t>
  </si>
  <si>
    <t>Estimated # of Attachments per pole</t>
  </si>
  <si>
    <t>Sample Pole Calculations</t>
  </si>
  <si>
    <t>Verification %'s</t>
  </si>
  <si>
    <t>Extrapulated # of Poles</t>
  </si>
  <si>
    <t>Based on 1.09 attachments per pole</t>
  </si>
  <si>
    <t>The Field Verification tab identifies the actual areas in IPC's service territory where the number</t>
  </si>
  <si>
    <t>Methodology</t>
  </si>
  <si>
    <t>2016 Actuals</t>
  </si>
  <si>
    <t xml:space="preserve">urban hubs and rural areas. The average span was also recorded which was then utilzed to </t>
  </si>
  <si>
    <t xml:space="preserve">estimate the number of poles for the verified area.  </t>
  </si>
  <si>
    <t>Height of Pole</t>
  </si>
  <si>
    <t>40 foot pole is divided into five vertical spaces. Exch space is then allocated</t>
  </si>
  <si>
    <t xml:space="preserve">to IPC and or the 3rd party Attachers based on the proportionate usage space </t>
  </si>
  <si>
    <t>Buried depth</t>
  </si>
  <si>
    <t>IPC</t>
  </si>
  <si>
    <t>Clearance Space</t>
  </si>
  <si>
    <t>Telecommunication Space</t>
  </si>
  <si>
    <t>Feet</t>
  </si>
  <si>
    <t>Separation Space</t>
  </si>
  <si>
    <t>Power Space</t>
  </si>
  <si>
    <t>Average Number of electrical Companies in power space</t>
  </si>
  <si>
    <t>Average Number of 3rd Party attachers on a IPC Pole</t>
  </si>
  <si>
    <t>Average Number of Users Per Pole</t>
  </si>
  <si>
    <t>3rd Party</t>
  </si>
  <si>
    <t>Equal Sharing</t>
  </si>
  <si>
    <t>Total of Equal Sharing Allocation of spaces</t>
  </si>
  <si>
    <t xml:space="preserve">Allocation Rate </t>
  </si>
  <si>
    <t>Allocatted to IPC and 3rd party attachers</t>
  </si>
  <si>
    <t>Allocatted soley to 3rd party attachers</t>
  </si>
  <si>
    <t>Per CSA C22.3 No.1 Standard, alloctted soley to 3rd party aattachers</t>
  </si>
  <si>
    <t>Allocatted soley to IPC</t>
  </si>
  <si>
    <t xml:space="preserve">The allocation factor assumes an average of 2.09 users per pole based on the </t>
  </si>
  <si>
    <t>Field Verification data</t>
  </si>
  <si>
    <t>5% adjustment to account for inclusion of power specific assets, EB-2015-0004</t>
  </si>
  <si>
    <t xml:space="preserve">of attachments per pole were recorded. IPC field visited 1/5 of our actual territory including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</si>
</sst>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_(&quot;$&quot;* #,##0_);_(&quot;$&quot;* \(#,##0\);_(&quot;$&quot;* &quot;-&quot;??_);_(@_)"/>
    <numFmt numFmtId="167" formatCode="0.00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8">
    <xf numFmtId="0" fontId="0" fillId="0" borderId="0" xfId="0"/>
    <xf numFmtId="0" fontId="3" fillId="0" borderId="0" xfId="0" applyFont="1"/>
    <xf numFmtId="0" fontId="2" fillId="0" borderId="0" xfId="0" applyFont="1"/>
    <xf numFmtId="0" fontId="0" fillId="0" borderId="1" xfId="0" applyBorder="1"/>
    <xf numFmtId="0" fontId="0" fillId="2" borderId="3" xfId="0" applyFill="1" applyBorder="1"/>
    <xf numFmtId="0" fontId="2" fillId="2" borderId="4" xfId="0" applyFont="1" applyFill="1" applyBorder="1" applyAlignment="1">
      <alignment horizontal="center"/>
    </xf>
    <xf numFmtId="0" fontId="0" fillId="0" borderId="6" xfId="0" applyBorder="1"/>
    <xf numFmtId="0" fontId="2" fillId="3" borderId="0" xfId="0" applyFont="1" applyFill="1" applyBorder="1"/>
    <xf numFmtId="0" fontId="0" fillId="0" borderId="0" xfId="0" applyBorder="1"/>
    <xf numFmtId="0" fontId="0" fillId="0" borderId="7" xfId="0" applyBorder="1"/>
    <xf numFmtId="0" fontId="2" fillId="0" borderId="6" xfId="0" applyFont="1" applyBorder="1"/>
    <xf numFmtId="0" fontId="2" fillId="0" borderId="0" xfId="0" applyFont="1" applyBorder="1"/>
    <xf numFmtId="0" fontId="2" fillId="0" borderId="7" xfId="0" applyFont="1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44" fontId="0" fillId="0" borderId="0" xfId="1" applyFont="1"/>
    <xf numFmtId="44" fontId="0" fillId="0" borderId="0" xfId="0" applyNumberFormat="1"/>
    <xf numFmtId="44" fontId="0" fillId="0" borderId="1" xfId="0" applyNumberFormat="1" applyBorder="1"/>
    <xf numFmtId="44" fontId="0" fillId="0" borderId="0" xfId="0" applyNumberFormat="1" applyBorder="1"/>
    <xf numFmtId="44" fontId="2" fillId="0" borderId="0" xfId="0" applyNumberFormat="1" applyFont="1"/>
    <xf numFmtId="164" fontId="2" fillId="0" borderId="0" xfId="2" applyNumberFormat="1" applyFont="1"/>
    <xf numFmtId="164" fontId="2" fillId="0" borderId="0" xfId="0" applyNumberFormat="1" applyFont="1"/>
    <xf numFmtId="44" fontId="2" fillId="0" borderId="0" xfId="1" applyFont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4" fillId="0" borderId="0" xfId="0" applyFont="1"/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2" fillId="2" borderId="0" xfId="0" applyFont="1" applyFill="1" applyAlignment="1">
      <alignment horizontal="right"/>
    </xf>
    <xf numFmtId="44" fontId="2" fillId="0" borderId="2" xfId="0" applyNumberFormat="1" applyFont="1" applyBorder="1"/>
    <xf numFmtId="44" fontId="2" fillId="0" borderId="1" xfId="0" applyNumberFormat="1" applyFont="1" applyBorder="1"/>
    <xf numFmtId="0" fontId="0" fillId="2" borderId="0" xfId="0" applyFill="1"/>
    <xf numFmtId="0" fontId="0" fillId="0" borderId="7" xfId="0" applyBorder="1" applyAlignment="1">
      <alignment horizontal="right"/>
    </xf>
    <xf numFmtId="166" fontId="0" fillId="0" borderId="0" xfId="1" applyNumberFormat="1" applyFont="1"/>
    <xf numFmtId="166" fontId="0" fillId="0" borderId="1" xfId="1" applyNumberFormat="1" applyFont="1" applyBorder="1"/>
    <xf numFmtId="166" fontId="2" fillId="0" borderId="1" xfId="1" applyNumberFormat="1" applyFont="1" applyBorder="1"/>
    <xf numFmtId="44" fontId="0" fillId="0" borderId="0" xfId="1" applyNumberFormat="1" applyFont="1" applyBorder="1"/>
    <xf numFmtId="44" fontId="2" fillId="0" borderId="2" xfId="1" applyNumberFormat="1" applyFont="1" applyBorder="1"/>
    <xf numFmtId="0" fontId="5" fillId="2" borderId="4" xfId="0" applyFont="1" applyFill="1" applyBorder="1"/>
    <xf numFmtId="0" fontId="5" fillId="2" borderId="5" xfId="0" applyFont="1" applyFill="1" applyBorder="1" applyAlignment="1">
      <alignment horizontal="center"/>
    </xf>
    <xf numFmtId="166" fontId="0" fillId="0" borderId="1" xfId="0" applyNumberFormat="1" applyBorder="1"/>
    <xf numFmtId="44" fontId="2" fillId="0" borderId="1" xfId="1" applyFont="1" applyBorder="1"/>
    <xf numFmtId="166" fontId="0" fillId="0" borderId="2" xfId="1" applyNumberFormat="1" applyFont="1" applyBorder="1"/>
    <xf numFmtId="166" fontId="0" fillId="0" borderId="2" xfId="0" applyNumberFormat="1" applyBorder="1"/>
    <xf numFmtId="44" fontId="2" fillId="0" borderId="2" xfId="1" applyFont="1" applyBorder="1"/>
    <xf numFmtId="44" fontId="2" fillId="0" borderId="0" xfId="0" applyNumberFormat="1" applyFont="1" applyBorder="1"/>
    <xf numFmtId="9" fontId="0" fillId="0" borderId="1" xfId="3" applyFont="1" applyBorder="1"/>
    <xf numFmtId="0" fontId="5" fillId="0" borderId="0" xfId="0" applyFont="1"/>
    <xf numFmtId="164" fontId="0" fillId="0" borderId="0" xfId="2" applyNumberFormat="1" applyFont="1"/>
    <xf numFmtId="0" fontId="0" fillId="0" borderId="0" xfId="0" applyAlignment="1">
      <alignment horizontal="left"/>
    </xf>
    <xf numFmtId="0" fontId="2" fillId="2" borderId="0" xfId="0" applyFont="1" applyFill="1" applyAlignment="1">
      <alignment horizontal="center"/>
    </xf>
    <xf numFmtId="43" fontId="1" fillId="0" borderId="1" xfId="2" applyFont="1" applyBorder="1"/>
    <xf numFmtId="0" fontId="2" fillId="2" borderId="1" xfId="0" applyFont="1" applyFill="1" applyBorder="1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 wrapText="1"/>
    </xf>
    <xf numFmtId="1" fontId="0" fillId="0" borderId="0" xfId="0" applyNumberFormat="1"/>
    <xf numFmtId="167" fontId="0" fillId="0" borderId="9" xfId="0" applyNumberFormat="1" applyBorder="1"/>
    <xf numFmtId="0" fontId="0" fillId="0" borderId="9" xfId="0" applyBorder="1" applyAlignment="1">
      <alignment horizontal="center" wrapText="1"/>
    </xf>
    <xf numFmtId="0" fontId="0" fillId="2" borderId="8" xfId="0" applyFill="1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0" fontId="0" fillId="2" borderId="6" xfId="0" applyFill="1" applyBorder="1" applyAlignment="1">
      <alignment horizontal="center" wrapText="1"/>
    </xf>
    <xf numFmtId="9" fontId="0" fillId="0" borderId="0" xfId="3" applyFont="1" applyBorder="1"/>
    <xf numFmtId="164" fontId="0" fillId="0" borderId="0" xfId="2" applyNumberFormat="1" applyFont="1" applyBorder="1"/>
    <xf numFmtId="0" fontId="0" fillId="4" borderId="0" xfId="0" applyFill="1"/>
    <xf numFmtId="165" fontId="0" fillId="0" borderId="0" xfId="0" applyNumberFormat="1"/>
    <xf numFmtId="164" fontId="0" fillId="0" borderId="7" xfId="2" applyNumberFormat="1" applyFont="1" applyBorder="1"/>
    <xf numFmtId="0" fontId="0" fillId="2" borderId="5" xfId="0" applyFill="1" applyBorder="1" applyAlignment="1">
      <alignment horizontal="right" wrapText="1"/>
    </xf>
    <xf numFmtId="2" fontId="0" fillId="2" borderId="4" xfId="0" applyNumberFormat="1" applyFill="1" applyBorder="1" applyAlignment="1">
      <alignment horizontal="right" wrapText="1"/>
    </xf>
    <xf numFmtId="0" fontId="0" fillId="2" borderId="4" xfId="0" applyFill="1" applyBorder="1"/>
    <xf numFmtId="0" fontId="0" fillId="2" borderId="4" xfId="0" applyFill="1" applyBorder="1" applyAlignment="1">
      <alignment horizontal="center" wrapText="1"/>
    </xf>
    <xf numFmtId="2" fontId="0" fillId="0" borderId="0" xfId="0" applyNumberFormat="1"/>
    <xf numFmtId="0" fontId="0" fillId="2" borderId="0" xfId="0" applyFill="1" applyAlignment="1">
      <alignment horizontal="center" wrapText="1"/>
    </xf>
    <xf numFmtId="0" fontId="0" fillId="2" borderId="0" xfId="0" applyFill="1" applyAlignment="1">
      <alignment horizontal="center"/>
    </xf>
    <xf numFmtId="2" fontId="2" fillId="0" borderId="0" xfId="0" applyNumberFormat="1" applyFont="1"/>
    <xf numFmtId="10" fontId="2" fillId="0" borderId="0" xfId="3" applyNumberFormat="1" applyFont="1" applyBorder="1"/>
    <xf numFmtId="164" fontId="0" fillId="0" borderId="1" xfId="2" applyNumberFormat="1" applyFont="1" applyBorder="1"/>
    <xf numFmtId="0" fontId="2" fillId="2" borderId="3" xfId="0" applyFont="1" applyFill="1" applyBorder="1" applyAlignment="1">
      <alignment wrapText="1"/>
    </xf>
    <xf numFmtId="164" fontId="0" fillId="0" borderId="7" xfId="0" applyNumberFormat="1" applyBorder="1"/>
    <xf numFmtId="164" fontId="0" fillId="0" borderId="11" xfId="0" applyNumberFormat="1" applyBorder="1"/>
    <xf numFmtId="164" fontId="0" fillId="0" borderId="0" xfId="0" applyNumberFormat="1" applyBorder="1"/>
    <xf numFmtId="2" fontId="2" fillId="0" borderId="0" xfId="0" applyNumberFormat="1" applyFont="1" applyBorder="1"/>
    <xf numFmtId="0" fontId="2" fillId="2" borderId="4" xfId="0" applyFont="1" applyFill="1" applyBorder="1"/>
    <xf numFmtId="0" fontId="2" fillId="2" borderId="5" xfId="0" applyFont="1" applyFill="1" applyBorder="1" applyAlignment="1">
      <alignment horizontal="center" wrapText="1"/>
    </xf>
    <xf numFmtId="10" fontId="2" fillId="0" borderId="9" xfId="3" applyNumberFormat="1" applyFont="1" applyBorder="1"/>
    <xf numFmtId="2" fontId="0" fillId="0" borderId="9" xfId="0" applyNumberFormat="1" applyBorder="1"/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</cellXfs>
  <cellStyles count="4">
    <cellStyle name="Comma" xfId="2" builtinId="3"/>
    <cellStyle name="Currency" xfId="1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K26"/>
  <sheetViews>
    <sheetView tabSelected="1" topLeftCell="A2" workbookViewId="0">
      <selection activeCell="H3" sqref="H3:K23"/>
    </sheetView>
  </sheetViews>
  <sheetFormatPr defaultRowHeight="14.4" x14ac:dyDescent="0.3"/>
  <cols>
    <col min="3" max="3" width="32.44140625" customWidth="1"/>
    <col min="4" max="4" width="12.6640625" customWidth="1"/>
    <col min="5" max="5" width="39.109375" customWidth="1"/>
    <col min="8" max="8" width="36.21875" customWidth="1"/>
    <col min="9" max="9" width="12.88671875" customWidth="1"/>
    <col min="10" max="10" width="14.5546875" customWidth="1"/>
    <col min="11" max="11" width="14" customWidth="1"/>
  </cols>
  <sheetData>
    <row r="3" spans="2:11" ht="15.6" x14ac:dyDescent="0.3">
      <c r="B3" s="1" t="s">
        <v>0</v>
      </c>
      <c r="C3" s="1"/>
      <c r="D3" s="1"/>
      <c r="E3" s="1"/>
      <c r="F3" s="1"/>
      <c r="G3" s="1"/>
      <c r="H3" s="1" t="s">
        <v>171</v>
      </c>
    </row>
    <row r="4" spans="2:11" ht="15" thickBot="1" x14ac:dyDescent="0.35"/>
    <row r="5" spans="2:11" ht="33.6" customHeight="1" x14ac:dyDescent="0.35">
      <c r="B5" s="4"/>
      <c r="C5" s="39" t="s">
        <v>1</v>
      </c>
      <c r="D5" s="5" t="s">
        <v>2</v>
      </c>
      <c r="E5" s="40" t="s">
        <v>3</v>
      </c>
      <c r="H5" s="77" t="s">
        <v>172</v>
      </c>
      <c r="I5" s="69"/>
      <c r="J5" s="82" t="s">
        <v>181</v>
      </c>
      <c r="K5" s="83" t="s">
        <v>182</v>
      </c>
    </row>
    <row r="6" spans="2:11" x14ac:dyDescent="0.3">
      <c r="B6" s="6"/>
      <c r="C6" s="7" t="s">
        <v>4</v>
      </c>
      <c r="D6" s="8"/>
      <c r="E6" s="9"/>
      <c r="H6" s="6"/>
      <c r="I6" s="8"/>
      <c r="J6" s="8"/>
      <c r="K6" s="9"/>
    </row>
    <row r="7" spans="2:11" x14ac:dyDescent="0.3">
      <c r="B7" s="10" t="s">
        <v>5</v>
      </c>
      <c r="C7" s="8" t="s">
        <v>6</v>
      </c>
      <c r="D7" s="19">
        <f>'Data &amp; Calculations'!D13</f>
        <v>0.99491398443054158</v>
      </c>
      <c r="E7" s="33" t="s">
        <v>79</v>
      </c>
      <c r="H7" s="6" t="s">
        <v>173</v>
      </c>
      <c r="I7" s="63">
        <f>'Field Verification'!G66</f>
        <v>1275.5379523809527</v>
      </c>
      <c r="J7" s="62">
        <f>I7/I9</f>
        <v>0.62525094721681507</v>
      </c>
      <c r="K7" s="78">
        <f>I12*J7</f>
        <v>6383.8121710836822</v>
      </c>
    </row>
    <row r="8" spans="2:11" ht="15" thickBot="1" x14ac:dyDescent="0.35">
      <c r="B8" s="10" t="s">
        <v>7</v>
      </c>
      <c r="C8" s="8" t="s">
        <v>8</v>
      </c>
      <c r="D8" s="18">
        <f>'Data &amp; Calculations'!G29</f>
        <v>4.0003138234619229</v>
      </c>
      <c r="E8" s="33" t="s">
        <v>79</v>
      </c>
      <c r="H8" s="6" t="s">
        <v>174</v>
      </c>
      <c r="I8" s="76">
        <f>'Field Verification'!G68</f>
        <v>764.50366300366306</v>
      </c>
      <c r="J8" s="62">
        <f>I8/I9</f>
        <v>0.37474905278318482</v>
      </c>
      <c r="K8" s="79">
        <f>I12*J8</f>
        <v>3826.1878289163169</v>
      </c>
    </row>
    <row r="9" spans="2:11" ht="15.6" thickTop="1" thickBot="1" x14ac:dyDescent="0.35">
      <c r="B9" s="10" t="s">
        <v>9</v>
      </c>
      <c r="C9" s="11" t="s">
        <v>10</v>
      </c>
      <c r="D9" s="30">
        <f>SUM(D7:D8)</f>
        <v>4.9952278078924648</v>
      </c>
      <c r="E9" s="12" t="s">
        <v>11</v>
      </c>
      <c r="H9" s="6" t="s">
        <v>175</v>
      </c>
      <c r="I9" s="80">
        <f>SUM(I7:I8)</f>
        <v>2040.0416153846159</v>
      </c>
      <c r="J9" s="8"/>
      <c r="K9" s="78">
        <f>SUM(K7:K8)</f>
        <v>10210</v>
      </c>
    </row>
    <row r="10" spans="2:11" ht="15" thickTop="1" x14ac:dyDescent="0.3">
      <c r="B10" s="10"/>
      <c r="C10" s="11"/>
      <c r="D10" s="8"/>
      <c r="E10" s="12"/>
      <c r="H10" s="6"/>
      <c r="I10" s="8"/>
      <c r="J10" s="8"/>
      <c r="K10" s="9"/>
    </row>
    <row r="11" spans="2:11" x14ac:dyDescent="0.3">
      <c r="B11" s="6"/>
      <c r="C11" s="7" t="s">
        <v>12</v>
      </c>
      <c r="D11" s="8"/>
      <c r="E11" s="9"/>
      <c r="H11" s="6" t="s">
        <v>176</v>
      </c>
      <c r="I11" s="63">
        <f>'Field Verification'!H63</f>
        <v>1876.3211428571431</v>
      </c>
      <c r="J11" s="8"/>
      <c r="K11" s="9"/>
    </row>
    <row r="12" spans="2:11" x14ac:dyDescent="0.3">
      <c r="B12" s="10" t="s">
        <v>13</v>
      </c>
      <c r="C12" s="8" t="s">
        <v>14</v>
      </c>
      <c r="D12" s="37">
        <f>'Data &amp; Calculations'!D38</f>
        <v>857.82845984329083</v>
      </c>
      <c r="E12" s="33" t="s">
        <v>58</v>
      </c>
      <c r="H12" s="6" t="s">
        <v>177</v>
      </c>
      <c r="I12" s="63">
        <f>'Data &amp; Calculations'!D9</f>
        <v>10210</v>
      </c>
      <c r="J12" s="8"/>
      <c r="K12" s="9"/>
    </row>
    <row r="13" spans="2:11" x14ac:dyDescent="0.3">
      <c r="B13" s="10" t="s">
        <v>15</v>
      </c>
      <c r="C13" s="8" t="s">
        <v>59</v>
      </c>
      <c r="D13" s="37">
        <f>'Data &amp; Calculations'!D46</f>
        <v>23.655279138099903</v>
      </c>
      <c r="E13" s="33" t="s">
        <v>58</v>
      </c>
      <c r="H13" s="6" t="s">
        <v>178</v>
      </c>
      <c r="I13" s="62">
        <f>I9/I12</f>
        <v>0.19980818955774887</v>
      </c>
      <c r="J13" s="8"/>
      <c r="K13" s="9"/>
    </row>
    <row r="14" spans="2:11" x14ac:dyDescent="0.3">
      <c r="B14" s="10" t="s">
        <v>16</v>
      </c>
      <c r="C14" s="8" t="s">
        <v>17</v>
      </c>
      <c r="D14" s="19">
        <f>'Data &amp; Calculations'!D54</f>
        <v>22.070612144955923</v>
      </c>
      <c r="E14" s="9"/>
      <c r="H14" s="10" t="s">
        <v>179</v>
      </c>
      <c r="I14" s="81">
        <f>I9/I11</f>
        <v>1.0872561038661908</v>
      </c>
      <c r="J14" s="8"/>
      <c r="K14" s="9"/>
    </row>
    <row r="15" spans="2:11" ht="15" thickBot="1" x14ac:dyDescent="0.35">
      <c r="B15" s="10" t="s">
        <v>18</v>
      </c>
      <c r="C15" s="8" t="s">
        <v>19</v>
      </c>
      <c r="D15" s="18">
        <f>'Data &amp; Calculations'!D59</f>
        <v>102.93941518119489</v>
      </c>
      <c r="E15" s="33" t="s">
        <v>74</v>
      </c>
      <c r="H15" s="6"/>
      <c r="I15" s="8"/>
      <c r="J15" s="8"/>
      <c r="K15" s="9"/>
    </row>
    <row r="16" spans="2:11" ht="15.6" thickTop="1" thickBot="1" x14ac:dyDescent="0.35">
      <c r="B16" s="10" t="s">
        <v>20</v>
      </c>
      <c r="C16" s="11" t="s">
        <v>21</v>
      </c>
      <c r="D16" s="30">
        <f>SUM(D13:D15)</f>
        <v>148.6653064642507</v>
      </c>
      <c r="E16" s="12" t="s">
        <v>22</v>
      </c>
      <c r="H16" s="10" t="s">
        <v>185</v>
      </c>
      <c r="I16" s="8"/>
      <c r="J16" s="8"/>
      <c r="K16" s="9"/>
    </row>
    <row r="17" spans="2:11" ht="15" thickTop="1" x14ac:dyDescent="0.3">
      <c r="B17" s="6"/>
      <c r="C17" s="8"/>
      <c r="D17" s="8"/>
      <c r="E17" s="9"/>
      <c r="H17" s="6" t="s">
        <v>184</v>
      </c>
      <c r="I17" s="8"/>
      <c r="J17" s="8"/>
      <c r="K17" s="9"/>
    </row>
    <row r="18" spans="2:11" x14ac:dyDescent="0.3">
      <c r="B18" s="10" t="s">
        <v>23</v>
      </c>
      <c r="C18" s="7" t="s">
        <v>24</v>
      </c>
      <c r="D18" s="75">
        <f>'Data &amp; Calculations'!G71</f>
        <v>0.39852289188358714</v>
      </c>
      <c r="E18" s="33" t="s">
        <v>183</v>
      </c>
      <c r="H18" s="6" t="s">
        <v>213</v>
      </c>
      <c r="I18" s="8"/>
      <c r="J18" s="8"/>
      <c r="K18" s="9"/>
    </row>
    <row r="19" spans="2:11" x14ac:dyDescent="0.3">
      <c r="B19" s="6"/>
      <c r="C19" s="8"/>
      <c r="D19" s="8"/>
      <c r="E19" s="9"/>
      <c r="H19" s="6" t="s">
        <v>187</v>
      </c>
      <c r="I19" s="8"/>
      <c r="J19" s="8"/>
      <c r="K19" s="9"/>
    </row>
    <row r="20" spans="2:11" x14ac:dyDescent="0.3">
      <c r="B20" s="10" t="s">
        <v>25</v>
      </c>
      <c r="C20" s="7" t="s">
        <v>26</v>
      </c>
      <c r="D20" s="46">
        <f>D16*D18</f>
        <v>59.246527854892932</v>
      </c>
      <c r="E20" s="12" t="s">
        <v>27</v>
      </c>
      <c r="H20" s="6" t="s">
        <v>188</v>
      </c>
      <c r="I20" s="8"/>
      <c r="J20" s="8"/>
      <c r="K20" s="9"/>
    </row>
    <row r="21" spans="2:11" ht="15" thickBot="1" x14ac:dyDescent="0.35">
      <c r="B21" s="6"/>
      <c r="C21" s="8"/>
      <c r="D21" s="3"/>
      <c r="E21" s="9"/>
      <c r="H21" s="6"/>
      <c r="I21" s="8"/>
      <c r="J21" s="8"/>
      <c r="K21" s="9"/>
    </row>
    <row r="22" spans="2:11" ht="15.6" thickTop="1" thickBot="1" x14ac:dyDescent="0.35">
      <c r="B22" s="10" t="s">
        <v>28</v>
      </c>
      <c r="C22" s="7" t="s">
        <v>29</v>
      </c>
      <c r="D22" s="30">
        <f>D9+D20</f>
        <v>64.241755662785394</v>
      </c>
      <c r="E22" s="12" t="s">
        <v>30</v>
      </c>
      <c r="H22" s="6"/>
      <c r="I22" s="8"/>
      <c r="J22" s="8"/>
      <c r="K22" s="9"/>
    </row>
    <row r="23" spans="2:11" ht="15.6" thickTop="1" thickBot="1" x14ac:dyDescent="0.35">
      <c r="B23" s="13"/>
      <c r="C23" s="14"/>
      <c r="D23" s="14"/>
      <c r="E23" s="15"/>
      <c r="H23" s="13"/>
      <c r="I23" s="14"/>
      <c r="J23" s="14"/>
      <c r="K23" s="15"/>
    </row>
    <row r="25" spans="2:11" x14ac:dyDescent="0.3">
      <c r="B25" s="2"/>
    </row>
    <row r="26" spans="2:11" x14ac:dyDescent="0.3">
      <c r="C26" t="s">
        <v>61</v>
      </c>
    </row>
  </sheetData>
  <pageMargins left="0.7" right="0.7" top="0.75" bottom="0.75" header="0.3" footer="0.3"/>
  <pageSetup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78"/>
  <sheetViews>
    <sheetView topLeftCell="B49" workbookViewId="0">
      <selection activeCell="B62" sqref="B62:H77"/>
    </sheetView>
  </sheetViews>
  <sheetFormatPr defaultRowHeight="14.4" x14ac:dyDescent="0.3"/>
  <cols>
    <col min="3" max="3" width="52.109375" customWidth="1"/>
    <col min="4" max="4" width="12.77734375" customWidth="1"/>
    <col min="5" max="5" width="11.21875" customWidth="1"/>
    <col min="6" max="6" width="11.44140625" customWidth="1"/>
    <col min="7" max="7" width="12.77734375" customWidth="1"/>
    <col min="8" max="8" width="66.21875" customWidth="1"/>
  </cols>
  <sheetData>
    <row r="2" spans="2:8" ht="18" x14ac:dyDescent="0.35">
      <c r="B2" s="48" t="s">
        <v>77</v>
      </c>
    </row>
    <row r="3" spans="2:8" ht="28.8" x14ac:dyDescent="0.3">
      <c r="B3" s="27" t="s">
        <v>5</v>
      </c>
      <c r="C3" s="27" t="s">
        <v>31</v>
      </c>
      <c r="D3" s="28" t="s">
        <v>37</v>
      </c>
      <c r="E3" s="29" t="s">
        <v>33</v>
      </c>
      <c r="F3" s="29" t="s">
        <v>36</v>
      </c>
      <c r="G3" s="29" t="s">
        <v>35</v>
      </c>
      <c r="H3" s="51" t="s">
        <v>78</v>
      </c>
    </row>
    <row r="4" spans="2:8" x14ac:dyDescent="0.3">
      <c r="C4" t="s">
        <v>38</v>
      </c>
      <c r="D4" s="16">
        <f>32.12*1.51</f>
        <v>48.501199999999997</v>
      </c>
      <c r="E4">
        <v>40</v>
      </c>
      <c r="F4" s="24">
        <v>1</v>
      </c>
      <c r="G4" s="17">
        <f>E4*D4</f>
        <v>1940.0479999999998</v>
      </c>
      <c r="H4" s="50" t="s">
        <v>82</v>
      </c>
    </row>
    <row r="5" spans="2:8" x14ac:dyDescent="0.3">
      <c r="C5" t="s">
        <v>32</v>
      </c>
      <c r="D5" s="16">
        <f>34.14*1.51</f>
        <v>51.551400000000001</v>
      </c>
      <c r="E5">
        <v>40</v>
      </c>
      <c r="F5" s="24">
        <v>1</v>
      </c>
      <c r="G5" s="17">
        <f>E5*D5</f>
        <v>2062.056</v>
      </c>
      <c r="H5" s="50" t="s">
        <v>82</v>
      </c>
    </row>
    <row r="6" spans="2:8" ht="15" thickBot="1" x14ac:dyDescent="0.35">
      <c r="C6" t="s">
        <v>39</v>
      </c>
      <c r="D6" s="16">
        <f>34.14*1.51</f>
        <v>51.551400000000001</v>
      </c>
      <c r="E6">
        <v>40</v>
      </c>
      <c r="F6" s="24">
        <v>1</v>
      </c>
      <c r="G6" s="18">
        <f>D6*E6</f>
        <v>2062.056</v>
      </c>
      <c r="H6" s="50" t="s">
        <v>82</v>
      </c>
    </row>
    <row r="7" spans="2:8" ht="15" thickTop="1" x14ac:dyDescent="0.3">
      <c r="C7" s="2" t="s">
        <v>34</v>
      </c>
      <c r="G7" s="20">
        <f>SUM(G4:G6)</f>
        <v>6064.16</v>
      </c>
      <c r="H7" s="50"/>
    </row>
    <row r="8" spans="2:8" x14ac:dyDescent="0.3">
      <c r="H8" s="50"/>
    </row>
    <row r="9" spans="2:8" x14ac:dyDescent="0.3">
      <c r="C9" t="s">
        <v>40</v>
      </c>
      <c r="D9" s="21">
        <v>10210</v>
      </c>
      <c r="H9" s="50" t="s">
        <v>80</v>
      </c>
    </row>
    <row r="10" spans="2:8" x14ac:dyDescent="0.3">
      <c r="C10" t="s">
        <v>94</v>
      </c>
      <c r="D10" s="21">
        <v>6627</v>
      </c>
      <c r="H10" s="50" t="s">
        <v>81</v>
      </c>
    </row>
    <row r="11" spans="2:8" x14ac:dyDescent="0.3">
      <c r="C11" t="s">
        <v>41</v>
      </c>
      <c r="D11" s="74">
        <f>'Field Verification'!G78</f>
        <v>1.0872561038661908</v>
      </c>
      <c r="H11" s="50" t="s">
        <v>93</v>
      </c>
    </row>
    <row r="12" spans="2:8" x14ac:dyDescent="0.3">
      <c r="C12" t="s">
        <v>42</v>
      </c>
      <c r="D12" s="22">
        <f>D10/D11</f>
        <v>6095.1600790604425</v>
      </c>
      <c r="G12" s="16"/>
      <c r="H12" s="50"/>
    </row>
    <row r="13" spans="2:8" x14ac:dyDescent="0.3">
      <c r="C13" s="2" t="s">
        <v>43</v>
      </c>
      <c r="D13" s="23">
        <f>G7/D12</f>
        <v>0.99491398443054158</v>
      </c>
      <c r="H13" s="50"/>
    </row>
    <row r="14" spans="2:8" x14ac:dyDescent="0.3">
      <c r="H14" s="50"/>
    </row>
    <row r="15" spans="2:8" ht="28.8" x14ac:dyDescent="0.3">
      <c r="B15" s="27" t="s">
        <v>7</v>
      </c>
      <c r="C15" s="27" t="s">
        <v>8</v>
      </c>
      <c r="D15" s="28" t="s">
        <v>37</v>
      </c>
      <c r="E15" s="29" t="s">
        <v>33</v>
      </c>
      <c r="F15" s="29" t="s">
        <v>36</v>
      </c>
      <c r="G15" s="29" t="s">
        <v>35</v>
      </c>
      <c r="H15" s="51" t="s">
        <v>78</v>
      </c>
    </row>
    <row r="16" spans="2:8" x14ac:dyDescent="0.3">
      <c r="C16" s="26" t="s">
        <v>44</v>
      </c>
      <c r="D16" s="2">
        <v>2016</v>
      </c>
      <c r="H16" s="50"/>
    </row>
    <row r="17" spans="2:8" x14ac:dyDescent="0.3">
      <c r="C17" t="s">
        <v>45</v>
      </c>
      <c r="D17" s="16">
        <f>42.02*1.51</f>
        <v>63.450200000000002</v>
      </c>
      <c r="E17">
        <v>90</v>
      </c>
      <c r="F17" s="25">
        <v>2</v>
      </c>
      <c r="G17" s="17">
        <f>SUM(D17*2)*E17</f>
        <v>11421.036</v>
      </c>
      <c r="H17" s="50" t="s">
        <v>84</v>
      </c>
    </row>
    <row r="18" spans="2:8" ht="15" thickBot="1" x14ac:dyDescent="0.35">
      <c r="C18" t="s">
        <v>46</v>
      </c>
      <c r="D18" s="16">
        <v>61.5</v>
      </c>
      <c r="E18">
        <v>90</v>
      </c>
      <c r="F18" s="25">
        <v>1</v>
      </c>
      <c r="G18" s="18">
        <f>D18*E18</f>
        <v>5535</v>
      </c>
      <c r="H18" s="50" t="s">
        <v>83</v>
      </c>
    </row>
    <row r="19" spans="2:8" ht="15" thickTop="1" x14ac:dyDescent="0.3">
      <c r="F19" s="25"/>
      <c r="G19" s="20">
        <f>SUM(G17:G18)</f>
        <v>16956.036</v>
      </c>
      <c r="H19" s="50"/>
    </row>
    <row r="20" spans="2:8" x14ac:dyDescent="0.3">
      <c r="C20" s="26" t="s">
        <v>47</v>
      </c>
      <c r="F20" s="25"/>
      <c r="H20" s="50"/>
    </row>
    <row r="21" spans="2:8" x14ac:dyDescent="0.3">
      <c r="C21" t="s">
        <v>48</v>
      </c>
      <c r="D21" s="16">
        <f>34.14*1.51</f>
        <v>51.551400000000001</v>
      </c>
      <c r="E21">
        <v>150</v>
      </c>
      <c r="F21" s="25">
        <v>1</v>
      </c>
      <c r="G21" s="17">
        <f>D21*E21</f>
        <v>7732.71</v>
      </c>
      <c r="H21" s="50" t="s">
        <v>84</v>
      </c>
    </row>
    <row r="22" spans="2:8" ht="15" thickBot="1" x14ac:dyDescent="0.35">
      <c r="C22" t="s">
        <v>49</v>
      </c>
      <c r="D22" s="16">
        <v>19</v>
      </c>
      <c r="E22">
        <v>150</v>
      </c>
      <c r="F22" s="25">
        <v>1</v>
      </c>
      <c r="G22" s="18">
        <f>D22*E22</f>
        <v>2850</v>
      </c>
      <c r="H22" s="50" t="s">
        <v>83</v>
      </c>
    </row>
    <row r="23" spans="2:8" ht="15" thickTop="1" x14ac:dyDescent="0.3">
      <c r="F23" s="25"/>
      <c r="G23" s="20">
        <f>SUM(G21:G22)</f>
        <v>10582.71</v>
      </c>
      <c r="H23" s="50"/>
    </row>
    <row r="24" spans="2:8" x14ac:dyDescent="0.3">
      <c r="C24" s="26" t="s">
        <v>50</v>
      </c>
      <c r="F24" s="25"/>
      <c r="H24" s="50"/>
    </row>
    <row r="25" spans="2:8" x14ac:dyDescent="0.3">
      <c r="C25" t="s">
        <v>45</v>
      </c>
      <c r="D25" s="16">
        <f>42.02*1.51</f>
        <v>63.450200000000002</v>
      </c>
      <c r="E25">
        <v>135</v>
      </c>
      <c r="F25" s="25">
        <v>1</v>
      </c>
      <c r="G25" s="17">
        <f>D25*E25</f>
        <v>8565.777</v>
      </c>
      <c r="H25" s="50" t="s">
        <v>84</v>
      </c>
    </row>
    <row r="26" spans="2:8" ht="15" thickBot="1" x14ac:dyDescent="0.35">
      <c r="C26" t="s">
        <v>46</v>
      </c>
      <c r="D26" s="16">
        <v>61.5</v>
      </c>
      <c r="E26">
        <v>135</v>
      </c>
      <c r="F26" s="25">
        <v>1</v>
      </c>
      <c r="G26" s="18">
        <f>D26*E26</f>
        <v>8302.5</v>
      </c>
      <c r="H26" s="50" t="s">
        <v>83</v>
      </c>
    </row>
    <row r="27" spans="2:8" ht="15.6" thickTop="1" thickBot="1" x14ac:dyDescent="0.35">
      <c r="G27" s="30">
        <f>SUM(G25:G26)</f>
        <v>16868.277000000002</v>
      </c>
      <c r="H27" s="50"/>
    </row>
    <row r="28" spans="2:8" ht="15.6" thickTop="1" thickBot="1" x14ac:dyDescent="0.35">
      <c r="C28" s="2" t="s">
        <v>51</v>
      </c>
      <c r="G28" s="31">
        <f>G19+G23+G27</f>
        <v>44407.023000000001</v>
      </c>
      <c r="H28" s="50"/>
    </row>
    <row r="29" spans="2:8" ht="15" thickTop="1" x14ac:dyDescent="0.3">
      <c r="C29" s="2" t="s">
        <v>52</v>
      </c>
      <c r="G29" s="23">
        <f>(G28/D9)/D11</f>
        <v>4.0003138234619229</v>
      </c>
      <c r="H29" s="50" t="s">
        <v>85</v>
      </c>
    </row>
    <row r="30" spans="2:8" x14ac:dyDescent="0.3">
      <c r="H30" s="25"/>
    </row>
    <row r="31" spans="2:8" x14ac:dyDescent="0.3">
      <c r="H31" s="25"/>
    </row>
    <row r="32" spans="2:8" x14ac:dyDescent="0.3">
      <c r="B32" s="27" t="s">
        <v>13</v>
      </c>
      <c r="C32" s="27" t="s">
        <v>53</v>
      </c>
      <c r="D32" s="32"/>
      <c r="E32" s="32"/>
      <c r="F32" s="32"/>
      <c r="G32" s="32"/>
      <c r="H32" s="51" t="s">
        <v>78</v>
      </c>
    </row>
    <row r="33" spans="2:8" x14ac:dyDescent="0.3">
      <c r="C33" s="2"/>
      <c r="D33" s="2">
        <v>2016</v>
      </c>
    </row>
    <row r="34" spans="2:8" x14ac:dyDescent="0.3">
      <c r="C34" t="s">
        <v>54</v>
      </c>
      <c r="D34" s="34">
        <v>8711433</v>
      </c>
      <c r="H34" t="s">
        <v>86</v>
      </c>
    </row>
    <row r="35" spans="2:8" ht="15" thickBot="1" x14ac:dyDescent="0.35">
      <c r="C35" t="s">
        <v>55</v>
      </c>
      <c r="D35" s="35">
        <v>9727364</v>
      </c>
      <c r="H35" t="s">
        <v>86</v>
      </c>
    </row>
    <row r="36" spans="2:8" ht="15.6" thickTop="1" thickBot="1" x14ac:dyDescent="0.35">
      <c r="C36" t="s">
        <v>56</v>
      </c>
      <c r="D36" s="35">
        <f>SUM(D34+D35)/2</f>
        <v>9219398.5</v>
      </c>
      <c r="H36" t="s">
        <v>90</v>
      </c>
    </row>
    <row r="37" spans="2:8" ht="15.6" thickTop="1" thickBot="1" x14ac:dyDescent="0.35">
      <c r="C37" t="s">
        <v>57</v>
      </c>
      <c r="D37" s="36">
        <f>D36*0.95</f>
        <v>8758428.5749999993</v>
      </c>
      <c r="H37" t="s">
        <v>212</v>
      </c>
    </row>
    <row r="38" spans="2:8" ht="15.6" thickTop="1" thickBot="1" x14ac:dyDescent="0.35">
      <c r="C38" t="s">
        <v>60</v>
      </c>
      <c r="D38" s="38">
        <f>D37/D9</f>
        <v>857.82845984329083</v>
      </c>
      <c r="H38" t="s">
        <v>65</v>
      </c>
    </row>
    <row r="39" spans="2:8" ht="15" thickTop="1" x14ac:dyDescent="0.3"/>
    <row r="40" spans="2:8" ht="15" thickBot="1" x14ac:dyDescent="0.35">
      <c r="B40" s="27" t="s">
        <v>15</v>
      </c>
      <c r="C40" s="27" t="s">
        <v>59</v>
      </c>
      <c r="D40" s="27" t="s">
        <v>61</v>
      </c>
      <c r="E40" s="32"/>
      <c r="F40" s="32"/>
      <c r="G40" s="32"/>
      <c r="H40" s="53" t="s">
        <v>78</v>
      </c>
    </row>
    <row r="41" spans="2:8" ht="15" thickTop="1" x14ac:dyDescent="0.3">
      <c r="D41" s="2">
        <v>2016</v>
      </c>
    </row>
    <row r="42" spans="2:8" x14ac:dyDescent="0.3">
      <c r="C42" t="s">
        <v>75</v>
      </c>
      <c r="D42" s="49">
        <v>255275</v>
      </c>
      <c r="H42" t="s">
        <v>86</v>
      </c>
    </row>
    <row r="43" spans="2:8" ht="15" thickBot="1" x14ac:dyDescent="0.35">
      <c r="C43" t="s">
        <v>76</v>
      </c>
      <c r="D43" s="52">
        <v>-1043</v>
      </c>
      <c r="H43" t="s">
        <v>86</v>
      </c>
    </row>
    <row r="44" spans="2:8" ht="15.6" thickTop="1" thickBot="1" x14ac:dyDescent="0.35">
      <c r="C44" t="s">
        <v>62</v>
      </c>
      <c r="D44" s="43">
        <f>SUM(D42:D43)</f>
        <v>254232</v>
      </c>
      <c r="H44" t="s">
        <v>91</v>
      </c>
    </row>
    <row r="45" spans="2:8" ht="15.6" thickTop="1" thickBot="1" x14ac:dyDescent="0.35">
      <c r="C45" t="s">
        <v>63</v>
      </c>
      <c r="D45" s="41">
        <f>D44*0.95</f>
        <v>241520.4</v>
      </c>
      <c r="H45" t="s">
        <v>212</v>
      </c>
    </row>
    <row r="46" spans="2:8" ht="15.6" thickTop="1" thickBot="1" x14ac:dyDescent="0.35">
      <c r="C46" t="s">
        <v>64</v>
      </c>
      <c r="D46" s="42">
        <f>D45/D9</f>
        <v>23.655279138099903</v>
      </c>
      <c r="H46" t="s">
        <v>66</v>
      </c>
    </row>
    <row r="47" spans="2:8" ht="15" thickTop="1" x14ac:dyDescent="0.3"/>
    <row r="48" spans="2:8" x14ac:dyDescent="0.3">
      <c r="B48" s="27" t="s">
        <v>16</v>
      </c>
      <c r="C48" s="27" t="s">
        <v>67</v>
      </c>
      <c r="D48" s="27"/>
      <c r="E48" s="27"/>
      <c r="F48" s="27"/>
      <c r="G48" s="27"/>
      <c r="H48" s="51" t="s">
        <v>78</v>
      </c>
    </row>
    <row r="49" spans="2:8" x14ac:dyDescent="0.3">
      <c r="D49" s="2">
        <v>2016</v>
      </c>
    </row>
    <row r="50" spans="2:8" x14ac:dyDescent="0.3">
      <c r="C50" t="s">
        <v>68</v>
      </c>
      <c r="D50" s="34">
        <v>208775</v>
      </c>
      <c r="H50" t="s">
        <v>186</v>
      </c>
    </row>
    <row r="51" spans="2:8" ht="15" thickBot="1" x14ac:dyDescent="0.35">
      <c r="C51" t="s">
        <v>92</v>
      </c>
      <c r="D51" s="35">
        <v>26410</v>
      </c>
      <c r="H51" t="s">
        <v>61</v>
      </c>
    </row>
    <row r="52" spans="2:8" ht="15.6" thickTop="1" thickBot="1" x14ac:dyDescent="0.35">
      <c r="C52" t="s">
        <v>69</v>
      </c>
      <c r="D52" s="43">
        <f>SUM(D49:D51)</f>
        <v>237201</v>
      </c>
    </row>
    <row r="53" spans="2:8" ht="15.6" thickTop="1" thickBot="1" x14ac:dyDescent="0.35">
      <c r="C53" t="s">
        <v>87</v>
      </c>
      <c r="D53" s="44">
        <f>D52*0.95</f>
        <v>225340.94999999998</v>
      </c>
      <c r="H53" t="s">
        <v>212</v>
      </c>
    </row>
    <row r="54" spans="2:8" ht="15.6" thickTop="1" thickBot="1" x14ac:dyDescent="0.35">
      <c r="C54" t="s">
        <v>70</v>
      </c>
      <c r="D54" s="45">
        <f>D53/D9</f>
        <v>22.070612144955923</v>
      </c>
      <c r="H54" t="s">
        <v>71</v>
      </c>
    </row>
    <row r="55" spans="2:8" ht="15" thickTop="1" x14ac:dyDescent="0.3"/>
    <row r="56" spans="2:8" x14ac:dyDescent="0.3">
      <c r="B56" s="27" t="s">
        <v>18</v>
      </c>
      <c r="C56" s="27" t="s">
        <v>72</v>
      </c>
      <c r="D56" s="27"/>
      <c r="E56" s="27"/>
      <c r="F56" s="27"/>
      <c r="G56" s="27"/>
      <c r="H56" s="51" t="s">
        <v>78</v>
      </c>
    </row>
    <row r="57" spans="2:8" x14ac:dyDescent="0.3">
      <c r="C57" t="s">
        <v>61</v>
      </c>
      <c r="D57" s="2">
        <v>2016</v>
      </c>
      <c r="H57" t="s">
        <v>61</v>
      </c>
    </row>
    <row r="58" spans="2:8" ht="15" thickBot="1" x14ac:dyDescent="0.35">
      <c r="C58" t="s">
        <v>73</v>
      </c>
      <c r="D58" s="47">
        <v>0.12</v>
      </c>
      <c r="H58" t="s">
        <v>74</v>
      </c>
    </row>
    <row r="59" spans="2:8" ht="15.6" thickTop="1" thickBot="1" x14ac:dyDescent="0.35">
      <c r="C59" t="s">
        <v>88</v>
      </c>
      <c r="D59" s="31">
        <f>D38*D58</f>
        <v>102.93941518119489</v>
      </c>
      <c r="H59" t="s">
        <v>89</v>
      </c>
    </row>
    <row r="60" spans="2:8" ht="15" thickTop="1" x14ac:dyDescent="0.3"/>
    <row r="62" spans="2:8" x14ac:dyDescent="0.3">
      <c r="B62" s="27" t="s">
        <v>23</v>
      </c>
      <c r="C62" s="27" t="s">
        <v>24</v>
      </c>
      <c r="D62" s="51" t="s">
        <v>196</v>
      </c>
      <c r="E62" s="51" t="s">
        <v>193</v>
      </c>
      <c r="F62" s="51" t="s">
        <v>202</v>
      </c>
      <c r="G62" s="27" t="s">
        <v>203</v>
      </c>
      <c r="H62" s="51" t="s">
        <v>78</v>
      </c>
    </row>
    <row r="63" spans="2:8" x14ac:dyDescent="0.3">
      <c r="E63" s="25"/>
      <c r="F63" s="25"/>
      <c r="H63" t="s">
        <v>190</v>
      </c>
    </row>
    <row r="64" spans="2:8" x14ac:dyDescent="0.3">
      <c r="C64" t="s">
        <v>189</v>
      </c>
      <c r="D64">
        <v>40</v>
      </c>
      <c r="E64" s="25"/>
      <c r="F64" s="25"/>
      <c r="H64" t="s">
        <v>191</v>
      </c>
    </row>
    <row r="65" spans="3:8" x14ac:dyDescent="0.3">
      <c r="C65" t="s">
        <v>192</v>
      </c>
      <c r="D65">
        <v>6</v>
      </c>
      <c r="E65" s="25">
        <v>1</v>
      </c>
      <c r="F65" s="25">
        <v>1.0900000000000001</v>
      </c>
      <c r="G65" s="71">
        <f>D65/(E65+F65)</f>
        <v>2.8708133971291869</v>
      </c>
      <c r="H65" t="s">
        <v>206</v>
      </c>
    </row>
    <row r="66" spans="3:8" x14ac:dyDescent="0.3">
      <c r="C66" t="s">
        <v>194</v>
      </c>
      <c r="D66">
        <v>17.25</v>
      </c>
      <c r="E66" s="25">
        <v>1</v>
      </c>
      <c r="F66" s="25">
        <v>1.0900000000000001</v>
      </c>
      <c r="G66" s="71">
        <f>D66/(E66+F66)</f>
        <v>8.2535885167464116</v>
      </c>
      <c r="H66" t="s">
        <v>206</v>
      </c>
    </row>
    <row r="67" spans="3:8" x14ac:dyDescent="0.3">
      <c r="C67" t="s">
        <v>195</v>
      </c>
      <c r="D67">
        <v>2</v>
      </c>
      <c r="E67" s="25">
        <v>0</v>
      </c>
      <c r="F67" s="25">
        <v>1.0900000000000001</v>
      </c>
      <c r="G67" s="71">
        <f>D67/F67</f>
        <v>1.8348623853211008</v>
      </c>
      <c r="H67" t="s">
        <v>207</v>
      </c>
    </row>
    <row r="68" spans="3:8" x14ac:dyDescent="0.3">
      <c r="C68" t="s">
        <v>197</v>
      </c>
      <c r="D68">
        <v>3.25</v>
      </c>
      <c r="E68" s="25">
        <v>0</v>
      </c>
      <c r="F68" s="25">
        <v>1.0900000000000001</v>
      </c>
      <c r="G68" s="71">
        <f>D68/F68</f>
        <v>2.9816513761467887</v>
      </c>
      <c r="H68" t="s">
        <v>208</v>
      </c>
    </row>
    <row r="69" spans="3:8" x14ac:dyDescent="0.3">
      <c r="C69" t="s">
        <v>198</v>
      </c>
      <c r="D69">
        <v>11.5</v>
      </c>
      <c r="E69" s="25">
        <v>1</v>
      </c>
      <c r="F69" s="25">
        <v>0</v>
      </c>
      <c r="H69" t="s">
        <v>209</v>
      </c>
    </row>
    <row r="70" spans="3:8" ht="15" thickBot="1" x14ac:dyDescent="0.35">
      <c r="C70" t="s">
        <v>204</v>
      </c>
      <c r="E70" s="25"/>
      <c r="F70" s="25"/>
      <c r="G70" s="85">
        <f>SUM(G65:G69)</f>
        <v>15.940915675343486</v>
      </c>
    </row>
    <row r="71" spans="3:8" ht="15" thickBot="1" x14ac:dyDescent="0.35">
      <c r="C71" t="s">
        <v>205</v>
      </c>
      <c r="E71" s="25"/>
      <c r="F71" s="25"/>
      <c r="G71" s="84">
        <f>G70/D64</f>
        <v>0.39852289188358714</v>
      </c>
    </row>
    <row r="72" spans="3:8" x14ac:dyDescent="0.3">
      <c r="E72" s="25"/>
      <c r="F72" s="25"/>
      <c r="G72" s="71"/>
    </row>
    <row r="73" spans="3:8" x14ac:dyDescent="0.3">
      <c r="E73" s="25"/>
      <c r="F73" s="25"/>
    </row>
    <row r="74" spans="3:8" x14ac:dyDescent="0.3">
      <c r="C74" t="s">
        <v>199</v>
      </c>
      <c r="D74">
        <v>1</v>
      </c>
      <c r="E74" s="25"/>
      <c r="F74" s="25"/>
      <c r="H74" t="s">
        <v>210</v>
      </c>
    </row>
    <row r="75" spans="3:8" ht="15" thickBot="1" x14ac:dyDescent="0.35">
      <c r="C75" t="s">
        <v>200</v>
      </c>
      <c r="D75" s="14">
        <v>1.0900000000000001</v>
      </c>
      <c r="E75" s="25"/>
      <c r="F75" s="25"/>
      <c r="H75" t="s">
        <v>211</v>
      </c>
    </row>
    <row r="76" spans="3:8" x14ac:dyDescent="0.3">
      <c r="C76" t="s">
        <v>201</v>
      </c>
      <c r="D76" s="2">
        <f>SUM(D74:D75)</f>
        <v>2.09</v>
      </c>
      <c r="E76" s="25"/>
      <c r="F76" s="25"/>
    </row>
    <row r="77" spans="3:8" x14ac:dyDescent="0.3">
      <c r="E77" s="25"/>
      <c r="F77" s="25"/>
    </row>
    <row r="78" spans="3:8" x14ac:dyDescent="0.3">
      <c r="D78" s="71"/>
      <c r="E78" s="25"/>
      <c r="F78" s="25"/>
    </row>
  </sheetData>
  <pageMargins left="0.7" right="0.7" top="0.75" bottom="0.75" header="0.3" footer="0.3"/>
  <pageSetup paperSize="3" orientation="landscape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80"/>
  <sheetViews>
    <sheetView topLeftCell="A67" zoomScale="145" zoomScaleNormal="145" workbookViewId="0">
      <selection activeCell="D42" sqref="D42"/>
    </sheetView>
  </sheetViews>
  <sheetFormatPr defaultRowHeight="14.4" x14ac:dyDescent="0.3"/>
  <cols>
    <col min="2" max="2" width="8.88671875" style="25"/>
    <col min="3" max="3" width="26" style="55" customWidth="1"/>
    <col min="4" max="4" width="19.6640625" style="54" customWidth="1"/>
    <col min="5" max="5" width="11.6640625" style="54" customWidth="1"/>
    <col min="6" max="6" width="8.44140625" style="54" customWidth="1"/>
    <col min="7" max="7" width="10.88671875" customWidth="1"/>
    <col min="8" max="8" width="16.44140625" customWidth="1"/>
    <col min="9" max="9" width="14.44140625" customWidth="1"/>
    <col min="11" max="11" width="8.109375" customWidth="1"/>
    <col min="12" max="12" width="12.5546875" customWidth="1"/>
  </cols>
  <sheetData>
    <row r="1" spans="2:10" ht="43.2" x14ac:dyDescent="0.3">
      <c r="B1" s="73" t="s">
        <v>170</v>
      </c>
      <c r="C1" s="72" t="s">
        <v>169</v>
      </c>
      <c r="D1" s="72" t="s">
        <v>168</v>
      </c>
      <c r="E1" s="72" t="s">
        <v>167</v>
      </c>
      <c r="F1" s="72" t="s">
        <v>166</v>
      </c>
      <c r="G1" s="72" t="s">
        <v>165</v>
      </c>
      <c r="H1" s="72" t="s">
        <v>164</v>
      </c>
      <c r="I1" s="54"/>
      <c r="J1" s="54"/>
    </row>
    <row r="2" spans="2:10" x14ac:dyDescent="0.3">
      <c r="B2" s="25">
        <f>SUM(B1) +1</f>
        <v>1</v>
      </c>
      <c r="C2" s="55" t="s">
        <v>163</v>
      </c>
      <c r="D2" s="54">
        <v>3</v>
      </c>
      <c r="E2" s="54">
        <v>40</v>
      </c>
      <c r="F2" s="54">
        <v>1430</v>
      </c>
      <c r="G2" s="71">
        <f t="shared" ref="G2:G41" si="0">SUM(F2)/E2</f>
        <v>35.75</v>
      </c>
      <c r="H2" s="71">
        <f t="shared" ref="H2:H33" si="1">D2*G2</f>
        <v>107.25</v>
      </c>
    </row>
    <row r="3" spans="2:10" x14ac:dyDescent="0.3">
      <c r="B3" s="25">
        <v>1</v>
      </c>
      <c r="C3" s="55" t="s">
        <v>162</v>
      </c>
      <c r="D3" s="54">
        <v>2</v>
      </c>
      <c r="E3" s="54">
        <v>60</v>
      </c>
      <c r="F3" s="54">
        <v>1350</v>
      </c>
      <c r="G3" s="71">
        <f t="shared" si="0"/>
        <v>22.5</v>
      </c>
      <c r="H3" s="71">
        <f t="shared" si="1"/>
        <v>45</v>
      </c>
    </row>
    <row r="4" spans="2:10" x14ac:dyDescent="0.3">
      <c r="B4" s="25">
        <f t="shared" ref="B4:B35" si="2">SUM(B3) +1</f>
        <v>2</v>
      </c>
      <c r="C4" s="55" t="s">
        <v>148</v>
      </c>
      <c r="D4" s="54">
        <v>2</v>
      </c>
      <c r="E4" s="54">
        <v>60</v>
      </c>
      <c r="F4" s="54">
        <v>3070</v>
      </c>
      <c r="G4" s="71">
        <f t="shared" si="0"/>
        <v>51.166666666666664</v>
      </c>
      <c r="H4" s="71">
        <f t="shared" si="1"/>
        <v>102.33333333333333</v>
      </c>
    </row>
    <row r="5" spans="2:10" x14ac:dyDescent="0.3">
      <c r="B5" s="25">
        <f t="shared" si="2"/>
        <v>3</v>
      </c>
      <c r="C5" s="55" t="s">
        <v>161</v>
      </c>
      <c r="D5" s="54">
        <v>2</v>
      </c>
      <c r="E5" s="54">
        <v>70</v>
      </c>
      <c r="F5" s="54">
        <v>1410</v>
      </c>
      <c r="G5" s="71">
        <f t="shared" si="0"/>
        <v>20.142857142857142</v>
      </c>
      <c r="H5" s="71">
        <f t="shared" si="1"/>
        <v>40.285714285714285</v>
      </c>
    </row>
    <row r="6" spans="2:10" x14ac:dyDescent="0.3">
      <c r="B6" s="25">
        <f t="shared" si="2"/>
        <v>4</v>
      </c>
      <c r="C6" s="55" t="s">
        <v>160</v>
      </c>
      <c r="D6" s="54">
        <v>2</v>
      </c>
      <c r="E6" s="54">
        <v>60</v>
      </c>
      <c r="F6" s="54">
        <v>1320</v>
      </c>
      <c r="G6" s="71">
        <f t="shared" si="0"/>
        <v>22</v>
      </c>
      <c r="H6" s="71">
        <f t="shared" si="1"/>
        <v>44</v>
      </c>
    </row>
    <row r="7" spans="2:10" x14ac:dyDescent="0.3">
      <c r="B7" s="25">
        <f t="shared" si="2"/>
        <v>5</v>
      </c>
      <c r="C7" s="55" t="s">
        <v>159</v>
      </c>
      <c r="D7" s="54">
        <v>2</v>
      </c>
      <c r="E7" s="54">
        <v>50</v>
      </c>
      <c r="F7" s="54">
        <v>801.32</v>
      </c>
      <c r="G7" s="71">
        <f t="shared" si="0"/>
        <v>16.026400000000002</v>
      </c>
      <c r="H7" s="71">
        <f t="shared" si="1"/>
        <v>32.052800000000005</v>
      </c>
    </row>
    <row r="8" spans="2:10" x14ac:dyDescent="0.3">
      <c r="B8" s="25">
        <f t="shared" si="2"/>
        <v>6</v>
      </c>
      <c r="C8" s="55" t="s">
        <v>158</v>
      </c>
      <c r="D8" s="54">
        <v>2</v>
      </c>
      <c r="E8" s="54">
        <v>60</v>
      </c>
      <c r="F8" s="54">
        <v>606.23</v>
      </c>
      <c r="G8" s="71">
        <f t="shared" si="0"/>
        <v>10.103833333333334</v>
      </c>
      <c r="H8" s="71">
        <f t="shared" si="1"/>
        <v>20.207666666666668</v>
      </c>
    </row>
    <row r="9" spans="2:10" x14ac:dyDescent="0.3">
      <c r="B9" s="25">
        <f t="shared" si="2"/>
        <v>7</v>
      </c>
      <c r="C9" s="55" t="s">
        <v>157</v>
      </c>
      <c r="D9" s="54">
        <v>2</v>
      </c>
      <c r="E9" s="54">
        <v>50</v>
      </c>
      <c r="F9" s="54">
        <v>1320</v>
      </c>
      <c r="G9" s="71">
        <f t="shared" si="0"/>
        <v>26.4</v>
      </c>
      <c r="H9" s="71">
        <f t="shared" si="1"/>
        <v>52.8</v>
      </c>
    </row>
    <row r="10" spans="2:10" x14ac:dyDescent="0.3">
      <c r="B10" s="25">
        <f t="shared" si="2"/>
        <v>8</v>
      </c>
      <c r="C10" s="55" t="s">
        <v>156</v>
      </c>
      <c r="D10" s="54">
        <v>2</v>
      </c>
      <c r="E10" s="54">
        <v>60</v>
      </c>
      <c r="F10" s="54">
        <v>1550</v>
      </c>
      <c r="G10" s="71">
        <f t="shared" si="0"/>
        <v>25.833333333333332</v>
      </c>
      <c r="H10" s="71">
        <f t="shared" si="1"/>
        <v>51.666666666666664</v>
      </c>
    </row>
    <row r="11" spans="2:10" x14ac:dyDescent="0.3">
      <c r="B11" s="25">
        <f t="shared" si="2"/>
        <v>9</v>
      </c>
      <c r="C11" s="55" t="s">
        <v>155</v>
      </c>
      <c r="D11" s="54">
        <v>2</v>
      </c>
      <c r="E11" s="54">
        <v>60</v>
      </c>
      <c r="F11" s="54">
        <v>1360</v>
      </c>
      <c r="G11" s="71">
        <f t="shared" si="0"/>
        <v>22.666666666666668</v>
      </c>
      <c r="H11" s="71">
        <f t="shared" si="1"/>
        <v>45.333333333333336</v>
      </c>
    </row>
    <row r="12" spans="2:10" x14ac:dyDescent="0.3">
      <c r="B12" s="25">
        <f t="shared" si="2"/>
        <v>10</v>
      </c>
      <c r="C12" s="55" t="s">
        <v>154</v>
      </c>
      <c r="D12" s="54">
        <v>2</v>
      </c>
      <c r="E12" s="54">
        <v>40</v>
      </c>
      <c r="F12" s="54">
        <v>3020</v>
      </c>
      <c r="G12" s="71">
        <f t="shared" si="0"/>
        <v>75.5</v>
      </c>
      <c r="H12" s="71">
        <f t="shared" si="1"/>
        <v>151</v>
      </c>
    </row>
    <row r="13" spans="2:10" x14ac:dyDescent="0.3">
      <c r="B13" s="25">
        <f t="shared" si="2"/>
        <v>11</v>
      </c>
      <c r="C13" s="55" t="s">
        <v>153</v>
      </c>
      <c r="D13" s="54">
        <v>2</v>
      </c>
      <c r="E13" s="54">
        <v>60</v>
      </c>
      <c r="F13" s="54">
        <v>1320</v>
      </c>
      <c r="G13" s="71">
        <f t="shared" si="0"/>
        <v>22</v>
      </c>
      <c r="H13" s="71">
        <f t="shared" si="1"/>
        <v>44</v>
      </c>
    </row>
    <row r="14" spans="2:10" x14ac:dyDescent="0.3">
      <c r="B14" s="25">
        <f t="shared" si="2"/>
        <v>12</v>
      </c>
      <c r="C14" s="55" t="s">
        <v>152</v>
      </c>
      <c r="D14" s="54">
        <v>2</v>
      </c>
      <c r="E14" s="54">
        <v>50</v>
      </c>
      <c r="F14" s="54">
        <v>856.58</v>
      </c>
      <c r="G14" s="71">
        <f t="shared" si="0"/>
        <v>17.131600000000002</v>
      </c>
      <c r="H14" s="71">
        <f t="shared" si="1"/>
        <v>34.263200000000005</v>
      </c>
    </row>
    <row r="15" spans="2:10" x14ac:dyDescent="0.3">
      <c r="B15" s="25">
        <f t="shared" si="2"/>
        <v>13</v>
      </c>
      <c r="C15" s="55" t="s">
        <v>151</v>
      </c>
      <c r="D15" s="54">
        <v>2</v>
      </c>
      <c r="E15" s="54">
        <v>40</v>
      </c>
      <c r="F15" s="54">
        <v>515.78</v>
      </c>
      <c r="G15" s="71">
        <f t="shared" si="0"/>
        <v>12.894499999999999</v>
      </c>
      <c r="H15" s="71">
        <f t="shared" si="1"/>
        <v>25.788999999999998</v>
      </c>
    </row>
    <row r="16" spans="2:10" x14ac:dyDescent="0.3">
      <c r="B16" s="25">
        <f t="shared" si="2"/>
        <v>14</v>
      </c>
      <c r="C16" s="55" t="s">
        <v>121</v>
      </c>
      <c r="D16" s="54">
        <v>2</v>
      </c>
      <c r="E16" s="54">
        <v>60</v>
      </c>
      <c r="F16" s="54">
        <v>3030</v>
      </c>
      <c r="G16" s="71">
        <f t="shared" si="0"/>
        <v>50.5</v>
      </c>
      <c r="H16" s="71">
        <f t="shared" si="1"/>
        <v>101</v>
      </c>
    </row>
    <row r="17" spans="2:8" x14ac:dyDescent="0.3">
      <c r="B17" s="25">
        <f t="shared" si="2"/>
        <v>15</v>
      </c>
      <c r="C17" s="55" t="s">
        <v>150</v>
      </c>
      <c r="D17" s="54">
        <v>2</v>
      </c>
      <c r="E17" s="54">
        <v>60</v>
      </c>
      <c r="F17" s="54">
        <v>1330</v>
      </c>
      <c r="G17" s="71">
        <f t="shared" si="0"/>
        <v>22.166666666666668</v>
      </c>
      <c r="H17" s="71">
        <f t="shared" si="1"/>
        <v>44.333333333333336</v>
      </c>
    </row>
    <row r="18" spans="2:8" x14ac:dyDescent="0.3">
      <c r="B18" s="25">
        <f t="shared" si="2"/>
        <v>16</v>
      </c>
      <c r="C18" s="55" t="s">
        <v>149</v>
      </c>
      <c r="D18" s="54">
        <v>2</v>
      </c>
      <c r="E18" s="54">
        <v>60</v>
      </c>
      <c r="F18" s="54">
        <v>3050</v>
      </c>
      <c r="G18" s="71">
        <f t="shared" si="0"/>
        <v>50.833333333333336</v>
      </c>
      <c r="H18" s="71">
        <f t="shared" si="1"/>
        <v>101.66666666666667</v>
      </c>
    </row>
    <row r="19" spans="2:8" x14ac:dyDescent="0.3">
      <c r="B19" s="25">
        <f t="shared" si="2"/>
        <v>17</v>
      </c>
      <c r="C19" s="55" t="s">
        <v>148</v>
      </c>
      <c r="D19" s="54">
        <v>2</v>
      </c>
      <c r="E19" s="54">
        <v>60</v>
      </c>
      <c r="F19" s="54">
        <v>2980</v>
      </c>
      <c r="G19" s="71">
        <f t="shared" si="0"/>
        <v>49.666666666666664</v>
      </c>
      <c r="H19" s="71">
        <f t="shared" si="1"/>
        <v>99.333333333333329</v>
      </c>
    </row>
    <row r="20" spans="2:8" x14ac:dyDescent="0.3">
      <c r="B20" s="25">
        <f t="shared" si="2"/>
        <v>18</v>
      </c>
      <c r="C20" s="55" t="s">
        <v>147</v>
      </c>
      <c r="D20" s="54">
        <v>2</v>
      </c>
      <c r="E20" s="54">
        <v>60</v>
      </c>
      <c r="F20" s="54">
        <v>705.04</v>
      </c>
      <c r="G20" s="71">
        <f t="shared" si="0"/>
        <v>11.750666666666666</v>
      </c>
      <c r="H20" s="71">
        <f t="shared" si="1"/>
        <v>23.501333333333331</v>
      </c>
    </row>
    <row r="21" spans="2:8" x14ac:dyDescent="0.3">
      <c r="B21" s="25">
        <f t="shared" si="2"/>
        <v>19</v>
      </c>
      <c r="C21" s="55" t="s">
        <v>146</v>
      </c>
      <c r="D21" s="54">
        <v>1</v>
      </c>
      <c r="E21" s="54">
        <v>40</v>
      </c>
      <c r="F21" s="54">
        <v>2900</v>
      </c>
      <c r="G21" s="71">
        <f t="shared" si="0"/>
        <v>72.5</v>
      </c>
      <c r="H21" s="71">
        <f t="shared" si="1"/>
        <v>72.5</v>
      </c>
    </row>
    <row r="22" spans="2:8" x14ac:dyDescent="0.3">
      <c r="B22" s="25">
        <f t="shared" si="2"/>
        <v>20</v>
      </c>
      <c r="C22" s="55" t="s">
        <v>145</v>
      </c>
      <c r="D22" s="54">
        <v>1</v>
      </c>
      <c r="E22" s="54">
        <v>60</v>
      </c>
      <c r="F22" s="54">
        <v>2060</v>
      </c>
      <c r="G22" s="71">
        <f t="shared" si="0"/>
        <v>34.333333333333336</v>
      </c>
      <c r="H22" s="71">
        <f t="shared" si="1"/>
        <v>34.333333333333336</v>
      </c>
    </row>
    <row r="23" spans="2:8" x14ac:dyDescent="0.3">
      <c r="B23" s="25">
        <f t="shared" si="2"/>
        <v>21</v>
      </c>
      <c r="C23" s="55" t="s">
        <v>144</v>
      </c>
      <c r="D23" s="54">
        <v>1</v>
      </c>
      <c r="E23" s="54">
        <v>60</v>
      </c>
      <c r="F23" s="54">
        <v>2180</v>
      </c>
      <c r="G23" s="71">
        <f t="shared" si="0"/>
        <v>36.333333333333336</v>
      </c>
      <c r="H23" s="71">
        <f t="shared" si="1"/>
        <v>36.333333333333336</v>
      </c>
    </row>
    <row r="24" spans="2:8" ht="28.8" x14ac:dyDescent="0.3">
      <c r="B24" s="25">
        <f t="shared" si="2"/>
        <v>22</v>
      </c>
      <c r="C24" s="55" t="s">
        <v>143</v>
      </c>
      <c r="D24" s="54">
        <v>1</v>
      </c>
      <c r="E24" s="54">
        <v>60</v>
      </c>
      <c r="F24" s="54">
        <v>1370</v>
      </c>
      <c r="G24" s="71">
        <f t="shared" si="0"/>
        <v>22.833333333333332</v>
      </c>
      <c r="H24" s="71">
        <f t="shared" si="1"/>
        <v>22.833333333333332</v>
      </c>
    </row>
    <row r="25" spans="2:8" x14ac:dyDescent="0.3">
      <c r="B25" s="25">
        <f t="shared" si="2"/>
        <v>23</v>
      </c>
      <c r="C25" s="55" t="s">
        <v>142</v>
      </c>
      <c r="D25" s="54">
        <v>1</v>
      </c>
      <c r="E25" s="54">
        <v>50</v>
      </c>
      <c r="F25" s="54">
        <v>1360</v>
      </c>
      <c r="G25" s="71">
        <f t="shared" si="0"/>
        <v>27.2</v>
      </c>
      <c r="H25" s="71">
        <f t="shared" si="1"/>
        <v>27.2</v>
      </c>
    </row>
    <row r="26" spans="2:8" x14ac:dyDescent="0.3">
      <c r="B26" s="25">
        <f t="shared" si="2"/>
        <v>24</v>
      </c>
      <c r="C26" s="55" t="s">
        <v>141</v>
      </c>
      <c r="D26" s="54">
        <v>1</v>
      </c>
      <c r="E26" s="54">
        <v>60</v>
      </c>
      <c r="F26" s="54">
        <v>3040</v>
      </c>
      <c r="G26" s="71">
        <f t="shared" si="0"/>
        <v>50.666666666666664</v>
      </c>
      <c r="H26" s="71">
        <f t="shared" si="1"/>
        <v>50.666666666666664</v>
      </c>
    </row>
    <row r="27" spans="2:8" x14ac:dyDescent="0.3">
      <c r="B27" s="25">
        <f t="shared" si="2"/>
        <v>25</v>
      </c>
      <c r="C27" s="55" t="s">
        <v>140</v>
      </c>
      <c r="D27" s="54">
        <v>1</v>
      </c>
      <c r="E27" s="54">
        <v>60</v>
      </c>
      <c r="F27" s="54">
        <v>1380</v>
      </c>
      <c r="G27" s="71">
        <f t="shared" si="0"/>
        <v>23</v>
      </c>
      <c r="H27" s="71">
        <f t="shared" si="1"/>
        <v>23</v>
      </c>
    </row>
    <row r="28" spans="2:8" x14ac:dyDescent="0.3">
      <c r="B28" s="25">
        <f t="shared" si="2"/>
        <v>26</v>
      </c>
      <c r="C28" s="55" t="s">
        <v>139</v>
      </c>
      <c r="D28" s="54">
        <v>1</v>
      </c>
      <c r="E28" s="54">
        <v>60</v>
      </c>
      <c r="F28" s="54">
        <v>1420</v>
      </c>
      <c r="G28" s="71">
        <f t="shared" si="0"/>
        <v>23.666666666666668</v>
      </c>
      <c r="H28" s="71">
        <f t="shared" si="1"/>
        <v>23.666666666666668</v>
      </c>
    </row>
    <row r="29" spans="2:8" x14ac:dyDescent="0.3">
      <c r="B29" s="25">
        <f t="shared" si="2"/>
        <v>27</v>
      </c>
      <c r="C29" s="55" t="s">
        <v>138</v>
      </c>
      <c r="D29" s="54">
        <v>1</v>
      </c>
      <c r="E29" s="54">
        <v>60</v>
      </c>
      <c r="F29" s="54">
        <v>3050</v>
      </c>
      <c r="G29" s="71">
        <f t="shared" si="0"/>
        <v>50.833333333333336</v>
      </c>
      <c r="H29" s="71">
        <f t="shared" si="1"/>
        <v>50.833333333333336</v>
      </c>
    </row>
    <row r="30" spans="2:8" x14ac:dyDescent="0.3">
      <c r="B30" s="25">
        <f t="shared" si="2"/>
        <v>28</v>
      </c>
      <c r="C30" s="55" t="s">
        <v>137</v>
      </c>
      <c r="D30" s="54">
        <v>1</v>
      </c>
      <c r="E30" s="54">
        <v>50</v>
      </c>
      <c r="F30" s="54">
        <v>1120</v>
      </c>
      <c r="G30" s="71">
        <f t="shared" si="0"/>
        <v>22.4</v>
      </c>
      <c r="H30" s="71">
        <f t="shared" si="1"/>
        <v>22.4</v>
      </c>
    </row>
    <row r="31" spans="2:8" x14ac:dyDescent="0.3">
      <c r="B31" s="25">
        <f t="shared" si="2"/>
        <v>29</v>
      </c>
      <c r="C31" s="55" t="s">
        <v>136</v>
      </c>
      <c r="D31" s="54">
        <v>1</v>
      </c>
      <c r="E31" s="54">
        <v>60</v>
      </c>
      <c r="F31" s="54">
        <v>3050</v>
      </c>
      <c r="G31" s="71">
        <f t="shared" si="0"/>
        <v>50.833333333333336</v>
      </c>
      <c r="H31" s="71">
        <f t="shared" si="1"/>
        <v>50.833333333333336</v>
      </c>
    </row>
    <row r="32" spans="2:8" x14ac:dyDescent="0.3">
      <c r="B32" s="25">
        <f t="shared" si="2"/>
        <v>30</v>
      </c>
      <c r="C32" s="55" t="s">
        <v>135</v>
      </c>
      <c r="D32" s="54">
        <v>1</v>
      </c>
      <c r="E32" s="54">
        <v>60</v>
      </c>
      <c r="F32" s="54">
        <v>1240</v>
      </c>
      <c r="G32" s="71">
        <f t="shared" si="0"/>
        <v>20.666666666666668</v>
      </c>
      <c r="H32" s="71">
        <f t="shared" si="1"/>
        <v>20.666666666666668</v>
      </c>
    </row>
    <row r="33" spans="2:8" x14ac:dyDescent="0.3">
      <c r="B33" s="25">
        <f t="shared" si="2"/>
        <v>31</v>
      </c>
      <c r="C33" s="55" t="s">
        <v>134</v>
      </c>
      <c r="D33" s="54">
        <v>1</v>
      </c>
      <c r="E33" s="54">
        <v>60</v>
      </c>
      <c r="F33" s="54">
        <v>1200</v>
      </c>
      <c r="G33" s="71">
        <f t="shared" si="0"/>
        <v>20</v>
      </c>
      <c r="H33" s="71">
        <f t="shared" si="1"/>
        <v>20</v>
      </c>
    </row>
    <row r="34" spans="2:8" x14ac:dyDescent="0.3">
      <c r="B34" s="25">
        <f t="shared" si="2"/>
        <v>32</v>
      </c>
      <c r="C34" s="55" t="s">
        <v>133</v>
      </c>
      <c r="D34" s="54">
        <v>1</v>
      </c>
      <c r="E34" s="54">
        <v>70</v>
      </c>
      <c r="F34" s="54">
        <v>3060</v>
      </c>
      <c r="G34" s="71">
        <f t="shared" si="0"/>
        <v>43.714285714285715</v>
      </c>
      <c r="H34" s="71">
        <f t="shared" ref="H34:H62" si="3">D34*G34</f>
        <v>43.714285714285715</v>
      </c>
    </row>
    <row r="35" spans="2:8" x14ac:dyDescent="0.3">
      <c r="B35" s="25">
        <f t="shared" si="2"/>
        <v>33</v>
      </c>
      <c r="C35" s="55" t="s">
        <v>132</v>
      </c>
      <c r="D35" s="54">
        <v>1</v>
      </c>
      <c r="E35" s="54">
        <v>70</v>
      </c>
      <c r="F35" s="54">
        <v>1730</v>
      </c>
      <c r="G35" s="71">
        <f t="shared" si="0"/>
        <v>24.714285714285715</v>
      </c>
      <c r="H35" s="71">
        <f t="shared" si="3"/>
        <v>24.714285714285715</v>
      </c>
    </row>
    <row r="36" spans="2:8" x14ac:dyDescent="0.3">
      <c r="B36" s="25">
        <f t="shared" ref="B36:B62" si="4">SUM(B35) +1</f>
        <v>34</v>
      </c>
      <c r="C36" s="55" t="s">
        <v>131</v>
      </c>
      <c r="D36" s="54">
        <v>1</v>
      </c>
      <c r="E36" s="54">
        <v>70</v>
      </c>
      <c r="F36" s="54">
        <v>1050</v>
      </c>
      <c r="G36" s="71">
        <f t="shared" si="0"/>
        <v>15</v>
      </c>
      <c r="H36" s="71">
        <f t="shared" si="3"/>
        <v>15</v>
      </c>
    </row>
    <row r="37" spans="2:8" x14ac:dyDescent="0.3">
      <c r="B37" s="25">
        <f t="shared" si="4"/>
        <v>35</v>
      </c>
      <c r="C37" s="55" t="s">
        <v>130</v>
      </c>
      <c r="D37" s="54">
        <v>1</v>
      </c>
      <c r="E37" s="54">
        <v>70</v>
      </c>
      <c r="F37" s="54">
        <v>1320</v>
      </c>
      <c r="G37" s="71">
        <f t="shared" si="0"/>
        <v>18.857142857142858</v>
      </c>
      <c r="H37" s="71">
        <f t="shared" si="3"/>
        <v>18.857142857142858</v>
      </c>
    </row>
    <row r="38" spans="2:8" x14ac:dyDescent="0.3">
      <c r="B38" s="25">
        <f t="shared" si="4"/>
        <v>36</v>
      </c>
      <c r="C38" s="55" t="s">
        <v>129</v>
      </c>
      <c r="D38" s="54">
        <v>1</v>
      </c>
      <c r="E38" s="54">
        <v>70</v>
      </c>
      <c r="F38" s="54">
        <v>1420</v>
      </c>
      <c r="G38" s="71">
        <f t="shared" si="0"/>
        <v>20.285714285714285</v>
      </c>
      <c r="H38" s="71">
        <f t="shared" si="3"/>
        <v>20.285714285714285</v>
      </c>
    </row>
    <row r="39" spans="2:8" x14ac:dyDescent="0.3">
      <c r="B39" s="25">
        <f t="shared" si="4"/>
        <v>37</v>
      </c>
      <c r="C39" s="55" t="s">
        <v>128</v>
      </c>
      <c r="D39" s="54">
        <v>1</v>
      </c>
      <c r="E39" s="54">
        <v>60</v>
      </c>
      <c r="F39" s="54">
        <v>3040</v>
      </c>
      <c r="G39" s="71">
        <f t="shared" si="0"/>
        <v>50.666666666666664</v>
      </c>
      <c r="H39" s="71">
        <f t="shared" si="3"/>
        <v>50.666666666666664</v>
      </c>
    </row>
    <row r="40" spans="2:8" x14ac:dyDescent="0.3">
      <c r="B40" s="25">
        <f t="shared" si="4"/>
        <v>38</v>
      </c>
      <c r="C40" s="55" t="s">
        <v>127</v>
      </c>
      <c r="D40" s="54">
        <v>1</v>
      </c>
      <c r="E40" s="54">
        <v>60</v>
      </c>
      <c r="F40" s="54">
        <v>1850</v>
      </c>
      <c r="G40" s="71">
        <f t="shared" si="0"/>
        <v>30.833333333333332</v>
      </c>
      <c r="H40" s="71">
        <f t="shared" si="3"/>
        <v>30.833333333333332</v>
      </c>
    </row>
    <row r="41" spans="2:8" x14ac:dyDescent="0.3">
      <c r="B41" s="25">
        <f t="shared" si="4"/>
        <v>39</v>
      </c>
      <c r="C41" s="55" t="s">
        <v>126</v>
      </c>
      <c r="D41" s="54">
        <v>1</v>
      </c>
      <c r="E41" s="54">
        <v>60</v>
      </c>
      <c r="F41" s="54">
        <v>3070</v>
      </c>
      <c r="G41" s="71">
        <f t="shared" si="0"/>
        <v>51.166666666666664</v>
      </c>
      <c r="H41" s="71">
        <f t="shared" si="3"/>
        <v>51.166666666666664</v>
      </c>
    </row>
    <row r="42" spans="2:8" ht="28.8" x14ac:dyDescent="0.3">
      <c r="B42" s="25">
        <f t="shared" si="4"/>
        <v>40</v>
      </c>
      <c r="C42" s="55" t="s">
        <v>125</v>
      </c>
      <c r="D42" s="54">
        <v>0</v>
      </c>
      <c r="E42" s="54" t="s">
        <v>124</v>
      </c>
      <c r="F42" s="54">
        <v>3040</v>
      </c>
      <c r="G42" s="71">
        <v>0</v>
      </c>
      <c r="H42" s="71">
        <f t="shared" si="3"/>
        <v>0</v>
      </c>
    </row>
    <row r="43" spans="2:8" x14ac:dyDescent="0.3">
      <c r="B43" s="25">
        <f t="shared" si="4"/>
        <v>41</v>
      </c>
      <c r="C43" s="55" t="s">
        <v>123</v>
      </c>
      <c r="D43" s="54">
        <v>0</v>
      </c>
      <c r="E43" s="54">
        <v>65</v>
      </c>
      <c r="F43" s="54">
        <v>3210</v>
      </c>
      <c r="G43" s="71">
        <f t="shared" ref="G43:G62" si="5">SUM(F43)/E43</f>
        <v>49.384615384615387</v>
      </c>
      <c r="H43" s="71">
        <f t="shared" si="3"/>
        <v>0</v>
      </c>
    </row>
    <row r="44" spans="2:8" x14ac:dyDescent="0.3">
      <c r="B44" s="25">
        <f t="shared" si="4"/>
        <v>42</v>
      </c>
      <c r="C44" s="55" t="s">
        <v>122</v>
      </c>
      <c r="D44" s="54">
        <v>0</v>
      </c>
      <c r="E44" s="54">
        <v>60</v>
      </c>
      <c r="F44" s="54">
        <v>1400</v>
      </c>
      <c r="G44" s="71">
        <f t="shared" si="5"/>
        <v>23.333333333333332</v>
      </c>
      <c r="H44" s="71">
        <f t="shared" si="3"/>
        <v>0</v>
      </c>
    </row>
    <row r="45" spans="2:8" x14ac:dyDescent="0.3">
      <c r="B45" s="25">
        <f t="shared" si="4"/>
        <v>43</v>
      </c>
      <c r="C45" s="55" t="s">
        <v>121</v>
      </c>
      <c r="D45" s="54">
        <v>0</v>
      </c>
      <c r="E45" s="54">
        <v>60</v>
      </c>
      <c r="F45" s="54">
        <v>3030</v>
      </c>
      <c r="G45" s="71">
        <f t="shared" si="5"/>
        <v>50.5</v>
      </c>
      <c r="H45" s="71">
        <f t="shared" si="3"/>
        <v>0</v>
      </c>
    </row>
    <row r="46" spans="2:8" x14ac:dyDescent="0.3">
      <c r="B46" s="25">
        <f t="shared" si="4"/>
        <v>44</v>
      </c>
      <c r="C46" s="55" t="s">
        <v>120</v>
      </c>
      <c r="D46" s="54">
        <v>0</v>
      </c>
      <c r="E46" s="54">
        <v>60</v>
      </c>
      <c r="F46" s="54">
        <v>3050</v>
      </c>
      <c r="G46" s="71">
        <f t="shared" si="5"/>
        <v>50.833333333333336</v>
      </c>
      <c r="H46" s="71">
        <f t="shared" si="3"/>
        <v>0</v>
      </c>
    </row>
    <row r="47" spans="2:8" x14ac:dyDescent="0.3">
      <c r="B47" s="25">
        <f t="shared" si="4"/>
        <v>45</v>
      </c>
      <c r="C47" s="55" t="s">
        <v>119</v>
      </c>
      <c r="D47" s="54">
        <v>0</v>
      </c>
      <c r="E47" s="54">
        <v>60</v>
      </c>
      <c r="F47" s="54">
        <v>1410</v>
      </c>
      <c r="G47" s="71">
        <f t="shared" si="5"/>
        <v>23.5</v>
      </c>
      <c r="H47" s="71">
        <f t="shared" si="3"/>
        <v>0</v>
      </c>
    </row>
    <row r="48" spans="2:8" x14ac:dyDescent="0.3">
      <c r="B48" s="25">
        <f t="shared" si="4"/>
        <v>46</v>
      </c>
      <c r="C48" s="55" t="s">
        <v>118</v>
      </c>
      <c r="D48" s="54">
        <v>0</v>
      </c>
      <c r="E48" s="54">
        <v>60</v>
      </c>
      <c r="F48" s="54">
        <v>3070</v>
      </c>
      <c r="G48" s="71">
        <f t="shared" si="5"/>
        <v>51.166666666666664</v>
      </c>
      <c r="H48" s="71">
        <f t="shared" si="3"/>
        <v>0</v>
      </c>
    </row>
    <row r="49" spans="2:12" x14ac:dyDescent="0.3">
      <c r="B49" s="25">
        <f t="shared" si="4"/>
        <v>47</v>
      </c>
      <c r="C49" s="55" t="s">
        <v>117</v>
      </c>
      <c r="D49" s="54">
        <v>0</v>
      </c>
      <c r="E49" s="54">
        <v>60</v>
      </c>
      <c r="F49" s="54">
        <v>3050</v>
      </c>
      <c r="G49" s="71">
        <f t="shared" si="5"/>
        <v>50.833333333333336</v>
      </c>
      <c r="H49" s="71">
        <f t="shared" si="3"/>
        <v>0</v>
      </c>
    </row>
    <row r="50" spans="2:12" x14ac:dyDescent="0.3">
      <c r="B50" s="25">
        <f t="shared" si="4"/>
        <v>48</v>
      </c>
      <c r="C50" s="55" t="s">
        <v>116</v>
      </c>
      <c r="D50" s="54">
        <v>0</v>
      </c>
      <c r="E50" s="54">
        <v>70</v>
      </c>
      <c r="F50" s="54">
        <v>3050</v>
      </c>
      <c r="G50" s="71">
        <f t="shared" si="5"/>
        <v>43.571428571428569</v>
      </c>
      <c r="H50" s="71">
        <f t="shared" si="3"/>
        <v>0</v>
      </c>
    </row>
    <row r="51" spans="2:12" x14ac:dyDescent="0.3">
      <c r="B51" s="25">
        <f t="shared" si="4"/>
        <v>49</v>
      </c>
      <c r="C51" s="55" t="s">
        <v>115</v>
      </c>
      <c r="D51" s="54">
        <v>0</v>
      </c>
      <c r="E51" s="54">
        <v>70</v>
      </c>
      <c r="F51" s="54">
        <v>3210</v>
      </c>
      <c r="G51" s="71">
        <f t="shared" si="5"/>
        <v>45.857142857142854</v>
      </c>
      <c r="H51" s="71">
        <f t="shared" si="3"/>
        <v>0</v>
      </c>
    </row>
    <row r="52" spans="2:12" x14ac:dyDescent="0.3">
      <c r="B52" s="25">
        <f t="shared" si="4"/>
        <v>50</v>
      </c>
      <c r="C52" s="55" t="s">
        <v>114</v>
      </c>
      <c r="D52" s="54">
        <v>0</v>
      </c>
      <c r="E52" s="54">
        <v>60</v>
      </c>
      <c r="F52" s="54">
        <v>1350</v>
      </c>
      <c r="G52" s="71">
        <f t="shared" si="5"/>
        <v>22.5</v>
      </c>
      <c r="H52" s="71">
        <f t="shared" si="3"/>
        <v>0</v>
      </c>
    </row>
    <row r="53" spans="2:12" x14ac:dyDescent="0.3">
      <c r="B53" s="25">
        <f t="shared" si="4"/>
        <v>51</v>
      </c>
      <c r="C53" s="55" t="s">
        <v>113</v>
      </c>
      <c r="D53" s="54">
        <v>0</v>
      </c>
      <c r="E53" s="54">
        <v>60</v>
      </c>
      <c r="F53" s="54">
        <v>1420</v>
      </c>
      <c r="G53" s="71">
        <f t="shared" si="5"/>
        <v>23.666666666666668</v>
      </c>
      <c r="H53" s="71">
        <f t="shared" si="3"/>
        <v>0</v>
      </c>
    </row>
    <row r="54" spans="2:12" x14ac:dyDescent="0.3">
      <c r="B54" s="25">
        <f t="shared" si="4"/>
        <v>52</v>
      </c>
      <c r="C54" s="55" t="s">
        <v>112</v>
      </c>
      <c r="D54" s="54">
        <v>0</v>
      </c>
      <c r="E54" s="54">
        <v>60</v>
      </c>
      <c r="F54" s="54">
        <v>3070</v>
      </c>
      <c r="G54" s="71">
        <f t="shared" si="5"/>
        <v>51.166666666666664</v>
      </c>
      <c r="H54" s="71">
        <f t="shared" si="3"/>
        <v>0</v>
      </c>
    </row>
    <row r="55" spans="2:12" x14ac:dyDescent="0.3">
      <c r="B55" s="25">
        <f t="shared" si="4"/>
        <v>53</v>
      </c>
      <c r="C55" s="55" t="s">
        <v>111</v>
      </c>
      <c r="D55" s="54">
        <v>0</v>
      </c>
      <c r="E55" s="54">
        <v>60</v>
      </c>
      <c r="F55" s="54">
        <v>3070</v>
      </c>
      <c r="G55" s="71">
        <f t="shared" si="5"/>
        <v>51.166666666666664</v>
      </c>
      <c r="H55" s="71">
        <f t="shared" si="3"/>
        <v>0</v>
      </c>
    </row>
    <row r="56" spans="2:12" x14ac:dyDescent="0.3">
      <c r="B56" s="25">
        <f t="shared" si="4"/>
        <v>54</v>
      </c>
      <c r="C56" s="55" t="s">
        <v>110</v>
      </c>
      <c r="D56" s="54">
        <v>0</v>
      </c>
      <c r="E56" s="54">
        <v>60</v>
      </c>
      <c r="F56" s="54">
        <v>1330</v>
      </c>
      <c r="G56" s="71">
        <f t="shared" si="5"/>
        <v>22.166666666666668</v>
      </c>
      <c r="H56" s="71">
        <f t="shared" si="3"/>
        <v>0</v>
      </c>
    </row>
    <row r="57" spans="2:12" x14ac:dyDescent="0.3">
      <c r="B57" s="25">
        <f t="shared" si="4"/>
        <v>55</v>
      </c>
      <c r="C57" s="55" t="s">
        <v>109</v>
      </c>
      <c r="D57" s="54">
        <v>0</v>
      </c>
      <c r="E57" s="54">
        <v>60</v>
      </c>
      <c r="F57" s="54">
        <v>2420</v>
      </c>
      <c r="G57" s="71">
        <f t="shared" si="5"/>
        <v>40.333333333333336</v>
      </c>
      <c r="H57" s="71">
        <f t="shared" si="3"/>
        <v>0</v>
      </c>
    </row>
    <row r="58" spans="2:12" x14ac:dyDescent="0.3">
      <c r="B58" s="25">
        <f t="shared" si="4"/>
        <v>56</v>
      </c>
      <c r="C58" s="55" t="s">
        <v>108</v>
      </c>
      <c r="D58" s="54">
        <v>0</v>
      </c>
      <c r="E58" s="54">
        <v>60</v>
      </c>
      <c r="F58" s="54">
        <v>1440</v>
      </c>
      <c r="G58" s="71">
        <f t="shared" si="5"/>
        <v>24</v>
      </c>
      <c r="H58" s="71">
        <f t="shared" si="3"/>
        <v>0</v>
      </c>
    </row>
    <row r="59" spans="2:12" x14ac:dyDescent="0.3">
      <c r="B59" s="25">
        <f t="shared" si="4"/>
        <v>57</v>
      </c>
      <c r="C59" s="55" t="s">
        <v>107</v>
      </c>
      <c r="D59" s="54">
        <v>0</v>
      </c>
      <c r="E59" s="54">
        <v>60</v>
      </c>
      <c r="F59" s="54">
        <v>3050</v>
      </c>
      <c r="G59" s="71">
        <f t="shared" si="5"/>
        <v>50.833333333333336</v>
      </c>
      <c r="H59" s="71">
        <f t="shared" si="3"/>
        <v>0</v>
      </c>
    </row>
    <row r="60" spans="2:12" x14ac:dyDescent="0.3">
      <c r="B60" s="25">
        <f t="shared" si="4"/>
        <v>58</v>
      </c>
      <c r="C60" s="55" t="s">
        <v>106</v>
      </c>
      <c r="D60" s="54">
        <v>0</v>
      </c>
      <c r="E60" s="54">
        <v>60</v>
      </c>
      <c r="F60" s="54">
        <v>1320</v>
      </c>
      <c r="G60" s="71">
        <f t="shared" si="5"/>
        <v>22</v>
      </c>
      <c r="H60" s="71">
        <f t="shared" si="3"/>
        <v>0</v>
      </c>
    </row>
    <row r="61" spans="2:12" x14ac:dyDescent="0.3">
      <c r="B61" s="25">
        <f t="shared" si="4"/>
        <v>59</v>
      </c>
      <c r="C61" s="55" t="s">
        <v>105</v>
      </c>
      <c r="D61" s="54">
        <v>0</v>
      </c>
      <c r="E61" s="54">
        <v>60</v>
      </c>
      <c r="F61" s="54">
        <v>1430</v>
      </c>
      <c r="G61" s="71">
        <f t="shared" si="5"/>
        <v>23.833333333333332</v>
      </c>
      <c r="H61" s="71">
        <f t="shared" si="3"/>
        <v>0</v>
      </c>
    </row>
    <row r="62" spans="2:12" x14ac:dyDescent="0.3">
      <c r="B62" s="25">
        <f t="shared" si="4"/>
        <v>60</v>
      </c>
      <c r="C62" s="55" t="s">
        <v>104</v>
      </c>
      <c r="D62" s="54">
        <v>0</v>
      </c>
      <c r="E62" s="54">
        <v>70</v>
      </c>
      <c r="F62" s="54">
        <v>3070</v>
      </c>
      <c r="G62" s="71">
        <f t="shared" si="5"/>
        <v>43.857142857142854</v>
      </c>
      <c r="H62" s="71">
        <f t="shared" si="3"/>
        <v>0</v>
      </c>
      <c r="L62" s="54"/>
    </row>
    <row r="63" spans="2:12" x14ac:dyDescent="0.3">
      <c r="H63" s="71">
        <f>SUM(H2:H62)</f>
        <v>1876.3211428571431</v>
      </c>
    </row>
    <row r="64" spans="2:12" ht="15" thickBot="1" x14ac:dyDescent="0.35">
      <c r="H64" s="71"/>
    </row>
    <row r="65" spans="4:12" ht="43.2" x14ac:dyDescent="0.3">
      <c r="D65" s="86" t="s">
        <v>103</v>
      </c>
      <c r="E65" s="87"/>
      <c r="F65" s="70"/>
      <c r="G65" s="69"/>
      <c r="H65" s="68" t="s">
        <v>180</v>
      </c>
      <c r="I65" s="67" t="s">
        <v>102</v>
      </c>
    </row>
    <row r="66" spans="4:12" ht="28.8" x14ac:dyDescent="0.3">
      <c r="D66" s="61" t="s">
        <v>101</v>
      </c>
      <c r="E66" s="60"/>
      <c r="F66" s="60"/>
      <c r="G66" s="63">
        <f>SUM(G2:G41)</f>
        <v>1275.5379523809527</v>
      </c>
      <c r="H66" s="62">
        <f>G66/G70</f>
        <v>0.62525094721681507</v>
      </c>
      <c r="I66" s="66">
        <f>G74*H66</f>
        <v>6383.8121710836822</v>
      </c>
      <c r="J66" s="65"/>
      <c r="K66" t="s">
        <v>61</v>
      </c>
    </row>
    <row r="67" spans="4:12" x14ac:dyDescent="0.3">
      <c r="D67" s="61"/>
      <c r="E67" s="60"/>
      <c r="F67" s="60"/>
      <c r="G67" s="63"/>
      <c r="H67" s="8"/>
      <c r="I67" s="66"/>
      <c r="J67" s="65"/>
    </row>
    <row r="68" spans="4:12" ht="28.8" x14ac:dyDescent="0.3">
      <c r="D68" s="61" t="s">
        <v>100</v>
      </c>
      <c r="E68" s="60"/>
      <c r="F68" s="60"/>
      <c r="G68" s="63">
        <f>SUM(G42:G62)</f>
        <v>764.50366300366306</v>
      </c>
      <c r="H68" s="62">
        <f>G68/G70</f>
        <v>0.37474905278318482</v>
      </c>
      <c r="I68" s="66">
        <f>G74*H68</f>
        <v>3826.1878289163169</v>
      </c>
      <c r="J68" s="65" t="s">
        <v>61</v>
      </c>
    </row>
    <row r="69" spans="4:12" x14ac:dyDescent="0.3">
      <c r="D69" s="61"/>
      <c r="E69" s="60"/>
      <c r="F69" s="60"/>
      <c r="G69" s="63"/>
      <c r="H69" s="8"/>
      <c r="I69" s="9"/>
      <c r="J69" s="65"/>
    </row>
    <row r="70" spans="4:12" ht="43.2" x14ac:dyDescent="0.3">
      <c r="D70" s="61" t="s">
        <v>99</v>
      </c>
      <c r="E70" s="60"/>
      <c r="F70" s="60"/>
      <c r="G70" s="63">
        <f>SUM(G66+G68)</f>
        <v>2040.0416153846159</v>
      </c>
      <c r="H70" s="8"/>
      <c r="I70" s="9"/>
      <c r="J70" s="65"/>
    </row>
    <row r="71" spans="4:12" x14ac:dyDescent="0.3">
      <c r="D71" s="61"/>
      <c r="E71" s="60"/>
      <c r="F71" s="60"/>
      <c r="G71" s="63"/>
      <c r="H71" s="8"/>
      <c r="I71" s="9"/>
    </row>
    <row r="72" spans="4:12" ht="28.8" x14ac:dyDescent="0.3">
      <c r="D72" s="61" t="s">
        <v>98</v>
      </c>
      <c r="E72" s="60"/>
      <c r="F72" s="60"/>
      <c r="G72" s="63">
        <f>H63</f>
        <v>1876.3211428571431</v>
      </c>
      <c r="H72" s="8" t="s">
        <v>61</v>
      </c>
      <c r="I72" s="9"/>
      <c r="J72" s="64" t="s">
        <v>61</v>
      </c>
      <c r="L72" t="s">
        <v>61</v>
      </c>
    </row>
    <row r="73" spans="4:12" x14ac:dyDescent="0.3">
      <c r="D73" s="61"/>
      <c r="E73" s="60"/>
      <c r="F73" s="60"/>
      <c r="G73" s="63"/>
      <c r="H73" s="8"/>
      <c r="I73" s="9"/>
    </row>
    <row r="74" spans="4:12" ht="28.8" x14ac:dyDescent="0.3">
      <c r="D74" s="61" t="s">
        <v>97</v>
      </c>
      <c r="E74" s="60"/>
      <c r="F74" s="60"/>
      <c r="G74" s="63">
        <v>10210</v>
      </c>
      <c r="H74" s="8"/>
      <c r="I74" s="9"/>
    </row>
    <row r="75" spans="4:12" x14ac:dyDescent="0.3">
      <c r="D75" s="61"/>
      <c r="E75" s="60"/>
      <c r="F75" s="60"/>
      <c r="G75" s="8"/>
      <c r="H75" s="8"/>
      <c r="I75" s="9"/>
    </row>
    <row r="76" spans="4:12" x14ac:dyDescent="0.3">
      <c r="D76" s="61" t="s">
        <v>96</v>
      </c>
      <c r="E76" s="60"/>
      <c r="F76" s="60"/>
      <c r="G76" s="62">
        <f>G70/G74</f>
        <v>0.19980818955774887</v>
      </c>
      <c r="H76" s="8"/>
      <c r="I76" s="9"/>
    </row>
    <row r="77" spans="4:12" x14ac:dyDescent="0.3">
      <c r="D77" s="61"/>
      <c r="E77" s="60"/>
      <c r="F77" s="60"/>
      <c r="G77" s="8"/>
      <c r="H77" s="8"/>
      <c r="I77" s="9"/>
    </row>
    <row r="78" spans="4:12" ht="29.4" thickBot="1" x14ac:dyDescent="0.35">
      <c r="D78" s="59" t="s">
        <v>95</v>
      </c>
      <c r="E78" s="58"/>
      <c r="F78" s="58"/>
      <c r="G78" s="57">
        <f>G70/H63</f>
        <v>1.0872561038661908</v>
      </c>
      <c r="H78" s="14"/>
      <c r="I78" s="15"/>
    </row>
    <row r="80" spans="4:12" x14ac:dyDescent="0.3">
      <c r="D80" s="54" t="s">
        <v>61</v>
      </c>
      <c r="G80" s="56" t="s">
        <v>61</v>
      </c>
    </row>
  </sheetData>
  <mergeCells count="1">
    <mergeCell ref="D65:E65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IPC Pole Attach Calc</vt:lpstr>
      <vt:lpstr>Data &amp; Calculations</vt:lpstr>
      <vt:lpstr>Field Verification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_</dc:title>
  <dc:creator>
  </dc:creator>
  <cp:lastModifiedBy>
  </cp:lastModifiedBy>
  <cp:lastPrinted>2017-11-27T19:45:58.9938365Z</cp:lastPrinted>
  <dcterms:created xsi:type="dcterms:W3CDTF">2017-11-27T19:45:58.9938365Z</dcterms:created>
  <dcterms:modified xsi:type="dcterms:W3CDTF">2017-11-27T19:45:58.9938365Z</dcterms:modified>
</cp:coreProperties>
</file>