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externalLinks/externalLink64.xml" ContentType="application/vnd.openxmlformats-officedocument.spreadsheetml.externalLink+xml"/>
  <Override PartName="/xl/externalLinks/externalLink65.xml" ContentType="application/vnd.openxmlformats-officedocument.spreadsheetml.externalLink+xml"/>
  <Override PartName="/xl/externalLinks/externalLink66.xml" ContentType="application/vnd.openxmlformats-officedocument.spreadsheetml.externalLink+xml"/>
  <Override PartName="/xl/externalLinks/externalLink67.xml" ContentType="application/vnd.openxmlformats-officedocument.spreadsheetml.externalLink+xml"/>
  <Override PartName="/xl/externalLinks/externalLink68.xml" ContentType="application/vnd.openxmlformats-officedocument.spreadsheetml.externalLink+xml"/>
  <Override PartName="/xl/externalLinks/externalLink69.xml" ContentType="application/vnd.openxmlformats-officedocument.spreadsheetml.externalLink+xml"/>
  <Override PartName="/xl/externalLinks/externalLink70.xml" ContentType="application/vnd.openxmlformats-officedocument.spreadsheetml.externalLink+xml"/>
  <Override PartName="/xl/externalLinks/externalLink71.xml" ContentType="application/vnd.openxmlformats-officedocument.spreadsheetml.externalLink+xml"/>
  <Override PartName="/xl/externalLinks/externalLink72.xml" ContentType="application/vnd.openxmlformats-officedocument.spreadsheetml.externalLink+xml"/>
  <Override PartName="/xl/externalLinks/externalLink73.xml" ContentType="application/vnd.openxmlformats-officedocument.spreadsheetml.externalLink+xml"/>
  <Override PartName="/xl/externalLinks/externalLink7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8201"/>
  <workbookPr defaultThemeVersion="124226"/>
  <mc:AlternateContent xmlns:mc="http://schemas.openxmlformats.org/markup-compatibility/2006">
    <mc:Choice Requires="x15">
      <x15ac:absPath xmlns:x15ac="http://schemas.microsoft.com/office/spreadsheetml/2010/11/ac" url="I:\Rate Submissions\2018\Interrogatories\DVA IR\5. Fifth DVA IRR Nov 30 2017\Wrapping Up\"/>
    </mc:Choice>
  </mc:AlternateContent>
  <bookViews>
    <workbookView xWindow="0" yWindow="0" windowWidth="28800" windowHeight="11910" activeTab="1"/>
  </bookViews>
  <sheets>
    <sheet name="Instructions" sheetId="2" r:id="rId1"/>
    <sheet name="GA Analysis " sheetId="4" r:id="rId2"/>
    <sheet name="Test" sheetId="10" r:id="rId3"/>
    <sheet name="1.Adjustments" sheetId="5" r:id="rId4"/>
    <sheet name="2.GA Detailed Analysis" sheetId="6" r:id="rId5"/>
    <sheet name="3.RPP True-up" sheetId="7" r:id="rId6"/>
    <sheet name="4.IESO Invoice Analysis" sheetId="8" r:id="rId7"/>
    <sheet name="5.UBR Retailer Contract" sheetId="9" r:id="rId8"/>
  </sheets>
  <externalReferences>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s>
  <definedNames>
    <definedName name="GARate" localSheetId="5">#REF!</definedName>
    <definedName name="GARate" localSheetId="6">#REF!</definedName>
    <definedName name="GARate" localSheetId="7">#REF!</definedName>
    <definedName name="GARate" localSheetId="1">#REF!</definedName>
    <definedName name="GARate">#REF!</definedName>
    <definedName name="_xlnm.Print_Area" localSheetId="1">'GA Analysis '!$A$12:$K$107</definedName>
    <definedName name="_xlnm.Print_Area" localSheetId="0">Instructions!$A$11:$C$83</definedName>
  </definedNames>
  <calcPr calcId="171027"/>
</workbook>
</file>

<file path=xl/calcChain.xml><?xml version="1.0" encoding="utf-8"?>
<calcChain xmlns="http://schemas.openxmlformats.org/spreadsheetml/2006/main">
  <c r="K10" i="5" l="1"/>
  <c r="D65" i="4" l="1"/>
  <c r="M27" i="6" l="1"/>
  <c r="D68" i="4" l="1"/>
  <c r="D69" i="4" l="1"/>
  <c r="K9" i="5" s="1"/>
  <c r="I25" i="6" l="1"/>
  <c r="I24" i="6"/>
  <c r="I23" i="6"/>
  <c r="I22" i="6"/>
  <c r="I21" i="6"/>
  <c r="I20" i="6"/>
  <c r="I19" i="6"/>
  <c r="I18" i="6"/>
  <c r="I17" i="6"/>
  <c r="I16" i="6"/>
  <c r="I15" i="6"/>
  <c r="I14" i="6"/>
  <c r="H14" i="6"/>
  <c r="H15" i="6"/>
  <c r="H16" i="6"/>
  <c r="H17" i="6"/>
  <c r="H18" i="6"/>
  <c r="H19" i="6"/>
  <c r="H20" i="6"/>
  <c r="H21" i="6"/>
  <c r="H22" i="6"/>
  <c r="H23" i="6"/>
  <c r="H24" i="6"/>
  <c r="H25" i="6"/>
  <c r="F3" i="10" l="1"/>
  <c r="C4" i="10" l="1"/>
  <c r="J7" i="6" l="1"/>
  <c r="D26" i="4"/>
  <c r="D25" i="4"/>
  <c r="D15" i="9" l="1"/>
  <c r="C15" i="9"/>
  <c r="B15" i="9"/>
  <c r="D14" i="9"/>
  <c r="C14" i="9"/>
  <c r="B14" i="9"/>
  <c r="D13" i="9"/>
  <c r="C13" i="9"/>
  <c r="B13" i="9"/>
  <c r="D12" i="9"/>
  <c r="C12" i="9"/>
  <c r="B12" i="9"/>
  <c r="D11" i="9"/>
  <c r="C11" i="9"/>
  <c r="B11" i="9"/>
  <c r="D10" i="9"/>
  <c r="C10" i="9"/>
  <c r="B10" i="9"/>
  <c r="D9" i="9"/>
  <c r="C9" i="9"/>
  <c r="B9" i="9"/>
  <c r="D8" i="9"/>
  <c r="C8" i="9"/>
  <c r="B8" i="9"/>
  <c r="D7" i="9"/>
  <c r="C7" i="9"/>
  <c r="B7" i="9"/>
  <c r="D6" i="9"/>
  <c r="C6" i="9"/>
  <c r="B6" i="9"/>
  <c r="D5" i="9"/>
  <c r="C5" i="9"/>
  <c r="B5" i="9"/>
  <c r="D4" i="9"/>
  <c r="C4" i="9"/>
  <c r="B4" i="9"/>
  <c r="D3" i="9"/>
  <c r="C3" i="9"/>
  <c r="B3" i="9"/>
  <c r="H3" i="9" s="1"/>
  <c r="F42" i="8"/>
  <c r="H41" i="8"/>
  <c r="I41" i="8" s="1"/>
  <c r="D41" i="8"/>
  <c r="C41" i="8"/>
  <c r="H40" i="8"/>
  <c r="I40" i="8" s="1"/>
  <c r="D40" i="8"/>
  <c r="C40" i="8"/>
  <c r="H39" i="8"/>
  <c r="I39" i="8" s="1"/>
  <c r="D39" i="8"/>
  <c r="C39" i="8"/>
  <c r="H38" i="8"/>
  <c r="I38" i="8" s="1"/>
  <c r="D38" i="8"/>
  <c r="C38" i="8"/>
  <c r="H37" i="8"/>
  <c r="I37" i="8" s="1"/>
  <c r="C37" i="8"/>
  <c r="E37" i="8" s="1"/>
  <c r="G37" i="8" s="1"/>
  <c r="H36" i="8"/>
  <c r="I36" i="8" s="1"/>
  <c r="C36" i="8"/>
  <c r="E36" i="8" s="1"/>
  <c r="G36" i="8" s="1"/>
  <c r="F34" i="8"/>
  <c r="H33" i="8"/>
  <c r="I33" i="8" s="1"/>
  <c r="D16" i="8" s="1"/>
  <c r="G16" i="8" s="1"/>
  <c r="D33" i="8"/>
  <c r="C33" i="8"/>
  <c r="H32" i="8"/>
  <c r="I32" i="8" s="1"/>
  <c r="D15" i="8" s="1"/>
  <c r="G15" i="8" s="1"/>
  <c r="C32" i="8"/>
  <c r="E32" i="8" s="1"/>
  <c r="H31" i="8"/>
  <c r="I31" i="8" s="1"/>
  <c r="D14" i="8" s="1"/>
  <c r="G14" i="8" s="1"/>
  <c r="C31" i="8"/>
  <c r="E31" i="8" s="1"/>
  <c r="H30" i="8"/>
  <c r="I30" i="8" s="1"/>
  <c r="D13" i="8" s="1"/>
  <c r="G13" i="8" s="1"/>
  <c r="D30" i="8"/>
  <c r="C30" i="8"/>
  <c r="H29" i="8"/>
  <c r="I29" i="8" s="1"/>
  <c r="D12" i="8" s="1"/>
  <c r="G12" i="8" s="1"/>
  <c r="D29" i="8"/>
  <c r="C29" i="8"/>
  <c r="H28" i="8"/>
  <c r="I28" i="8" s="1"/>
  <c r="D11" i="8" s="1"/>
  <c r="G11" i="8" s="1"/>
  <c r="D28" i="8"/>
  <c r="C28" i="8"/>
  <c r="H27" i="8"/>
  <c r="I27" i="8" s="1"/>
  <c r="D10" i="8" s="1"/>
  <c r="G10" i="8" s="1"/>
  <c r="D27" i="8"/>
  <c r="C27" i="8"/>
  <c r="H26" i="8"/>
  <c r="I26" i="8" s="1"/>
  <c r="D9" i="8" s="1"/>
  <c r="G9" i="8" s="1"/>
  <c r="D26" i="8"/>
  <c r="C26" i="8"/>
  <c r="H25" i="8"/>
  <c r="I25" i="8" s="1"/>
  <c r="D8" i="8" s="1"/>
  <c r="G8" i="8" s="1"/>
  <c r="C25" i="8"/>
  <c r="E25" i="8" s="1"/>
  <c r="G25" i="8" s="1"/>
  <c r="H24" i="8"/>
  <c r="I24" i="8" s="1"/>
  <c r="D7" i="8" s="1"/>
  <c r="G7" i="8" s="1"/>
  <c r="D24" i="8"/>
  <c r="C24" i="8"/>
  <c r="H23" i="8"/>
  <c r="I23" i="8" s="1"/>
  <c r="D6" i="8" s="1"/>
  <c r="G6" i="8" s="1"/>
  <c r="D23" i="8"/>
  <c r="C23" i="8"/>
  <c r="H22" i="8"/>
  <c r="I22" i="8" s="1"/>
  <c r="D5" i="8" s="1"/>
  <c r="G5" i="8" s="1"/>
  <c r="C22" i="8"/>
  <c r="E22" i="8" s="1"/>
  <c r="G22" i="8" s="1"/>
  <c r="C16" i="8"/>
  <c r="F16" i="8" s="1"/>
  <c r="C15" i="8"/>
  <c r="F15" i="8" s="1"/>
  <c r="C14" i="8"/>
  <c r="F14" i="8" s="1"/>
  <c r="C13" i="8"/>
  <c r="F13" i="8" s="1"/>
  <c r="C12" i="8"/>
  <c r="F12" i="8" s="1"/>
  <c r="C11" i="8"/>
  <c r="F11" i="8" s="1"/>
  <c r="C10" i="8"/>
  <c r="F10" i="8" s="1"/>
  <c r="C9" i="8"/>
  <c r="F9" i="8" s="1"/>
  <c r="C8" i="8"/>
  <c r="F8" i="8" s="1"/>
  <c r="C7" i="8"/>
  <c r="F7" i="8" s="1"/>
  <c r="C6" i="8"/>
  <c r="F6" i="8" s="1"/>
  <c r="C5" i="8"/>
  <c r="F5" i="8" s="1"/>
  <c r="D53" i="7"/>
  <c r="C53" i="7"/>
  <c r="B53" i="7"/>
  <c r="D52" i="7"/>
  <c r="C52" i="7"/>
  <c r="B52" i="7"/>
  <c r="D51" i="7"/>
  <c r="C51" i="7"/>
  <c r="B51" i="7"/>
  <c r="D46" i="7"/>
  <c r="C46" i="7"/>
  <c r="B46" i="7"/>
  <c r="D45" i="7"/>
  <c r="C45" i="7"/>
  <c r="B45" i="7"/>
  <c r="D44" i="7"/>
  <c r="C44" i="7"/>
  <c r="B44" i="7"/>
  <c r="D39" i="7"/>
  <c r="C39" i="7"/>
  <c r="B39" i="7"/>
  <c r="D38" i="7"/>
  <c r="C38" i="7"/>
  <c r="B38" i="7"/>
  <c r="D37" i="7"/>
  <c r="C37" i="7"/>
  <c r="B37" i="7"/>
  <c r="D32" i="7"/>
  <c r="C32" i="7"/>
  <c r="B32" i="7"/>
  <c r="F32" i="7" s="1"/>
  <c r="D31" i="7"/>
  <c r="C31" i="7"/>
  <c r="B31" i="7"/>
  <c r="D30" i="7"/>
  <c r="C30" i="7"/>
  <c r="B30" i="7"/>
  <c r="D25" i="7"/>
  <c r="C25" i="7"/>
  <c r="B25" i="7"/>
  <c r="D24" i="7"/>
  <c r="C24" i="7"/>
  <c r="B24" i="7"/>
  <c r="D23" i="7"/>
  <c r="C23" i="7"/>
  <c r="B23" i="7"/>
  <c r="D18" i="7"/>
  <c r="C18" i="7"/>
  <c r="B18" i="7"/>
  <c r="D17" i="7"/>
  <c r="C17" i="7"/>
  <c r="B17" i="7"/>
  <c r="D16" i="7"/>
  <c r="C16" i="7"/>
  <c r="B16" i="7"/>
  <c r="D11" i="7"/>
  <c r="C11" i="7"/>
  <c r="B11" i="7"/>
  <c r="D10" i="7"/>
  <c r="C10" i="7"/>
  <c r="B10" i="7"/>
  <c r="D9" i="7"/>
  <c r="C9" i="7"/>
  <c r="B9" i="7"/>
  <c r="E9" i="7" s="1"/>
  <c r="D4" i="7"/>
  <c r="C4" i="7"/>
  <c r="B4" i="7"/>
  <c r="E4" i="7" s="1"/>
  <c r="D3" i="7"/>
  <c r="C3" i="7"/>
  <c r="B3" i="7"/>
  <c r="D2" i="7"/>
  <c r="C2" i="7"/>
  <c r="B2" i="7"/>
  <c r="K38" i="6"/>
  <c r="M29" i="6"/>
  <c r="G27" i="6"/>
  <c r="I26" i="6"/>
  <c r="H26" i="6"/>
  <c r="P25" i="6"/>
  <c r="J25" i="6"/>
  <c r="C25" i="6"/>
  <c r="G29" i="6" s="1"/>
  <c r="B25" i="6"/>
  <c r="P24" i="6"/>
  <c r="J24" i="6"/>
  <c r="C24" i="6"/>
  <c r="D25" i="6" s="1"/>
  <c r="B24" i="6"/>
  <c r="P23" i="6"/>
  <c r="J23" i="6"/>
  <c r="C23" i="6"/>
  <c r="D24" i="6" s="1"/>
  <c r="B23" i="6"/>
  <c r="P22" i="6"/>
  <c r="J22" i="6"/>
  <c r="C22" i="6"/>
  <c r="D23" i="6" s="1"/>
  <c r="B22" i="6"/>
  <c r="P21" i="6"/>
  <c r="J21" i="6"/>
  <c r="C21" i="6"/>
  <c r="D22" i="6" s="1"/>
  <c r="B21" i="6"/>
  <c r="P20" i="6"/>
  <c r="J20" i="6"/>
  <c r="C20" i="6"/>
  <c r="D21" i="6" s="1"/>
  <c r="B20" i="6"/>
  <c r="P19" i="6"/>
  <c r="J19" i="6"/>
  <c r="C19" i="6"/>
  <c r="D20" i="6" s="1"/>
  <c r="B19" i="6"/>
  <c r="P18" i="6"/>
  <c r="J18" i="6"/>
  <c r="C18" i="6"/>
  <c r="D19" i="6" s="1"/>
  <c r="B18" i="6"/>
  <c r="P17" i="6"/>
  <c r="J17" i="6"/>
  <c r="C17" i="6"/>
  <c r="D18" i="6" s="1"/>
  <c r="B17" i="6"/>
  <c r="P16" i="6"/>
  <c r="J16" i="6"/>
  <c r="C16" i="6"/>
  <c r="D17" i="6" s="1"/>
  <c r="B16" i="6"/>
  <c r="P15" i="6"/>
  <c r="J15" i="6"/>
  <c r="C15" i="6"/>
  <c r="B15" i="6"/>
  <c r="P14" i="6"/>
  <c r="J14" i="6"/>
  <c r="J26" i="6" s="1"/>
  <c r="D14" i="6"/>
  <c r="C14" i="6"/>
  <c r="B14" i="6"/>
  <c r="J5" i="6"/>
  <c r="J4" i="6"/>
  <c r="N15" i="5"/>
  <c r="M15" i="5"/>
  <c r="N14" i="5"/>
  <c r="M14" i="5"/>
  <c r="F44" i="7" l="1"/>
  <c r="F30" i="7"/>
  <c r="F4" i="10"/>
  <c r="O14" i="6"/>
  <c r="F5" i="10"/>
  <c r="F6" i="10"/>
  <c r="F7" i="10"/>
  <c r="O17" i="6"/>
  <c r="F8" i="10"/>
  <c r="O18" i="6"/>
  <c r="F9" i="10"/>
  <c r="O19" i="6"/>
  <c r="F10" i="10"/>
  <c r="O20" i="6"/>
  <c r="F11" i="10"/>
  <c r="O21" i="6"/>
  <c r="F12" i="10"/>
  <c r="O22" i="6"/>
  <c r="F13" i="10"/>
  <c r="O23" i="6"/>
  <c r="F14" i="10"/>
  <c r="O24" i="6"/>
  <c r="F15" i="10"/>
  <c r="O25" i="6"/>
  <c r="E3" i="7"/>
  <c r="F31" i="7"/>
  <c r="F33" i="7" s="1"/>
  <c r="P26" i="6"/>
  <c r="F16" i="10" s="1"/>
  <c r="Q14" i="6"/>
  <c r="E2" i="7"/>
  <c r="E5" i="7" s="1"/>
  <c r="E10" i="7"/>
  <c r="E29" i="8"/>
  <c r="G29" i="8" s="1"/>
  <c r="D42" i="8"/>
  <c r="E41" i="8"/>
  <c r="J41" i="8" s="1"/>
  <c r="O14" i="5"/>
  <c r="C26" i="6"/>
  <c r="F2" i="7"/>
  <c r="F3" i="7"/>
  <c r="G3" i="7" s="1"/>
  <c r="F4" i="7"/>
  <c r="G4" i="7" s="1"/>
  <c r="E16" i="7"/>
  <c r="E24" i="7"/>
  <c r="E38" i="7"/>
  <c r="E52" i="7"/>
  <c r="E7" i="9"/>
  <c r="F7" i="9" s="1"/>
  <c r="E11" i="9"/>
  <c r="F11" i="9" s="1"/>
  <c r="E15" i="9"/>
  <c r="F16" i="7"/>
  <c r="F18" i="7"/>
  <c r="B26" i="6"/>
  <c r="Q17" i="6"/>
  <c r="Q19" i="6"/>
  <c r="Q21" i="6"/>
  <c r="Q23" i="6"/>
  <c r="Q25" i="6"/>
  <c r="E17" i="7"/>
  <c r="F17" i="7"/>
  <c r="E25" i="7"/>
  <c r="E39" i="7"/>
  <c r="E51" i="7"/>
  <c r="E53" i="7"/>
  <c r="E40" i="8"/>
  <c r="J40" i="8" s="1"/>
  <c r="E6" i="9"/>
  <c r="F6" i="9" s="1"/>
  <c r="E10" i="9"/>
  <c r="F10" i="9" s="1"/>
  <c r="E14" i="9"/>
  <c r="F14" i="9" s="1"/>
  <c r="Q16" i="6"/>
  <c r="L5" i="6"/>
  <c r="E18" i="7"/>
  <c r="E23" i="7"/>
  <c r="E28" i="8"/>
  <c r="J28" i="8" s="1"/>
  <c r="E5" i="9"/>
  <c r="F5" i="9" s="1"/>
  <c r="E9" i="9"/>
  <c r="F9" i="9" s="1"/>
  <c r="E13" i="9"/>
  <c r="F13" i="9" s="1"/>
  <c r="Q15" i="6"/>
  <c r="Q18" i="6"/>
  <c r="Q20" i="6"/>
  <c r="Q22" i="6"/>
  <c r="Q24" i="6"/>
  <c r="O15" i="5"/>
  <c r="L7" i="6"/>
  <c r="E11" i="7"/>
  <c r="E30" i="7"/>
  <c r="G30" i="7" s="1"/>
  <c r="E31" i="7"/>
  <c r="E32" i="7"/>
  <c r="G32" i="7" s="1"/>
  <c r="E37" i="7"/>
  <c r="E46" i="7"/>
  <c r="D34" i="8"/>
  <c r="E38" i="8"/>
  <c r="J38" i="8" s="1"/>
  <c r="E39" i="8"/>
  <c r="G39" i="8" s="1"/>
  <c r="E3" i="9"/>
  <c r="F3" i="9" s="1"/>
  <c r="E4" i="9"/>
  <c r="F4" i="9" s="1"/>
  <c r="E8" i="9"/>
  <c r="F8" i="9" s="1"/>
  <c r="E12" i="9"/>
  <c r="F12" i="9" s="1"/>
  <c r="E23" i="8"/>
  <c r="J23" i="8" s="1"/>
  <c r="E24" i="8"/>
  <c r="J24" i="8" s="1"/>
  <c r="E26" i="8"/>
  <c r="J26" i="8" s="1"/>
  <c r="E27" i="8"/>
  <c r="J27" i="8" s="1"/>
  <c r="E30" i="8"/>
  <c r="G30" i="8" s="1"/>
  <c r="E33" i="8"/>
  <c r="J33" i="8" s="1"/>
  <c r="J31" i="8"/>
  <c r="G31" i="8"/>
  <c r="J32" i="8"/>
  <c r="G32" i="8"/>
  <c r="J22" i="8"/>
  <c r="J25" i="8"/>
  <c r="J36" i="8"/>
  <c r="J37" i="8"/>
  <c r="B12" i="7"/>
  <c r="B26" i="7"/>
  <c r="B40" i="7"/>
  <c r="B5" i="7"/>
  <c r="F9" i="7"/>
  <c r="F10" i="7"/>
  <c r="F11" i="7"/>
  <c r="G11" i="7" s="1"/>
  <c r="B19" i="7"/>
  <c r="F23" i="7"/>
  <c r="F24" i="7"/>
  <c r="F25" i="7"/>
  <c r="B33" i="7"/>
  <c r="F37" i="7"/>
  <c r="F38" i="7"/>
  <c r="F39" i="7"/>
  <c r="E44" i="7"/>
  <c r="B47" i="7"/>
  <c r="E45" i="7"/>
  <c r="F45" i="7"/>
  <c r="F46" i="7"/>
  <c r="F51" i="7"/>
  <c r="F52" i="7"/>
  <c r="F53" i="7"/>
  <c r="B54" i="7"/>
  <c r="F17" i="6"/>
  <c r="F19" i="6"/>
  <c r="F21" i="6"/>
  <c r="F23" i="6"/>
  <c r="F25" i="6"/>
  <c r="F14" i="6"/>
  <c r="D16" i="6"/>
  <c r="F16" i="6" s="1"/>
  <c r="E17" i="6"/>
  <c r="G17" i="6"/>
  <c r="F18" i="6"/>
  <c r="E19" i="6"/>
  <c r="G19" i="6"/>
  <c r="F20" i="6"/>
  <c r="E21" i="6"/>
  <c r="G21" i="6"/>
  <c r="F22" i="6"/>
  <c r="E23" i="6"/>
  <c r="G23" i="6"/>
  <c r="F24" i="6"/>
  <c r="E25" i="6"/>
  <c r="G25" i="6"/>
  <c r="J6" i="6"/>
  <c r="E14" i="6"/>
  <c r="G14" i="6"/>
  <c r="D15" i="6"/>
  <c r="G15" i="6" s="1"/>
  <c r="E18" i="6"/>
  <c r="G18" i="6"/>
  <c r="E20" i="6"/>
  <c r="G20" i="6"/>
  <c r="E22" i="6"/>
  <c r="G22" i="6"/>
  <c r="E24" i="6"/>
  <c r="G24" i="6"/>
  <c r="G23" i="8" l="1"/>
  <c r="G38" i="8"/>
  <c r="G25" i="7"/>
  <c r="O16" i="6"/>
  <c r="E12" i="7"/>
  <c r="G41" i="8"/>
  <c r="G38" i="7"/>
  <c r="G40" i="8"/>
  <c r="O15" i="6"/>
  <c r="G31" i="7"/>
  <c r="O16" i="5"/>
  <c r="G52" i="7"/>
  <c r="G10" i="7"/>
  <c r="G2" i="7"/>
  <c r="G6" i="7" s="1"/>
  <c r="H6" i="7" s="1"/>
  <c r="J29" i="8"/>
  <c r="J30" i="8"/>
  <c r="G26" i="8"/>
  <c r="G27" i="8"/>
  <c r="I3" i="9"/>
  <c r="J3" i="9" s="1"/>
  <c r="G53" i="7"/>
  <c r="F15" i="9"/>
  <c r="F19" i="9" s="1"/>
  <c r="E19" i="7"/>
  <c r="E54" i="7"/>
  <c r="G16" i="7"/>
  <c r="F15" i="6"/>
  <c r="L15" i="6" s="1"/>
  <c r="G24" i="7"/>
  <c r="F19" i="7"/>
  <c r="F5" i="7"/>
  <c r="G5" i="7" s="1"/>
  <c r="E26" i="7"/>
  <c r="G17" i="7"/>
  <c r="G18" i="7"/>
  <c r="G16" i="6"/>
  <c r="G26" i="6" s="1"/>
  <c r="G28" i="6" s="1"/>
  <c r="G46" i="7"/>
  <c r="G39" i="7"/>
  <c r="G28" i="8"/>
  <c r="E40" i="7"/>
  <c r="G34" i="7"/>
  <c r="H34" i="7" s="1"/>
  <c r="E15" i="6"/>
  <c r="E34" i="8"/>
  <c r="E42" i="8"/>
  <c r="J39" i="8"/>
  <c r="G33" i="8"/>
  <c r="G24" i="8"/>
  <c r="G42" i="8"/>
  <c r="E33" i="7"/>
  <c r="G33" i="7" s="1"/>
  <c r="F20" i="9"/>
  <c r="G51" i="7"/>
  <c r="F54" i="7"/>
  <c r="E47" i="7"/>
  <c r="G44" i="7"/>
  <c r="G45" i="7"/>
  <c r="G37" i="7"/>
  <c r="F40" i="7"/>
  <c r="G23" i="7"/>
  <c r="F26" i="7"/>
  <c r="G9" i="7"/>
  <c r="F12" i="7"/>
  <c r="G12" i="7" s="1"/>
  <c r="F47" i="7"/>
  <c r="K16" i="6"/>
  <c r="L16" i="6"/>
  <c r="L6" i="6"/>
  <c r="J8" i="6"/>
  <c r="L25" i="6"/>
  <c r="K25" i="6"/>
  <c r="L21" i="6"/>
  <c r="K21" i="6"/>
  <c r="L17" i="6"/>
  <c r="K17" i="6"/>
  <c r="D26" i="6"/>
  <c r="E26" i="6" s="1"/>
  <c r="E16" i="6"/>
  <c r="K24" i="6"/>
  <c r="L24" i="6"/>
  <c r="K22" i="6"/>
  <c r="L22" i="6"/>
  <c r="K20" i="6"/>
  <c r="L20" i="6"/>
  <c r="K18" i="6"/>
  <c r="L18" i="6"/>
  <c r="K14" i="6"/>
  <c r="L14" i="6"/>
  <c r="L23" i="6"/>
  <c r="K23" i="6"/>
  <c r="L19" i="6"/>
  <c r="K19" i="6"/>
  <c r="G19" i="7" l="1"/>
  <c r="G55" i="7"/>
  <c r="D67" i="4" s="1"/>
  <c r="G13" i="7"/>
  <c r="H13" i="7" s="1"/>
  <c r="F21" i="9"/>
  <c r="G26" i="7"/>
  <c r="K15" i="6"/>
  <c r="K26" i="6" s="1"/>
  <c r="G40" i="7"/>
  <c r="F26" i="6"/>
  <c r="F28" i="6" s="1"/>
  <c r="G54" i="7"/>
  <c r="F16" i="9"/>
  <c r="M19" i="6"/>
  <c r="M18" i="6"/>
  <c r="M22" i="6"/>
  <c r="M21" i="6"/>
  <c r="G27" i="7"/>
  <c r="D66" i="4" s="1"/>
  <c r="G41" i="7"/>
  <c r="H41" i="7" s="1"/>
  <c r="G34" i="8"/>
  <c r="G20" i="7"/>
  <c r="H20" i="7" s="1"/>
  <c r="O26" i="6"/>
  <c r="H55" i="7"/>
  <c r="M23" i="6"/>
  <c r="M25" i="6"/>
  <c r="M17" i="6"/>
  <c r="M20" i="6"/>
  <c r="M24" i="6"/>
  <c r="G47" i="7"/>
  <c r="G48" i="7"/>
  <c r="H48" i="7" s="1"/>
  <c r="M14" i="6"/>
  <c r="L26" i="6"/>
  <c r="M16" i="6"/>
  <c r="L8" i="6"/>
  <c r="B28" i="6"/>
  <c r="D75" i="4" l="1"/>
  <c r="K6" i="5"/>
  <c r="M15" i="6"/>
  <c r="O27" i="6"/>
  <c r="D76" i="4" s="1"/>
  <c r="G57" i="7"/>
  <c r="K4" i="5" s="1"/>
  <c r="H27" i="7"/>
  <c r="M26" i="6"/>
  <c r="M28" i="6" s="1"/>
  <c r="K8" i="5" l="1"/>
  <c r="E88" i="4"/>
  <c r="H57" i="7"/>
  <c r="D88" i="4"/>
  <c r="K11" i="5" l="1"/>
  <c r="M31" i="6" s="1"/>
  <c r="M32" i="6" s="1"/>
  <c r="F88" i="4"/>
  <c r="D79" i="4"/>
  <c r="I47" i="4"/>
  <c r="I48" i="4"/>
  <c r="I49" i="4"/>
  <c r="I50" i="4"/>
  <c r="I51" i="4"/>
  <c r="I52" i="4"/>
  <c r="I53" i="4"/>
  <c r="I54" i="4"/>
  <c r="I55" i="4"/>
  <c r="I56" i="4"/>
  <c r="I57" i="4"/>
  <c r="I58" i="4"/>
  <c r="G47" i="4"/>
  <c r="G48" i="4"/>
  <c r="G49" i="4"/>
  <c r="G50" i="4"/>
  <c r="G51" i="4"/>
  <c r="G52" i="4"/>
  <c r="G53" i="4"/>
  <c r="G54" i="4"/>
  <c r="G55" i="4"/>
  <c r="G56" i="4"/>
  <c r="G57" i="4"/>
  <c r="G58" i="4"/>
  <c r="D15" i="10" s="1"/>
  <c r="E58" i="4"/>
  <c r="D58" i="4"/>
  <c r="C58" i="4"/>
  <c r="B15" i="10" s="1"/>
  <c r="E57" i="4"/>
  <c r="D57" i="4"/>
  <c r="C57" i="4"/>
  <c r="B14" i="10" s="1"/>
  <c r="E56" i="4"/>
  <c r="D56" i="4"/>
  <c r="C56" i="4"/>
  <c r="B13" i="10" s="1"/>
  <c r="E55" i="4"/>
  <c r="D55" i="4"/>
  <c r="C55" i="4"/>
  <c r="B12" i="10" s="1"/>
  <c r="E54" i="4"/>
  <c r="D54" i="4"/>
  <c r="C54" i="4"/>
  <c r="B11" i="10" s="1"/>
  <c r="E53" i="4"/>
  <c r="D53" i="4"/>
  <c r="C53" i="4"/>
  <c r="B10" i="10" s="1"/>
  <c r="E52" i="4"/>
  <c r="D52" i="4"/>
  <c r="C52" i="4"/>
  <c r="B9" i="10" s="1"/>
  <c r="E51" i="4"/>
  <c r="D51" i="4"/>
  <c r="C51" i="4"/>
  <c r="B8" i="10" s="1"/>
  <c r="E50" i="4"/>
  <c r="D50" i="4"/>
  <c r="C50" i="4"/>
  <c r="B7" i="10" s="1"/>
  <c r="E49" i="4"/>
  <c r="D49" i="4"/>
  <c r="C49" i="4"/>
  <c r="B6" i="10" s="1"/>
  <c r="E48" i="4"/>
  <c r="D48" i="4"/>
  <c r="C48" i="4"/>
  <c r="B5" i="10" s="1"/>
  <c r="E47" i="4"/>
  <c r="D47" i="4"/>
  <c r="C47" i="4"/>
  <c r="B4" i="10" s="1"/>
  <c r="D23" i="4"/>
  <c r="C14" i="10" l="1"/>
  <c r="D13" i="10"/>
  <c r="C10" i="10"/>
  <c r="D9" i="10"/>
  <c r="C6" i="10"/>
  <c r="D5" i="10"/>
  <c r="D12" i="10"/>
  <c r="C13" i="10"/>
  <c r="D8" i="10"/>
  <c r="C9" i="10"/>
  <c r="D4" i="10"/>
  <c r="E4" i="10" s="1"/>
  <c r="C5" i="10"/>
  <c r="D11" i="10"/>
  <c r="C12" i="10"/>
  <c r="C8" i="10"/>
  <c r="D7" i="10"/>
  <c r="D14" i="10"/>
  <c r="C15" i="10"/>
  <c r="D10" i="10"/>
  <c r="C11" i="10"/>
  <c r="D6" i="10"/>
  <c r="C7" i="10"/>
  <c r="F47" i="4"/>
  <c r="F89" i="4"/>
  <c r="G89" i="4" s="1"/>
  <c r="F90" i="4"/>
  <c r="G90" i="4" s="1"/>
  <c r="F91" i="4"/>
  <c r="G91" i="4" s="1"/>
  <c r="J47" i="4" l="1"/>
  <c r="H47" i="4"/>
  <c r="K47" i="4" l="1"/>
  <c r="F51" i="4" l="1"/>
  <c r="F52" i="4"/>
  <c r="J52" i="4" s="1"/>
  <c r="F53" i="4"/>
  <c r="F54" i="4"/>
  <c r="H54" i="4" s="1"/>
  <c r="F58" i="4"/>
  <c r="F56" i="4"/>
  <c r="J56" i="4" s="1"/>
  <c r="F57" i="4"/>
  <c r="I91" i="4"/>
  <c r="I90" i="4"/>
  <c r="I89" i="4"/>
  <c r="D92" i="4"/>
  <c r="F92" i="4"/>
  <c r="C59" i="4"/>
  <c r="J51" i="4" l="1"/>
  <c r="E59" i="4"/>
  <c r="F55" i="4"/>
  <c r="J55" i="4" s="1"/>
  <c r="D59" i="4"/>
  <c r="H58" i="4"/>
  <c r="F50" i="4"/>
  <c r="H50" i="4" s="1"/>
  <c r="F49" i="4"/>
  <c r="H49" i="4" s="1"/>
  <c r="F48" i="4"/>
  <c r="J54" i="4"/>
  <c r="K54" i="4" s="1"/>
  <c r="H57" i="4"/>
  <c r="J57" i="4"/>
  <c r="H53" i="4"/>
  <c r="J58" i="4"/>
  <c r="J53" i="4"/>
  <c r="H52" i="4"/>
  <c r="K52" i="4" s="1"/>
  <c r="H56" i="4"/>
  <c r="K56" i="4" s="1"/>
  <c r="H51" i="4"/>
  <c r="K51" i="4" s="1"/>
  <c r="H55" i="4" l="1"/>
  <c r="K55" i="4" s="1"/>
  <c r="J48" i="4"/>
  <c r="F59" i="4"/>
  <c r="F61" i="4" s="1"/>
  <c r="J50" i="4"/>
  <c r="K50" i="4" s="1"/>
  <c r="K58" i="4"/>
  <c r="J49" i="4"/>
  <c r="K49" i="4" s="1"/>
  <c r="K53" i="4"/>
  <c r="D24" i="4"/>
  <c r="D22" i="4" s="1"/>
  <c r="F24" i="4" s="1"/>
  <c r="H48" i="4"/>
  <c r="K57" i="4"/>
  <c r="K48" i="4" l="1"/>
  <c r="K59" i="4" s="1"/>
  <c r="H59" i="4"/>
  <c r="F23" i="4"/>
  <c r="F25" i="4"/>
  <c r="F26" i="4"/>
  <c r="J59" i="4"/>
  <c r="H88" i="4" s="1"/>
  <c r="C88" i="4" l="1"/>
  <c r="G88" i="4" s="1"/>
  <c r="G92" i="4" s="1"/>
  <c r="D80" i="4"/>
  <c r="D81" i="4" s="1"/>
  <c r="H92" i="4"/>
  <c r="I88" i="4" l="1"/>
  <c r="C92" i="4"/>
  <c r="E92" i="4"/>
  <c r="D82" i="4" l="1"/>
  <c r="E82" i="4" s="1"/>
</calcChain>
</file>

<file path=xl/comments1.xml><?xml version="1.0" encoding="utf-8"?>
<comments xmlns="http://schemas.openxmlformats.org/spreadsheetml/2006/main">
  <authors>
    <author>Cristina</author>
  </authors>
  <commentList>
    <comment ref="O16" authorId="0" shapeId="0">
      <text>
        <r>
          <rPr>
            <b/>
            <sz val="9"/>
            <color indexed="81"/>
            <rFont val="Tahoma"/>
            <family val="2"/>
          </rPr>
          <t>Cristina:</t>
        </r>
        <r>
          <rPr>
            <sz val="9"/>
            <color indexed="81"/>
            <rFont val="Tahoma"/>
            <family val="2"/>
          </rPr>
          <t xml:space="preserve">
it reconciles with Tab 2.Ga Detailed Analysis Cell G27</t>
        </r>
      </text>
    </comment>
  </commentList>
</comments>
</file>

<file path=xl/sharedStrings.xml><?xml version="1.0" encoding="utf-8"?>
<sst xmlns="http://schemas.openxmlformats.org/spreadsheetml/2006/main" count="471" uniqueCount="321">
  <si>
    <t>kWh</t>
  </si>
  <si>
    <t>A</t>
  </si>
  <si>
    <t>C = A+B</t>
  </si>
  <si>
    <t>Total Metered excluding WMP</t>
  </si>
  <si>
    <t>D</t>
  </si>
  <si>
    <t>E</t>
  </si>
  <si>
    <t>B = D+E</t>
  </si>
  <si>
    <t xml:space="preserve">RPP </t>
  </si>
  <si>
    <t>Non RPP</t>
  </si>
  <si>
    <t>Non-RPP Class A</t>
  </si>
  <si>
    <t>January</t>
  </si>
  <si>
    <t>February</t>
  </si>
  <si>
    <t>March</t>
  </si>
  <si>
    <t>April</t>
  </si>
  <si>
    <t>May</t>
  </si>
  <si>
    <t>June</t>
  </si>
  <si>
    <t>July</t>
  </si>
  <si>
    <t>August</t>
  </si>
  <si>
    <t>September</t>
  </si>
  <si>
    <t>October</t>
  </si>
  <si>
    <t xml:space="preserve">November </t>
  </si>
  <si>
    <t>December</t>
  </si>
  <si>
    <t xml:space="preserve">GA is billed on the </t>
  </si>
  <si>
    <t>$ Consumption at GA Rate Billed</t>
  </si>
  <si>
    <t>Unresolved Difference</t>
  </si>
  <si>
    <t>Year</t>
  </si>
  <si>
    <t>First Estimate</t>
  </si>
  <si>
    <t>Second Estimate</t>
  </si>
  <si>
    <t>Actual</t>
  </si>
  <si>
    <t>GA Rates per IESO website</t>
  </si>
  <si>
    <t>($/kWh)</t>
  </si>
  <si>
    <t xml:space="preserve">Purpose: </t>
  </si>
  <si>
    <t>Input cells</t>
  </si>
  <si>
    <t>Note 1</t>
  </si>
  <si>
    <t>Note 2</t>
  </si>
  <si>
    <t>Note 3</t>
  </si>
  <si>
    <t>Note 4</t>
  </si>
  <si>
    <t>Additional Notes and Comments</t>
  </si>
  <si>
    <t>G</t>
  </si>
  <si>
    <t>Calendar Month</t>
  </si>
  <si>
    <t>F</t>
  </si>
  <si>
    <t>GA Billing Rate</t>
  </si>
  <si>
    <t>GA Billing Rate Description</t>
  </si>
  <si>
    <t>*O.Reg 429/04, section 16(3)</t>
  </si>
  <si>
    <t>Explanation</t>
  </si>
  <si>
    <t xml:space="preserve"> Item</t>
  </si>
  <si>
    <t>Notes to GA Analysis:</t>
  </si>
  <si>
    <t>Refer to the GA Analysis Tab to complete the below steps.</t>
  </si>
  <si>
    <t>Account 1589 Global Adjustment (GA) Analysis Workform</t>
  </si>
  <si>
    <t>GA Rate Billed  ($/kWh)</t>
  </si>
  <si>
    <t>GA Actual Rate Paid ($/kWh)</t>
  </si>
  <si>
    <t>1a</t>
  </si>
  <si>
    <t>1b</t>
  </si>
  <si>
    <t>H</t>
  </si>
  <si>
    <t>I = F-G+H</t>
  </si>
  <si>
    <t>J</t>
  </si>
  <si>
    <t>K = I*J</t>
  </si>
  <si>
    <t>L</t>
  </si>
  <si>
    <t>M = I*L</t>
  </si>
  <si>
    <t>=M-K</t>
  </si>
  <si>
    <t>Drop down cells</t>
  </si>
  <si>
    <r>
      <t>Non-RPP Class B</t>
    </r>
    <r>
      <rPr>
        <sz val="11"/>
        <color rgb="FFFF0000"/>
        <rFont val="Arial"/>
        <family val="2"/>
      </rPr>
      <t>*</t>
    </r>
  </si>
  <si>
    <t>Remove impacts to GA from prior year RPP Settlement true up process that are booked in current year</t>
  </si>
  <si>
    <t>Add current year end unbilled to actual revenue differences</t>
  </si>
  <si>
    <t>Remove prior year end unbilled to actual revenue differences</t>
  </si>
  <si>
    <t>2a</t>
  </si>
  <si>
    <t>Applicability of Reconciling Item (Y/N)</t>
  </si>
  <si>
    <t>Remove GA balances pertaining to Class A customers</t>
  </si>
  <si>
    <t>3a</t>
  </si>
  <si>
    <t>3b</t>
  </si>
  <si>
    <t>Remove difference between prior year accrual to forecast from long term load transfers</t>
  </si>
  <si>
    <t>Add difference between current year accrual to forecast from long term load transfers</t>
  </si>
  <si>
    <t>Unresolved Difference as % of Expected GA Payments to IESO</t>
  </si>
  <si>
    <t xml:space="preserve">Cumulative Balance </t>
  </si>
  <si>
    <t xml:space="preserve">Note 7 </t>
  </si>
  <si>
    <t>$ Consumption at Actual Rate Paid</t>
  </si>
  <si>
    <t>*Non-RPP Class B consumption reported in this table is not expected to directly agree with the Non-RPP Class B Including Loss Adjusted Billed Consumption in the GA Analysis of Expected Balance table below.  The difference should be equal to the loss factor.</t>
  </si>
  <si>
    <t>Expected GA Variance ($)</t>
  </si>
  <si>
    <t>Add impacts to GA from current year RPP Settlement true up process that are booked in subsequent year</t>
  </si>
  <si>
    <t>N/A</t>
  </si>
  <si>
    <t>Significant prior period billing adjustments included in current year GL balance but would not be included in the billing consumption used in the GA Analysis</t>
  </si>
  <si>
    <t>Consumption Data Excluding for Loss Factor (Data to agree with RRR as applicable)</t>
  </si>
  <si>
    <t>Deduct Previous Month Unbilled Loss Adjusted Consumption (kWh)</t>
  </si>
  <si>
    <t>Add Current Month Unbilled Loss Adjusted Consumption (kWh)</t>
  </si>
  <si>
    <t>Note that this is a generic analysis template, utilities may need to alter the analysis as needed for their specific circumstances. Any alternations to the analysis must be clearly disclosed and explained.</t>
  </si>
  <si>
    <t>Complete the Consumption Data Table for consumption (unadjusted for the loss factor) for each year that is being requested for disposition. The data should agree to the RRR data reported, where applicable (i.e. Total Metered excluding WMP, RPP and non-RPP).</t>
  </si>
  <si>
    <t>The consumption column is for monthly non-RPP Class B (loss adjusted) consumption billed. Total annual consumption is expected to differ from the Consumption Data Table (note 2) by the loss factor. Utilities are expected to ensure that the difference in consumption between that in column F and the Consumption Data Table are reasonable.</t>
  </si>
  <si>
    <t>For each reconciling item, indicate whether the item is a reconciling item to the utility's specific circumstances using the column "Applicability of Reconciling Item". Explain how each item applies or does not apply as a reconciling item.  Assess if each reconciling item is significant, if so they must be quantified.</t>
  </si>
  <si>
    <t>Reconciling items may include:</t>
  </si>
  <si>
    <t xml:space="preserve">1) </t>
  </si>
  <si>
    <t>Impacts to GA from RPP settlement true up amounts</t>
  </si>
  <si>
    <t xml:space="preserve">a.    Prior year impacts should be removed, </t>
  </si>
  <si>
    <t>b.    Current year impacts should be added.</t>
  </si>
  <si>
    <t xml:space="preserve">Analyses may have to be performed to identify the portion of the billed amounts that corresponded to the amount that was unbilled and recorded in the general ledger.  </t>
  </si>
  <si>
    <t xml:space="preserve">Unbilled revenue differences between the unbilled and actual billed amounts, which could relate to rate used or consumption volumes </t>
  </si>
  <si>
    <t>2)</t>
  </si>
  <si>
    <t xml:space="preserve">a.    Prior year end unbilled revenue differences should be removed, </t>
  </si>
  <si>
    <t>b.    Current year end unbilled revenue differences should be added.</t>
  </si>
  <si>
    <t xml:space="preserve">Accrual to actual differences in long term load transfers </t>
  </si>
  <si>
    <t xml:space="preserve">3) </t>
  </si>
  <si>
    <t>Amounts pertaining to load transfers may be unknown at the end of the year and therefore, are accrued based on an estimate. A true-up to actuals would then be done in the following year. Note that per the December 21, 2015 Distribution System Code Amendment, all load transfer arrangements shall be eliminated by transferring the load transfer customers to the physical distributor by June 21, 2017.</t>
  </si>
  <si>
    <t>a.    Prior year end differences should be removed</t>
  </si>
  <si>
    <t xml:space="preserve">GA balances pertaining to Class A customers must be excluded from the GA balance as the GA balance should only relate to Class B. </t>
  </si>
  <si>
    <t>4)</t>
  </si>
  <si>
    <t>Significant prior period billing adjustments</t>
  </si>
  <si>
    <t>5)</t>
  </si>
  <si>
    <t>Cancel and rebills for billing adjustments may be recorded in the current year revenue GL balance but would not be included in the current year consumption charged by the IESO.</t>
  </si>
  <si>
    <t>Please provide any additional details in the Additional Notes and Comments textbox.</t>
  </si>
  <si>
    <t xml:space="preserve">GA Billing Rate </t>
  </si>
  <si>
    <t>Column F :</t>
  </si>
  <si>
    <t>Prior month unbilled consumption is to be deducted and current month unbilled consumption is to be added. Note that monthly non-RPP Class B unbilled consumption may not be readily available and may require estimates or allocations to be done.</t>
  </si>
  <si>
    <t>Column G, H :</t>
  </si>
  <si>
    <t xml:space="preserve">Fill in the GA rate billed by linking the cells to the applicable cells in the GA Rates Per IESO Website Table. </t>
  </si>
  <si>
    <t>Fill in the actual GA rate paid by linking the cells to the applicable cells in the GA Rates Per IESO Website Table.</t>
  </si>
  <si>
    <t>Column J :</t>
  </si>
  <si>
    <t xml:space="preserve">Column L: </t>
  </si>
  <si>
    <t xml:space="preserve"> • Indicate the GA rate that is used to bill customers (also used for unbilled revenue) in the drop down box. Note that the “Other” rate is to represent a combination of the first estimate, second estimate and/or actual rate.</t>
  </si>
  <si>
    <t>• Where a distributor does not apply the same GA rate to all non-RPP Class B customers, the distributor must adapt the GA Analysis for this and breakdown the monthly non-RPP Class B volumes for each GA rate that was applied.</t>
  </si>
  <si>
    <t>Reconciling Items</t>
  </si>
  <si>
    <t xml:space="preserve">The purpose of this section is to ensure that reconciling items have been appropriately factored into the GA Analysis. Reconciling items must be considered for each year requested for disposition. </t>
  </si>
  <si>
    <t>Amount (Quantify if it is a significant reconciling item)</t>
  </si>
  <si>
    <t>Instructions on Account 1589 RSVA - Global Adjustment (GA) Analysis Workform</t>
  </si>
  <si>
    <t>• This methodology expects volume differences would not be significant. However, if unbilled consumption is not estimated with adequate precision by a distributor, this could impact the expected balance in Account 1589 RSVA-GA, which may have to be considered in the analysis by the distributor.</t>
  </si>
  <si>
    <t xml:space="preserve">• Once calendar/load month kWh volumes are determined, the monthly GA rate(s) used to bill non-RPP Class B customers for each month as posted by the IESO can be multiplied by the consumption to determine expected GA revenue amounts. Therefore, a blended GA rate will not be required as the kWh volumes for revenues have been approximated on a calendar/load month basis as well. The expected GA revenues can then be compared to the actual GA rate charged by the IESO for each month multiplied by the consumption to determine a balance that can be expected in Account 1589 RSVA-GA. </t>
  </si>
  <si>
    <t>• Note that distributors who have more precise monthly kWh volume data available based on allocation of billing data by calendar/load month may propose to use this data in the GA Analysis to calculate the expected GA balance. However, any such methodology that differs from the one described above must be disclosed and explained.</t>
  </si>
  <si>
    <t>b.    Current year end differences should be added.</t>
  </si>
  <si>
    <t>Any remaining unreconciled balance that is greater than +/- 1% of the GA payments to the IESO annually must be analyzed and investigated to identify any additional reconciling items or to identify corrections to the balance requested for disposition.</t>
  </si>
  <si>
    <t>Non-RPP Class B Including Loss Adjusted Consumption, Adjusted for Unbilled (kWh)</t>
  </si>
  <si>
    <t xml:space="preserve">• In the GA Billing Rate Description textbox, provide a description of the GA billing rate that is used, i.e. first estimate, second estimate, or actual.  Explain how the GA billing rate is determined for billing cycles that span more than one load month. Confirm that the GA rate that is used is applied consistently for all billing and unbilled revenue transactions for non-RPP Class B customers in each customer class.* In addition, where the same GA rate is not used for non-RPP Class B customers in all customer classes, explain what GA rate is applied to each customer class.  </t>
  </si>
  <si>
    <t>Year(s) Requested for Disposition</t>
  </si>
  <si>
    <t>Adjusted Net Change in Principal Balance in the GL</t>
  </si>
  <si>
    <t>Net Change in Expected GA Balance in the Year Per Analysis</t>
  </si>
  <si>
    <t>Net Change in Expected GA Balance in the Year (i.e. Transactions in the Year)</t>
  </si>
  <si>
    <t xml:space="preserve"> Net Change in Principal Balance in the GL (i.e. Transactions in the Year)</t>
  </si>
  <si>
    <t>Enter the  net change in principal balance in the GL. This will equal to the transactions recorded in the account for the year. If multiple years are requested for disposition, the sum of the net changes in principal balance will equal the cumulative principal balance requested for disposition.</t>
  </si>
  <si>
    <t xml:space="preserve">Reconciling Items </t>
  </si>
  <si>
    <t>Differences in GA IESO posted rate and rate charged on IESO invoice</t>
  </si>
  <si>
    <t>Summary of GA  (if multiple years requested for disposition)</t>
  </si>
  <si>
    <t>Non-RPP Class B Including Loss Factor Billed Consumption (kWh)</t>
  </si>
  <si>
    <t>Indicate which years the balance requested for disposition pertains to (e.g. 2016, or 2016 and 2015)</t>
  </si>
  <si>
    <t>Analysis of Expected GA Amount</t>
  </si>
  <si>
    <t xml:space="preserve">• The analysis calculates a balance in Account 1589 RSVA- GA that can be reasonably expected. Distributors are charged by the IESO on a calendar/load month basis at the actual GA rate for relevant volumes each month. The methodology used in the GA Analysis is based on the calendar/load month consumption from revenue amounts (derived from billed and unbilled consumption). This is done by taking the billed kWh volumes (which would not be expected to align with the calendar/load month) and deducting the unbilled kWh consumption from the prior month and adding the unbilled kWh consumption of the current month. This approach to calculating monthly kWh volumes is used to represent calendar/load month consumption. </t>
  </si>
  <si>
    <t xml:space="preserve">Note 5 </t>
  </si>
  <si>
    <t xml:space="preserve">Transactions pertaining to Class A customers are recorded in Account 1589 RSVA-GA and should net to zero. However, there may be balances pertaining to Class A included in the account at the end of the year due to timing issues. For example, a balance pertaining to Class A customers may exist if revenues are not accrued on the same basis as expenses. </t>
  </si>
  <si>
    <t>If any such balances pertaining to Class A exist, the distributor must also ensure that these amounts are excluded from the Account 1589 RSVA-GA balance requested for disposition.</t>
  </si>
  <si>
    <t>6)</t>
  </si>
  <si>
    <t>7-10)</t>
  </si>
  <si>
    <t>If there are any differences between the GA IESO posted rate used in the Analysis of Expected GA Amount table above (note 4) and the GA rate that is actually charged per a distributor's invoice for non-RPP volumes Class B, the impact of this may need to be quantified. The monthly difference in rate should be multiplied by non-RPP Class B volumes.</t>
  </si>
  <si>
    <t>Any other items that cause differences between the expected GA amount and the GA recorded in the general ledger.</t>
  </si>
  <si>
    <t>Note 6</t>
  </si>
  <si>
    <t>Materiaility Threshold</t>
  </si>
  <si>
    <t>The net change in principal balance in the GL should be summed with the reconciling items to determine the adjusted net change in principal balance in the GL. This amount will be compared to the expected net change in the principal balance as calculated in the Analysis of Expected GA Amount table (note 4). The difference between the two will be compared to the annual GA payments to the IESO.  If the difference is greater than +/-1%, then distributors may reassess the reconciling items to determine if there are additional reconciling items that could impact the difference.</t>
  </si>
  <si>
    <t xml:space="preserve">Complete the table to obtain the annual GA expected transactions and cumulative GA balance in the GL using each of the Analysis of Expected GA Amount table (note 4) and Reconciling Items tables (note 6) completed for each year. </t>
  </si>
  <si>
    <t xml:space="preserve">To calculate an approximate expected balance in Account 1589 RSVA - GA and compare the expected amount to the amount in the general ledger. Material differences between the two need to be reconciled and explained on an annual basis. Materiality is assessed on an annual basis based on a threshold of +/- 1% of the annual IESO GA charges. </t>
  </si>
  <si>
    <t>Note: Distributors should create a copy of the Analysis of Expected GA Amount table in a separate tab for each year that is being requested for disposition, calculate the net change in expected GA balance in the year, determine the reconciliation adjustments (see note 6) and assess materiality for each year requested for disposition.</t>
  </si>
  <si>
    <r>
      <t>Note that effective May 23, 2017, per the OEB’s letter titled</t>
    </r>
    <r>
      <rPr>
        <i/>
        <sz val="12"/>
        <rFont val="Arial"/>
        <family val="2"/>
      </rPr>
      <t xml:space="preserve"> Guidance on Disposition of Accounts 1588 and 1589</t>
    </r>
    <r>
      <rPr>
        <sz val="12"/>
        <rFont val="Arial"/>
        <family val="2"/>
      </rPr>
      <t xml:space="preserve">, applicants must reflect RPP Settlement true-up claims pertaining to the period that is being requested for disposition in Account 1588 and Account 1589.  This would include true ups to the pro-ration of the GA charge based on RPP vs. non-RPP volumes, true up of GA accrual expense to the actual expense per invoice. </t>
    </r>
  </si>
  <si>
    <t>Annual Net Change in Expected GA Balance from GA Analysis (cell K59)</t>
  </si>
  <si>
    <t xml:space="preserve"> Net Change in Principal Balance in the  GL (cell D65)</t>
  </si>
  <si>
    <t>Reconciling Items (sum of cells D66 to D78)</t>
  </si>
  <si>
    <t>Payments to IESO (cell J59)</t>
  </si>
  <si>
    <t>version 1.4</t>
  </si>
  <si>
    <t>1st Estimate</t>
  </si>
  <si>
    <t>RPP true-up was done quaterly - Q4 2016 minus Q4 2015 is (see tab RPP True-up)</t>
  </si>
  <si>
    <t>For accounts with retailer contract, the unbilled revenue was calculated based on historical weighted average GA rate;</t>
  </si>
  <si>
    <t>The billing cycle is not on a calendar month for most customers; our billing system uses a weighted average daily rate for applying Global Adjustment to bills</t>
  </si>
  <si>
    <t>TOTAL ADJUSTMENTS</t>
  </si>
  <si>
    <t>UBR= Unbilled Revenue</t>
  </si>
  <si>
    <t>Class B UBR</t>
  </si>
  <si>
    <t>GA UBR [kWh]</t>
  </si>
  <si>
    <t>GA 1st Estimate Rate December</t>
  </si>
  <si>
    <t>Total GA $ on 1st Estimate</t>
  </si>
  <si>
    <t>Difference</t>
  </si>
  <si>
    <t>V2</t>
  </si>
  <si>
    <t>2016 Global Adjustment Analysis</t>
  </si>
  <si>
    <t xml:space="preserve">Input cells </t>
  </si>
  <si>
    <t>Allocation Method for Class B RSVA-Global Adjustment.</t>
  </si>
  <si>
    <t>IRM Total Metered</t>
  </si>
  <si>
    <t>remove wmp</t>
  </si>
  <si>
    <t xml:space="preserve">IRM RPP </t>
  </si>
  <si>
    <t>IRM Non RPP</t>
  </si>
  <si>
    <t>remove WMP</t>
  </si>
  <si>
    <t>IRM Class A</t>
  </si>
  <si>
    <t>IRM Net Class B</t>
  </si>
  <si>
    <t>Class B (Non RPP and Non Class A) RSVA GA Analysis - Allocation Method</t>
  </si>
  <si>
    <t>Billed Class B Non-RPP Spot</t>
  </si>
  <si>
    <t>Actual Month</t>
  </si>
  <si>
    <t>Previous Month</t>
  </si>
  <si>
    <t>UBR trued-up</t>
  </si>
  <si>
    <t>kWh True-up</t>
  </si>
  <si>
    <t>UBR true-up</t>
  </si>
  <si>
    <t>First Estimate GA Rate</t>
  </si>
  <si>
    <t>Actual  GA Rate</t>
  </si>
  <si>
    <t>Retail - Final</t>
  </si>
  <si>
    <t>Class B Non-RPP</t>
  </si>
  <si>
    <t>Est. Variance</t>
  </si>
  <si>
    <t>kWh *</t>
  </si>
  <si>
    <t>Unbilled kWh</t>
  </si>
  <si>
    <t>$</t>
  </si>
  <si>
    <t>$/kWh</t>
  </si>
  <si>
    <t>@ 1st Estimate GA</t>
  </si>
  <si>
    <t>@ Actual GA</t>
  </si>
  <si>
    <t>Retail less Final</t>
  </si>
  <si>
    <t>M=N+BxG-(CxH at previous month rate)</t>
  </si>
  <si>
    <t>N</t>
  </si>
  <si>
    <t>B</t>
  </si>
  <si>
    <t>C</t>
  </si>
  <si>
    <t>D=B-C</t>
  </si>
  <si>
    <t>E=A+B-C</t>
  </si>
  <si>
    <t>I=G-H</t>
  </si>
  <si>
    <t>J=E x G</t>
  </si>
  <si>
    <t>K=E x H</t>
  </si>
  <si>
    <t>L=K-J</t>
  </si>
  <si>
    <t>Billed 1st estimate (query)+UBR true-up</t>
  </si>
  <si>
    <t>Query - Billed</t>
  </si>
  <si>
    <t>Billed Average Rate</t>
  </si>
  <si>
    <t>1st estimate</t>
  </si>
  <si>
    <t>2017 IRM Rate Continuity Schedule Amount</t>
  </si>
  <si>
    <t>A-B</t>
  </si>
  <si>
    <t>LDC's Materiality Threshold</t>
  </si>
  <si>
    <t>Adjustments - see Tab "Adjustments"</t>
  </si>
  <si>
    <t>Guelph Hydro materiality  0.5% COS Distr Revenue requirement:</t>
  </si>
  <si>
    <t>Global Adjustment (¢/kWh)</t>
  </si>
  <si>
    <t>Jan</t>
  </si>
  <si>
    <t>Feb</t>
  </si>
  <si>
    <t>Mar</t>
  </si>
  <si>
    <t>Apr</t>
  </si>
  <si>
    <t>Jun</t>
  </si>
  <si>
    <t>Jul</t>
  </si>
  <si>
    <t>Aug</t>
  </si>
  <si>
    <t>Sep</t>
  </si>
  <si>
    <t>Oct</t>
  </si>
  <si>
    <t>Nov</t>
  </si>
  <si>
    <t>Dec</t>
  </si>
  <si>
    <t> 8.42</t>
  </si>
  <si>
    <t>10.38 </t>
  </si>
  <si>
    <t>9.02 </t>
  </si>
  <si>
    <t>12.1 </t>
  </si>
  <si>
    <t>10.4 </t>
  </si>
  <si>
    <t>11.7 </t>
  </si>
  <si>
    <t>7.67 </t>
  </si>
  <si>
    <t>8.57 </t>
  </si>
  <si>
    <t> 7.06</t>
  </si>
  <si>
    <t> 9.72</t>
  </si>
  <si>
    <t>12.3 </t>
  </si>
  <si>
    <t> 10.6</t>
  </si>
  <si>
    <t>2nd Estimate</t>
  </si>
  <si>
    <t> 9.21</t>
  </si>
  <si>
    <t> 9.68</t>
  </si>
  <si>
    <t> 10.3</t>
  </si>
  <si>
    <t> 11.2</t>
  </si>
  <si>
    <t> 11.5</t>
  </si>
  <si>
    <t> 9.15</t>
  </si>
  <si>
    <t> 11.8</t>
  </si>
  <si>
    <t> 7.87</t>
  </si>
  <si>
    <t> 9.18</t>
  </si>
  <si>
    <t> 9.85</t>
  </si>
  <si>
    <t> 10.61</t>
  </si>
  <si>
    <t> 11.13</t>
  </si>
  <si>
    <t> 10.75</t>
  </si>
  <si>
    <t> 9.55</t>
  </si>
  <si>
    <t> 7.10</t>
  </si>
  <si>
    <t> 9.53</t>
  </si>
  <si>
    <t> 11.1</t>
  </si>
  <si>
    <t>Kwh submitted</t>
  </si>
  <si>
    <t>Estimated GA Rate</t>
  </si>
  <si>
    <t>Actual GA Rate</t>
  </si>
  <si>
    <t>Estimated GA Amount</t>
  </si>
  <si>
    <t>Actual GA Amount</t>
  </si>
  <si>
    <t>True-Up</t>
  </si>
  <si>
    <t>Total</t>
  </si>
  <si>
    <t>payment to IESO</t>
  </si>
  <si>
    <t>Payment from IESO</t>
  </si>
  <si>
    <t>November</t>
  </si>
  <si>
    <t>2016 Class B GA Rate Comparison</t>
  </si>
  <si>
    <t>Month</t>
  </si>
  <si>
    <t>IESO Invoice 148 Class B GA Rate (less embedded gen)</t>
  </si>
  <si>
    <t>IESO Invoice 148 Class B GA Rate (incl. embedded gen)</t>
  </si>
  <si>
    <t>IESO Actual GA Rate on website</t>
  </si>
  <si>
    <t>Difference 1</t>
  </si>
  <si>
    <t>Difference 2</t>
  </si>
  <si>
    <t>http://www.ieso.ca/en/sector-participants/settlements/global-adjustment-for-class-b</t>
  </si>
  <si>
    <t>D = A - C</t>
  </si>
  <si>
    <t>E = B - C</t>
  </si>
  <si>
    <t>Guelph Hydro STPP &amp; IESO Invoice GA Calculation</t>
  </si>
  <si>
    <t>STPP 148 Detail</t>
  </si>
  <si>
    <t>STPP 148 Adjustments</t>
  </si>
  <si>
    <t>STPP Total 148</t>
  </si>
  <si>
    <t>148 per IESO Invoice</t>
  </si>
  <si>
    <t>148 Difference</t>
  </si>
  <si>
    <t>STPP Class B + Embedded Generation [MWh]</t>
  </si>
  <si>
    <t>IESO Invoice 148 Class B GA Rate</t>
  </si>
  <si>
    <t>STPP 148 Class B GA Rate</t>
  </si>
  <si>
    <t>C = A + B</t>
  </si>
  <si>
    <t>E = D - C</t>
  </si>
  <si>
    <t>G = D/F/1000</t>
  </si>
  <si>
    <t>H = C/F/1000</t>
  </si>
  <si>
    <t>UBR Customers with Retailer UBR $</t>
  </si>
  <si>
    <t>UBR Customers with Retailer UBR kWh</t>
  </si>
  <si>
    <t>GA 1st estimate</t>
  </si>
  <si>
    <t>UBR Cust. With Retailer kWh @ 1st estimate</t>
  </si>
  <si>
    <t>D = B x C</t>
  </si>
  <si>
    <t>E = A - D</t>
  </si>
  <si>
    <t>True-up @ average</t>
  </si>
  <si>
    <t>True-up @ 1st Estimate</t>
  </si>
  <si>
    <t>Diff.</t>
  </si>
  <si>
    <t>Add: Dec 2016</t>
  </si>
  <si>
    <t>Less: Dec 2015</t>
  </si>
  <si>
    <t>RPP true-up was done quarterly and Q4 2016 was not included in the 1589 balance  (see Tab '3.RPP True-up")</t>
  </si>
  <si>
    <t>Unbilled revenue differences</t>
  </si>
  <si>
    <t>Billed GA differences</t>
  </si>
  <si>
    <t>Y</t>
  </si>
  <si>
    <t>For RPP accounts with retailer contract, the unbilled revenue was calculated based on historical weighted average GA rate; Please see Tab "5.UBR Retailer Contract"</t>
  </si>
  <si>
    <t>Billed</t>
  </si>
  <si>
    <t>prior month</t>
  </si>
  <si>
    <t>actual month</t>
  </si>
  <si>
    <t>RPP true-up was done quarterly and Q4 2015 was not included in the 1589 balance  (see Tab '3.RPP True-up")</t>
  </si>
  <si>
    <t>See IRR 3.b</t>
  </si>
  <si>
    <t xml:space="preserve">2b </t>
  </si>
  <si>
    <t>Adjs. 2a and 2b - See Tab GA Analysis</t>
  </si>
  <si>
    <t>GA UBR activity relating to RPP customers were incorrectly grouped with other classes and included in account 1589 versus the correct account 1588</t>
  </si>
  <si>
    <t>Table Reference IRR Nov. 28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</si>
</sst>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8">
    <numFmt numFmtId="6" formatCode="&quot;$&quot;#,##0_);[Red]\(&quot;$&quot;#,##0\)"/>
    <numFmt numFmtId="8" formatCode="&quot;$&quot;#,##0.00_);[Red]\(&quot;$&quot;#,##0.00\)"/>
    <numFmt numFmtId="164" formatCode="&quot;$&quot;#,##0.00;[Red]\-&quot;$&quot;#,##0.00"/>
    <numFmt numFmtId="165" formatCode="_-&quot;$&quot;* #,##0.00_-;\-&quot;$&quot;* #,##0.00_-;_-&quot;$&quot;* &quot;-&quot;??_-;_-@_-"/>
    <numFmt numFmtId="166" formatCode="_-* #,##0.00_-;\-* #,##0.00_-;_-* &quot;-&quot;??_-;_-@_-"/>
    <numFmt numFmtId="167" formatCode="0.0%"/>
    <numFmt numFmtId="168" formatCode="_-&quot;$&quot;* #,##0_-;\-&quot;$&quot;* #,##0_-;_-&quot;$&quot;* &quot;-&quot;??_-;_-@_-"/>
    <numFmt numFmtId="169" formatCode="0.00000"/>
    <numFmt numFmtId="170" formatCode="_-* #,##0_-;\-* #,##0_-;_-* &quot;-&quot;??_-;_-@_-"/>
    <numFmt numFmtId="171" formatCode="_(* #,##0_);_(* \(#,##0\);_(* &quot;-&quot;??_);_(@_)"/>
    <numFmt numFmtId="172" formatCode="&quot;$&quot;#,##0.00000;[Red]\-&quot;$&quot;#,##0.00000"/>
    <numFmt numFmtId="173" formatCode="#,##0.00000"/>
    <numFmt numFmtId="174" formatCode="&quot;$&quot;#,##0.00000_);[Red]\(&quot;$&quot;#,##0.00000\)"/>
    <numFmt numFmtId="175" formatCode="&quot;$&quot;#,##0.00;[Red]&quot;$&quot;#,##0.00"/>
    <numFmt numFmtId="176" formatCode="&quot;$&quot;#,##0.00"/>
    <numFmt numFmtId="177" formatCode="&quot;$&quot;#,##0.00000"/>
    <numFmt numFmtId="178" formatCode="_-* #,##0.0000_-;\-* #,##0.0000_-;_-* &quot;-&quot;??_-;_-@_-"/>
    <numFmt numFmtId="179" formatCode="&quot;$&quot;#,##0.000000_);[Red]\(&quot;$&quot;#,##0.000000\)"/>
  </numFmts>
  <fonts count="39">
    <font>
      <sz val="11"/>
      <color theme="1"/>
      <name val="Calibri"/>
      <family val="2"/>
      <scheme val="minor"/>
    </font>
    <font>
      <sz val="11"/>
      <color theme="1"/>
      <name val="Calibri"/>
      <family val="2"/>
      <scheme val="minor"/>
    </font>
    <font>
      <sz val="11"/>
      <color theme="1"/>
      <name val="Arial"/>
      <family val="2"/>
    </font>
    <font>
      <b/>
      <sz val="11"/>
      <color theme="1"/>
      <name val="Arial"/>
      <family val="2"/>
    </font>
    <font>
      <b/>
      <u/>
      <sz val="11"/>
      <color theme="1"/>
      <name val="Arial"/>
      <family val="2"/>
    </font>
    <font>
      <sz val="10"/>
      <name val="Arial"/>
      <family val="2"/>
    </font>
    <font>
      <b/>
      <sz val="11"/>
      <name val="Arial"/>
      <family val="2"/>
    </font>
    <font>
      <sz val="11"/>
      <name val="Arial"/>
      <family val="2"/>
    </font>
    <font>
      <b/>
      <u/>
      <sz val="11"/>
      <name val="Arial"/>
      <family val="2"/>
    </font>
    <font>
      <b/>
      <u/>
      <sz val="12"/>
      <name val="Arial"/>
      <family val="2"/>
    </font>
    <font>
      <sz val="12"/>
      <name val="Arial"/>
      <family val="2"/>
    </font>
    <font>
      <b/>
      <sz val="12"/>
      <name val="Arial"/>
      <family val="2"/>
    </font>
    <font>
      <sz val="11"/>
      <color rgb="FFFF0000"/>
      <name val="Arial"/>
      <family val="2"/>
    </font>
    <font>
      <b/>
      <u/>
      <sz val="11"/>
      <color rgb="FFFF0000"/>
      <name val="Arial"/>
      <family val="2"/>
    </font>
    <font>
      <u/>
      <sz val="12"/>
      <name val="Arial"/>
      <family val="2"/>
    </font>
    <font>
      <i/>
      <sz val="12"/>
      <name val="Arial"/>
      <family val="2"/>
    </font>
    <font>
      <b/>
      <sz val="11"/>
      <color theme="1"/>
      <name val="Calibri"/>
      <family val="2"/>
      <scheme val="minor"/>
    </font>
    <font>
      <sz val="10"/>
      <name val="Times New Roman"/>
      <family val="1"/>
    </font>
    <font>
      <b/>
      <u/>
      <sz val="10"/>
      <name val="Times New Roman"/>
      <family val="1"/>
    </font>
    <font>
      <b/>
      <sz val="10"/>
      <name val="Times New Roman"/>
      <family val="1"/>
    </font>
    <font>
      <b/>
      <sz val="10"/>
      <name val="Arial"/>
      <family val="2"/>
    </font>
    <font>
      <b/>
      <sz val="9"/>
      <color indexed="81"/>
      <name val="Tahoma"/>
      <family val="2"/>
    </font>
    <font>
      <sz val="9"/>
      <color indexed="81"/>
      <name val="Tahoma"/>
      <family val="2"/>
    </font>
    <font>
      <b/>
      <sz val="14"/>
      <name val="Times New Roman"/>
      <family val="1"/>
    </font>
    <font>
      <sz val="10"/>
      <color indexed="8"/>
      <name val="Times New Roman"/>
      <family val="1"/>
    </font>
    <font>
      <sz val="11"/>
      <color indexed="8"/>
      <name val="Times New Roman"/>
      <family val="1"/>
    </font>
    <font>
      <b/>
      <sz val="11"/>
      <color indexed="8"/>
      <name val="Times New Roman"/>
      <family val="1"/>
    </font>
    <font>
      <b/>
      <sz val="10"/>
      <color indexed="8"/>
      <name val="Times New Roman"/>
      <family val="1"/>
    </font>
    <font>
      <b/>
      <sz val="11"/>
      <name val="Times New Roman"/>
      <family val="1"/>
    </font>
    <font>
      <sz val="13.2"/>
      <color rgb="FF1E7D83"/>
      <name val="Inherit"/>
    </font>
    <font>
      <sz val="11"/>
      <color rgb="FF333333"/>
      <name val="Whitney SSm A"/>
    </font>
    <font>
      <b/>
      <sz val="14"/>
      <color theme="1"/>
      <name val="Calibri"/>
      <family val="2"/>
      <scheme val="minor"/>
    </font>
    <font>
      <sz val="10"/>
      <color indexed="63"/>
      <name val="Arial"/>
      <family val="2"/>
    </font>
    <font>
      <sz val="10"/>
      <color rgb="FF333333"/>
      <name val="Arial"/>
      <family val="2"/>
    </font>
    <font>
      <b/>
      <sz val="16"/>
      <color theme="1"/>
      <name val="Arial"/>
      <family val="2"/>
    </font>
    <font>
      <sz val="12"/>
      <color theme="1"/>
      <name val="Arial"/>
      <family val="2"/>
    </font>
    <font>
      <b/>
      <sz val="12"/>
      <color theme="1"/>
      <name val="Arial"/>
      <family val="2"/>
    </font>
    <font>
      <u/>
      <sz val="11"/>
      <color theme="10"/>
      <name val="Calibri"/>
      <family val="2"/>
      <scheme val="minor"/>
    </font>
    <font>
      <sz val="12"/>
      <color theme="1"/>
      <name val="Calibri"/>
      <family val="2"/>
      <scheme val="minor"/>
    </font>
  </fonts>
  <fills count="9">
    <fill>
      <patternFill patternType="none"/>
    </fill>
    <fill>
      <patternFill patternType="gray125"/>
    </fill>
    <fill>
      <patternFill patternType="solid">
        <fgColor theme="6" tint="0.79998168889431442"/>
        <bgColor indexed="64"/>
      </patternFill>
    </fill>
    <fill>
      <patternFill patternType="solid">
        <fgColor theme="4" tint="0.79998168889431442"/>
        <bgColor indexed="64"/>
      </patternFill>
    </fill>
    <fill>
      <patternFill patternType="solid">
        <fgColor theme="0"/>
        <bgColor indexed="64"/>
      </patternFill>
    </fill>
    <fill>
      <patternFill patternType="solid">
        <fgColor indexed="9"/>
        <bgColor indexed="64"/>
      </patternFill>
    </fill>
    <fill>
      <patternFill patternType="solid">
        <fgColor rgb="FFF4F4F4"/>
        <bgColor indexed="64"/>
      </patternFill>
    </fill>
    <fill>
      <patternFill patternType="solid">
        <fgColor rgb="FFFFFF00"/>
        <bgColor indexed="64"/>
      </patternFill>
    </fill>
    <fill>
      <patternFill patternType="solid">
        <fgColor rgb="FFFFC000"/>
        <bgColor indexed="64"/>
      </patternFill>
    </fill>
  </fills>
  <borders count="45">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right/>
      <top/>
      <bottom style="medium">
        <color indexed="64"/>
      </bottom>
      <diagonal/>
    </border>
    <border>
      <left/>
      <right/>
      <top style="thin">
        <color indexed="64"/>
      </top>
      <bottom style="thin">
        <color indexed="64"/>
      </bottom>
      <diagonal/>
    </border>
    <border>
      <left/>
      <right/>
      <top/>
      <bottom style="double">
        <color indexed="64"/>
      </bottom>
      <diagonal/>
    </border>
    <border>
      <left style="medium">
        <color indexed="64"/>
      </left>
      <right style="medium">
        <color indexed="64"/>
      </right>
      <top style="medium">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medium">
        <color indexed="64"/>
      </right>
      <top/>
      <bottom/>
      <diagonal/>
    </border>
    <border>
      <left/>
      <right style="thin">
        <color indexed="64"/>
      </right>
      <top/>
      <bottom/>
      <diagonal/>
    </border>
    <border>
      <left/>
      <right style="thin">
        <color indexed="64"/>
      </right>
      <top/>
      <bottom style="medium">
        <color indexed="64"/>
      </bottom>
      <diagonal/>
    </border>
    <border>
      <left style="medium">
        <color indexed="64"/>
      </left>
      <right style="medium">
        <color indexed="64"/>
      </right>
      <top/>
      <bottom style="medium">
        <color indexed="64"/>
      </bottom>
      <diagonal/>
    </border>
    <border>
      <left/>
      <right/>
      <top/>
      <bottom style="medium">
        <color rgb="FFD7D7D7"/>
      </bottom>
      <diagonal/>
    </border>
    <border>
      <left/>
      <right/>
      <top/>
      <bottom style="medium">
        <color rgb="FF010101"/>
      </bottom>
      <diagonal/>
    </border>
  </borders>
  <cellStyleXfs count="8">
    <xf numFmtId="0" fontId="0" fillId="0" borderId="0"/>
    <xf numFmtId="165" fontId="1" fillId="0" borderId="0" applyFont="0" applyFill="0" applyBorder="0" applyAlignment="0" applyProtection="0"/>
    <xf numFmtId="0" fontId="5" fillId="0" borderId="0"/>
    <xf numFmtId="9" fontId="5" fillId="0" borderId="0" applyFont="0" applyFill="0" applyBorder="0" applyAlignment="0" applyProtection="0"/>
    <xf numFmtId="9" fontId="1" fillId="0" borderId="0" applyFont="0" applyFill="0" applyBorder="0" applyAlignment="0" applyProtection="0"/>
    <xf numFmtId="166" fontId="1" fillId="0" borderId="0" applyFont="0" applyFill="0" applyBorder="0" applyAlignment="0" applyProtection="0"/>
    <xf numFmtId="166" fontId="5" fillId="0" borderId="0" applyFont="0" applyFill="0" applyBorder="0" applyAlignment="0" applyProtection="0"/>
    <xf numFmtId="0" fontId="37" fillId="0" borderId="0" applyNumberFormat="0" applyFill="0" applyBorder="0" applyAlignment="0" applyProtection="0"/>
  </cellStyleXfs>
  <cellXfs count="403">
    <xf numFmtId="0" fontId="0" fillId="0" borderId="0" xfId="0"/>
    <xf numFmtId="0" fontId="2" fillId="0" borderId="0" xfId="0" applyFont="1"/>
    <xf numFmtId="0" fontId="3" fillId="0" borderId="0" xfId="0" applyFont="1"/>
    <xf numFmtId="0" fontId="4" fillId="0" borderId="0" xfId="0" applyFont="1"/>
    <xf numFmtId="0" fontId="7" fillId="0" borderId="0" xfId="0" applyFont="1"/>
    <xf numFmtId="0" fontId="7" fillId="0" borderId="2" xfId="0" applyFont="1" applyBorder="1" applyAlignment="1">
      <alignment horizontal="left" vertical="center"/>
    </xf>
    <xf numFmtId="0" fontId="7" fillId="0" borderId="2" xfId="0" applyFont="1" applyBorder="1" applyAlignment="1">
      <alignment horizontal="center" vertical="center"/>
    </xf>
    <xf numFmtId="9" fontId="7" fillId="0" borderId="2" xfId="3" applyFont="1" applyBorder="1" applyAlignment="1">
      <alignment horizontal="right" vertical="center"/>
    </xf>
    <xf numFmtId="167" fontId="7" fillId="0" borderId="2" xfId="3" applyNumberFormat="1" applyFont="1" applyBorder="1" applyAlignment="1">
      <alignment horizontal="right" vertical="center"/>
    </xf>
    <xf numFmtId="0" fontId="3" fillId="0" borderId="0" xfId="0" applyFont="1" applyAlignment="1">
      <alignment wrapText="1"/>
    </xf>
    <xf numFmtId="0" fontId="2" fillId="2" borderId="2" xfId="0" applyFont="1" applyFill="1" applyBorder="1"/>
    <xf numFmtId="0" fontId="2" fillId="0" borderId="2" xfId="0" applyFont="1" applyBorder="1"/>
    <xf numFmtId="0" fontId="3" fillId="0" borderId="4" xfId="0" applyFont="1" applyBorder="1" applyAlignment="1">
      <alignment horizontal="center" wrapText="1"/>
    </xf>
    <xf numFmtId="0" fontId="6" fillId="0" borderId="0" xfId="0" applyFont="1" applyFill="1" applyBorder="1" applyAlignment="1">
      <alignment horizontal="left" vertical="center"/>
    </xf>
    <xf numFmtId="168" fontId="2" fillId="0" borderId="2" xfId="1" applyNumberFormat="1" applyFont="1" applyFill="1" applyBorder="1"/>
    <xf numFmtId="168" fontId="2" fillId="0" borderId="8" xfId="1" applyNumberFormat="1" applyFont="1" applyBorder="1"/>
    <xf numFmtId="168" fontId="2" fillId="0" borderId="2" xfId="1" applyNumberFormat="1" applyFont="1" applyBorder="1"/>
    <xf numFmtId="0" fontId="3" fillId="0" borderId="2" xfId="0" applyFont="1" applyBorder="1" applyAlignment="1">
      <alignment wrapText="1"/>
    </xf>
    <xf numFmtId="169" fontId="2" fillId="0" borderId="2" xfId="0" applyNumberFormat="1" applyFont="1" applyBorder="1" applyAlignment="1">
      <alignment wrapText="1"/>
    </xf>
    <xf numFmtId="169" fontId="2" fillId="0" borderId="2" xfId="0" applyNumberFormat="1" applyFont="1" applyBorder="1"/>
    <xf numFmtId="0" fontId="6" fillId="0" borderId="0" xfId="0" applyFont="1" applyBorder="1" applyAlignment="1">
      <alignment vertical="center"/>
    </xf>
    <xf numFmtId="0" fontId="6" fillId="2" borderId="2" xfId="0" applyFont="1" applyFill="1" applyBorder="1" applyAlignment="1">
      <alignment horizontal="left" vertical="center"/>
    </xf>
    <xf numFmtId="0" fontId="6" fillId="2" borderId="2" xfId="0" applyFont="1" applyFill="1" applyBorder="1" applyAlignment="1">
      <alignment horizontal="center" vertical="center"/>
    </xf>
    <xf numFmtId="165" fontId="2" fillId="0" borderId="0" xfId="1" applyFont="1"/>
    <xf numFmtId="0" fontId="3" fillId="0" borderId="13" xfId="0" applyFont="1" applyBorder="1" applyAlignment="1">
      <alignment horizontal="center" wrapText="1"/>
    </xf>
    <xf numFmtId="0" fontId="2" fillId="0" borderId="3" xfId="0" applyFont="1" applyBorder="1"/>
    <xf numFmtId="169" fontId="2" fillId="0" borderId="3" xfId="0" applyNumberFormat="1" applyFont="1" applyBorder="1"/>
    <xf numFmtId="0" fontId="2" fillId="0" borderId="0" xfId="0" applyFont="1" applyBorder="1"/>
    <xf numFmtId="169" fontId="2" fillId="0" borderId="0" xfId="0" applyNumberFormat="1" applyFont="1" applyBorder="1"/>
    <xf numFmtId="0" fontId="2" fillId="0" borderId="10" xfId="0" applyFont="1" applyBorder="1"/>
    <xf numFmtId="169" fontId="2" fillId="0" borderId="10" xfId="0" applyNumberFormat="1" applyFont="1" applyBorder="1"/>
    <xf numFmtId="0" fontId="3" fillId="0" borderId="0" xfId="0" applyFont="1" applyFill="1" applyBorder="1" applyAlignment="1"/>
    <xf numFmtId="9" fontId="2" fillId="0" borderId="0" xfId="4" applyFont="1" applyBorder="1"/>
    <xf numFmtId="0" fontId="2" fillId="0" borderId="0" xfId="0" applyFont="1" applyFill="1"/>
    <xf numFmtId="0" fontId="3" fillId="0" borderId="0" xfId="0" applyFont="1" applyFill="1" applyBorder="1" applyAlignment="1">
      <alignment wrapText="1"/>
    </xf>
    <xf numFmtId="0" fontId="3" fillId="0" borderId="16" xfId="0" applyFont="1" applyBorder="1"/>
    <xf numFmtId="168" fontId="3" fillId="0" borderId="16" xfId="1" applyNumberFormat="1" applyFont="1" applyBorder="1"/>
    <xf numFmtId="168" fontId="3" fillId="0" borderId="17" xfId="1" applyNumberFormat="1" applyFont="1" applyBorder="1"/>
    <xf numFmtId="0" fontId="10" fillId="0" borderId="0" xfId="0" applyFont="1"/>
    <xf numFmtId="0" fontId="10" fillId="0" borderId="0" xfId="0" applyFont="1" applyAlignment="1">
      <alignment wrapText="1"/>
    </xf>
    <xf numFmtId="0" fontId="10" fillId="0" borderId="0" xfId="0" applyFont="1" applyAlignment="1">
      <alignment vertical="top"/>
    </xf>
    <xf numFmtId="0" fontId="9" fillId="0" borderId="0" xfId="0" applyFont="1" applyAlignment="1">
      <alignment vertical="top"/>
    </xf>
    <xf numFmtId="0" fontId="11" fillId="0" borderId="0" xfId="0" applyFont="1" applyAlignment="1">
      <alignment vertical="top"/>
    </xf>
    <xf numFmtId="0" fontId="10" fillId="0" borderId="0" xfId="0" applyFont="1" applyFill="1" applyAlignment="1"/>
    <xf numFmtId="0" fontId="2" fillId="2" borderId="2" xfId="0" applyFont="1" applyFill="1" applyBorder="1" applyAlignment="1">
      <alignment wrapText="1"/>
    </xf>
    <xf numFmtId="0" fontId="8" fillId="0" borderId="0" xfId="0" applyFont="1"/>
    <xf numFmtId="0" fontId="6" fillId="0" borderId="2" xfId="0" applyFont="1" applyBorder="1" applyAlignment="1">
      <alignment horizontal="center" wrapText="1"/>
    </xf>
    <xf numFmtId="0" fontId="7" fillId="0" borderId="2" xfId="0" applyFont="1" applyFill="1" applyBorder="1" applyAlignment="1">
      <alignment wrapText="1"/>
    </xf>
    <xf numFmtId="0" fontId="3" fillId="0" borderId="18" xfId="0" applyFont="1" applyBorder="1" applyAlignment="1">
      <alignment wrapText="1"/>
    </xf>
    <xf numFmtId="170" fontId="2" fillId="0" borderId="2" xfId="5" applyNumberFormat="1" applyFont="1" applyFill="1" applyBorder="1"/>
    <xf numFmtId="0" fontId="2" fillId="3" borderId="2" xfId="0" applyFont="1" applyFill="1" applyBorder="1"/>
    <xf numFmtId="0" fontId="2" fillId="0" borderId="0" xfId="0" applyFont="1" applyFill="1" applyBorder="1" applyAlignment="1">
      <alignment wrapText="1"/>
    </xf>
    <xf numFmtId="0" fontId="2" fillId="0" borderId="2" xfId="0" applyFont="1" applyBorder="1" applyAlignment="1">
      <alignment horizontal="right"/>
    </xf>
    <xf numFmtId="0" fontId="6" fillId="3" borderId="2" xfId="0" applyFont="1" applyFill="1" applyBorder="1" applyAlignment="1">
      <alignment horizontal="left" vertical="center"/>
    </xf>
    <xf numFmtId="165" fontId="2" fillId="0" borderId="0" xfId="1" applyFont="1" applyBorder="1"/>
    <xf numFmtId="165" fontId="12" fillId="0" borderId="0" xfId="1" applyFont="1" applyBorder="1"/>
    <xf numFmtId="9" fontId="12" fillId="0" borderId="0" xfId="4" applyFont="1" applyBorder="1"/>
    <xf numFmtId="167" fontId="2" fillId="0" borderId="24" xfId="4" applyNumberFormat="1" applyFont="1" applyBorder="1"/>
    <xf numFmtId="0" fontId="6" fillId="0" borderId="12" xfId="0" applyFont="1" applyBorder="1" applyAlignment="1">
      <alignment horizontal="center" wrapText="1"/>
    </xf>
    <xf numFmtId="0" fontId="6" fillId="0" borderId="21" xfId="0" applyFont="1" applyBorder="1" applyAlignment="1">
      <alignment horizontal="center" wrapText="1"/>
    </xf>
    <xf numFmtId="0" fontId="6" fillId="0" borderId="5" xfId="0" applyFont="1" applyBorder="1" applyAlignment="1">
      <alignment horizontal="center" wrapText="1"/>
    </xf>
    <xf numFmtId="0" fontId="6" fillId="0" borderId="5" xfId="0" quotePrefix="1" applyFont="1" applyBorder="1" applyAlignment="1">
      <alignment horizontal="center" wrapText="1"/>
    </xf>
    <xf numFmtId="0" fontId="6" fillId="0" borderId="6" xfId="0" quotePrefix="1" applyFont="1" applyBorder="1" applyAlignment="1">
      <alignment horizontal="center" wrapText="1"/>
    </xf>
    <xf numFmtId="0" fontId="6" fillId="0" borderId="13" xfId="0" applyFont="1" applyBorder="1" applyAlignment="1">
      <alignment horizontal="center" wrapText="1"/>
    </xf>
    <xf numFmtId="0" fontId="6" fillId="0" borderId="14" xfId="0" applyFont="1" applyBorder="1" applyAlignment="1">
      <alignment horizontal="center" wrapText="1"/>
    </xf>
    <xf numFmtId="0" fontId="7" fillId="0" borderId="0" xfId="0" applyFont="1" applyAlignment="1">
      <alignment horizontal="right"/>
    </xf>
    <xf numFmtId="0" fontId="7" fillId="0" borderId="2" xfId="0" applyFont="1" applyFill="1" applyBorder="1" applyAlignment="1">
      <alignment horizontal="right"/>
    </xf>
    <xf numFmtId="0" fontId="6" fillId="0" borderId="0" xfId="0" applyFont="1"/>
    <xf numFmtId="0" fontId="6" fillId="0" borderId="0" xfId="0" applyFont="1" applyAlignment="1">
      <alignment wrapText="1"/>
    </xf>
    <xf numFmtId="9" fontId="6" fillId="0" borderId="2" xfId="4" applyFont="1" applyBorder="1" applyAlignment="1">
      <alignment horizontal="center" wrapText="1"/>
    </xf>
    <xf numFmtId="0" fontId="3" fillId="0" borderId="2" xfId="0" applyFont="1" applyBorder="1" applyAlignment="1">
      <alignment horizontal="center" wrapText="1"/>
    </xf>
    <xf numFmtId="165" fontId="6" fillId="0" borderId="13" xfId="1" applyFont="1" applyBorder="1"/>
    <xf numFmtId="165" fontId="6" fillId="0" borderId="13" xfId="1" applyFont="1" applyBorder="1" applyAlignment="1">
      <alignment horizontal="center"/>
    </xf>
    <xf numFmtId="0" fontId="7" fillId="0" borderId="0" xfId="0" applyFont="1" applyFill="1"/>
    <xf numFmtId="0" fontId="7" fillId="0" borderId="22" xfId="0" applyFont="1" applyFill="1" applyBorder="1" applyAlignment="1"/>
    <xf numFmtId="0" fontId="6" fillId="0" borderId="20" xfId="0" applyFont="1" applyFill="1" applyBorder="1" applyAlignment="1">
      <alignment horizontal="center" wrapText="1"/>
    </xf>
    <xf numFmtId="0" fontId="6" fillId="0" borderId="19" xfId="0" applyFont="1" applyFill="1" applyBorder="1" applyAlignment="1">
      <alignment horizontal="center" wrapText="1"/>
    </xf>
    <xf numFmtId="0" fontId="10" fillId="0" borderId="0" xfId="0" applyFont="1" applyAlignment="1">
      <alignment horizontal="center"/>
    </xf>
    <xf numFmtId="0" fontId="10" fillId="0" borderId="0" xfId="0" applyFont="1" applyAlignment="1"/>
    <xf numFmtId="0" fontId="5" fillId="0" borderId="0" xfId="0" applyFont="1" applyAlignment="1">
      <alignment horizontal="center"/>
    </xf>
    <xf numFmtId="0" fontId="5" fillId="0" borderId="0" xfId="0" applyFont="1" applyAlignment="1">
      <alignment horizontal="left"/>
    </xf>
    <xf numFmtId="0" fontId="10" fillId="0" borderId="0" xfId="0" applyFont="1" applyAlignment="1">
      <alignment horizontal="right"/>
    </xf>
    <xf numFmtId="0" fontId="15" fillId="0" borderId="0" xfId="0" applyFont="1" applyAlignment="1"/>
    <xf numFmtId="0" fontId="14" fillId="0" borderId="0" xfId="0" applyFont="1" applyAlignment="1">
      <alignment horizontal="left"/>
    </xf>
    <xf numFmtId="0" fontId="15" fillId="0" borderId="0" xfId="0" applyFont="1" applyAlignment="1">
      <alignment vertical="top" wrapText="1"/>
    </xf>
    <xf numFmtId="0" fontId="15" fillId="0" borderId="0" xfId="0" applyFont="1" applyAlignment="1">
      <alignment vertical="top"/>
    </xf>
    <xf numFmtId="0" fontId="10" fillId="0" borderId="0" xfId="0" applyFont="1" applyAlignment="1">
      <alignment horizontal="right" vertical="top" wrapText="1"/>
    </xf>
    <xf numFmtId="0" fontId="10" fillId="0" borderId="0" xfId="0" applyFont="1" applyAlignment="1">
      <alignment horizontal="right" vertical="top"/>
    </xf>
    <xf numFmtId="0" fontId="3" fillId="2" borderId="3" xfId="0" applyFont="1" applyFill="1" applyBorder="1" applyAlignment="1">
      <alignment horizontal="center"/>
    </xf>
    <xf numFmtId="170" fontId="3" fillId="0" borderId="16" xfId="5" applyNumberFormat="1" applyFont="1" applyBorder="1"/>
    <xf numFmtId="168" fontId="2" fillId="2" borderId="2" xfId="1" applyNumberFormat="1" applyFont="1" applyFill="1" applyBorder="1"/>
    <xf numFmtId="168" fontId="2" fillId="0" borderId="0" xfId="1" applyNumberFormat="1" applyFont="1"/>
    <xf numFmtId="168" fontId="2" fillId="0" borderId="10" xfId="1" applyNumberFormat="1" applyFont="1" applyBorder="1"/>
    <xf numFmtId="0" fontId="3" fillId="0" borderId="2" xfId="0" applyFont="1" applyFill="1" applyBorder="1" applyAlignment="1">
      <alignment horizontal="center" wrapText="1"/>
    </xf>
    <xf numFmtId="0" fontId="12" fillId="0" borderId="0" xfId="0" applyFont="1"/>
    <xf numFmtId="167" fontId="7" fillId="0" borderId="2" xfId="4" applyNumberFormat="1" applyFont="1" applyFill="1" applyBorder="1"/>
    <xf numFmtId="167" fontId="7" fillId="0" borderId="16" xfId="4" applyNumberFormat="1" applyFont="1" applyFill="1" applyBorder="1"/>
    <xf numFmtId="168" fontId="7" fillId="2" borderId="2" xfId="1" applyNumberFormat="1" applyFont="1" applyFill="1" applyBorder="1" applyAlignment="1">
      <alignment wrapText="1"/>
    </xf>
    <xf numFmtId="168" fontId="7" fillId="2" borderId="2" xfId="1" applyNumberFormat="1" applyFont="1" applyFill="1" applyBorder="1"/>
    <xf numFmtId="168" fontId="7" fillId="0" borderId="2" xfId="1" applyNumberFormat="1" applyFont="1" applyFill="1" applyBorder="1"/>
    <xf numFmtId="168" fontId="7" fillId="2" borderId="16" xfId="1" applyNumberFormat="1" applyFont="1" applyFill="1" applyBorder="1"/>
    <xf numFmtId="169" fontId="2" fillId="2" borderId="2" xfId="0" applyNumberFormat="1" applyFont="1" applyFill="1" applyBorder="1"/>
    <xf numFmtId="0" fontId="2" fillId="2" borderId="2" xfId="0" applyFont="1" applyFill="1" applyBorder="1" applyAlignment="1">
      <alignment horizontal="center"/>
    </xf>
    <xf numFmtId="0" fontId="2" fillId="2" borderId="9" xfId="0" applyFont="1" applyFill="1" applyBorder="1" applyAlignment="1">
      <alignment horizontal="center"/>
    </xf>
    <xf numFmtId="166" fontId="2" fillId="0" borderId="0" xfId="5" applyFont="1"/>
    <xf numFmtId="170" fontId="7" fillId="0" borderId="16" xfId="5" applyNumberFormat="1" applyFont="1" applyFill="1" applyBorder="1" applyAlignment="1">
      <alignment vertical="center"/>
    </xf>
    <xf numFmtId="170" fontId="2" fillId="0" borderId="0" xfId="0" applyNumberFormat="1" applyFont="1" applyFill="1"/>
    <xf numFmtId="168" fontId="2" fillId="0" borderId="0" xfId="0" applyNumberFormat="1" applyFont="1"/>
    <xf numFmtId="168" fontId="7" fillId="0" borderId="0" xfId="0" applyNumberFormat="1" applyFont="1" applyFill="1"/>
    <xf numFmtId="165" fontId="2" fillId="0" borderId="0" xfId="0" applyNumberFormat="1" applyFont="1"/>
    <xf numFmtId="168" fontId="7" fillId="0" borderId="0" xfId="0" applyNumberFormat="1" applyFont="1" applyFill="1" applyBorder="1"/>
    <xf numFmtId="168" fontId="2" fillId="0" borderId="0" xfId="1" applyNumberFormat="1" applyFont="1" applyFill="1"/>
    <xf numFmtId="0" fontId="6" fillId="0" borderId="15" xfId="0" applyFont="1" applyBorder="1" applyAlignment="1">
      <alignment wrapText="1"/>
    </xf>
    <xf numFmtId="0" fontId="7" fillId="4" borderId="2" xfId="0" applyFont="1" applyFill="1" applyBorder="1" applyAlignment="1">
      <alignment wrapText="1"/>
    </xf>
    <xf numFmtId="168" fontId="6" fillId="0" borderId="13" xfId="1" applyNumberFormat="1" applyFont="1" applyBorder="1"/>
    <xf numFmtId="168" fontId="7" fillId="4" borderId="2" xfId="1" applyNumberFormat="1" applyFont="1" applyFill="1" applyBorder="1"/>
    <xf numFmtId="168" fontId="6" fillId="4" borderId="13" xfId="1" applyNumberFormat="1" applyFont="1" applyFill="1" applyBorder="1"/>
    <xf numFmtId="0" fontId="10" fillId="0" borderId="0" xfId="0" applyFont="1" applyAlignment="1">
      <alignment horizontal="left" wrapText="1"/>
    </xf>
    <xf numFmtId="0" fontId="10" fillId="0" borderId="0" xfId="0" applyFont="1" applyAlignment="1">
      <alignment horizontal="left"/>
    </xf>
    <xf numFmtId="0" fontId="10" fillId="0" borderId="0" xfId="0" applyFont="1" applyAlignment="1">
      <alignment horizontal="left" vertical="center"/>
    </xf>
    <xf numFmtId="0" fontId="14" fillId="0" borderId="0" xfId="0" applyFont="1" applyAlignment="1">
      <alignment horizontal="left" vertical="top"/>
    </xf>
    <xf numFmtId="0" fontId="11" fillId="0" borderId="0" xfId="0" applyFont="1" applyAlignment="1">
      <alignment horizontal="right"/>
    </xf>
    <xf numFmtId="3" fontId="7" fillId="2" borderId="2" xfId="0" applyNumberFormat="1" applyFont="1" applyFill="1" applyBorder="1" applyAlignment="1">
      <alignment horizontal="center" vertical="center"/>
    </xf>
    <xf numFmtId="3" fontId="2" fillId="2" borderId="1" xfId="0" applyNumberFormat="1" applyFont="1" applyFill="1" applyBorder="1"/>
    <xf numFmtId="3" fontId="2" fillId="2" borderId="2" xfId="0" applyNumberFormat="1" applyFont="1" applyFill="1" applyBorder="1"/>
    <xf numFmtId="3" fontId="2" fillId="2" borderId="3" xfId="0" applyNumberFormat="1" applyFont="1" applyFill="1" applyBorder="1"/>
    <xf numFmtId="3" fontId="2" fillId="2" borderId="11" xfId="0" applyNumberFormat="1" applyFont="1" applyFill="1" applyBorder="1"/>
    <xf numFmtId="165" fontId="0" fillId="0" borderId="0" xfId="0" applyNumberFormat="1"/>
    <xf numFmtId="164" fontId="0" fillId="0" borderId="0" xfId="0" applyNumberFormat="1"/>
    <xf numFmtId="0" fontId="16" fillId="0" borderId="0" xfId="0" applyFont="1"/>
    <xf numFmtId="164" fontId="16" fillId="0" borderId="0" xfId="0" applyNumberFormat="1" applyFont="1"/>
    <xf numFmtId="0" fontId="17" fillId="0" borderId="0" xfId="2" applyFont="1" applyAlignment="1">
      <alignment vertical="center"/>
    </xf>
    <xf numFmtId="0" fontId="18" fillId="0" borderId="0" xfId="2" applyFont="1" applyAlignment="1">
      <alignment vertical="center" wrapText="1"/>
    </xf>
    <xf numFmtId="171" fontId="19" fillId="0" borderId="0" xfId="2" applyNumberFormat="1" applyFont="1" applyFill="1" applyBorder="1" applyAlignment="1">
      <alignment vertical="center" wrapText="1"/>
    </xf>
    <xf numFmtId="171" fontId="19" fillId="0" borderId="0" xfId="2" applyNumberFormat="1" applyFont="1" applyFill="1" applyBorder="1" applyAlignment="1">
      <alignment horizontal="center" vertical="center" wrapText="1"/>
    </xf>
    <xf numFmtId="171" fontId="19" fillId="0" borderId="0" xfId="2" applyNumberFormat="1" applyFont="1" applyFill="1" applyBorder="1" applyAlignment="1">
      <alignment horizontal="right" vertical="center" wrapText="1"/>
    </xf>
    <xf numFmtId="0" fontId="20" fillId="0" borderId="0" xfId="2" applyFont="1" applyBorder="1" applyAlignment="1">
      <alignment vertical="center" wrapText="1"/>
    </xf>
    <xf numFmtId="0" fontId="5" fillId="0" borderId="0" xfId="2" applyBorder="1" applyAlignment="1">
      <alignment vertical="center" wrapText="1"/>
    </xf>
    <xf numFmtId="4" fontId="17" fillId="0" borderId="0" xfId="2" applyNumberFormat="1" applyFont="1" applyAlignment="1">
      <alignment vertical="center"/>
    </xf>
    <xf numFmtId="172" fontId="0" fillId="0" borderId="0" xfId="0" applyNumberFormat="1" applyFont="1"/>
    <xf numFmtId="164" fontId="0" fillId="0" borderId="0" xfId="0" applyNumberFormat="1" applyFont="1"/>
    <xf numFmtId="164" fontId="16" fillId="0" borderId="0" xfId="0" applyNumberFormat="1" applyFont="1" applyBorder="1"/>
    <xf numFmtId="0" fontId="5" fillId="0" borderId="0" xfId="2" applyBorder="1" applyAlignment="1">
      <alignment vertical="center"/>
    </xf>
    <xf numFmtId="0" fontId="17" fillId="0" borderId="24" xfId="2" applyFont="1" applyBorder="1" applyAlignment="1">
      <alignment vertical="center"/>
    </xf>
    <xf numFmtId="4" fontId="17" fillId="0" borderId="24" xfId="2" applyNumberFormat="1" applyFont="1" applyBorder="1" applyAlignment="1">
      <alignment vertical="center"/>
    </xf>
    <xf numFmtId="172" fontId="0" fillId="0" borderId="24" xfId="0" applyNumberFormat="1" applyFont="1" applyBorder="1"/>
    <xf numFmtId="164" fontId="0" fillId="0" borderId="24" xfId="0" applyNumberFormat="1" applyFont="1" applyBorder="1"/>
    <xf numFmtId="164" fontId="0" fillId="0" borderId="0" xfId="0" applyNumberFormat="1" applyFont="1" applyBorder="1"/>
    <xf numFmtId="0" fontId="5" fillId="0" borderId="0" xfId="2" applyAlignment="1">
      <alignment vertical="center"/>
    </xf>
    <xf numFmtId="173" fontId="17" fillId="0" borderId="0" xfId="2" applyNumberFormat="1" applyFont="1" applyFill="1" applyBorder="1" applyAlignment="1">
      <alignment vertical="center"/>
    </xf>
    <xf numFmtId="0" fontId="0" fillId="0" borderId="0" xfId="0" applyBorder="1"/>
    <xf numFmtId="171" fontId="19" fillId="0" borderId="0" xfId="2" applyNumberFormat="1" applyFont="1" applyFill="1" applyBorder="1" applyAlignment="1">
      <alignment horizontal="right" vertical="center"/>
    </xf>
    <xf numFmtId="0" fontId="17" fillId="0" borderId="0" xfId="2" applyFont="1" applyBorder="1" applyAlignment="1">
      <alignment vertical="center"/>
    </xf>
    <xf numFmtId="165" fontId="17" fillId="0" borderId="0" xfId="1" applyFont="1" applyFill="1" applyBorder="1" applyAlignment="1">
      <alignment vertical="center"/>
    </xf>
    <xf numFmtId="164" fontId="5" fillId="0" borderId="0" xfId="2" applyNumberFormat="1" applyAlignment="1">
      <alignment vertical="center"/>
    </xf>
    <xf numFmtId="164" fontId="5" fillId="0" borderId="0" xfId="2" applyNumberFormat="1" applyBorder="1" applyAlignment="1">
      <alignment vertical="center"/>
    </xf>
    <xf numFmtId="164" fontId="19" fillId="0" borderId="0" xfId="1" applyNumberFormat="1" applyFont="1" applyFill="1" applyBorder="1" applyAlignment="1">
      <alignment vertical="center"/>
    </xf>
    <xf numFmtId="0" fontId="20" fillId="0" borderId="0" xfId="2" applyFont="1" applyAlignment="1">
      <alignment horizontal="center" vertical="center"/>
    </xf>
    <xf numFmtId="0" fontId="5" fillId="0" borderId="0" xfId="2" applyFill="1" applyAlignment="1">
      <alignment vertical="center"/>
    </xf>
    <xf numFmtId="40" fontId="5" fillId="0" borderId="0" xfId="2" applyNumberFormat="1" applyAlignment="1">
      <alignment vertical="center"/>
    </xf>
    <xf numFmtId="0" fontId="23" fillId="2" borderId="25" xfId="0" applyFont="1" applyFill="1" applyBorder="1" applyAlignment="1">
      <alignment horizontal="center" vertical="center"/>
    </xf>
    <xf numFmtId="0" fontId="23" fillId="2" borderId="0" xfId="0" applyFont="1" applyFill="1" applyBorder="1" applyAlignment="1">
      <alignment horizontal="center" vertical="center"/>
    </xf>
    <xf numFmtId="0" fontId="17" fillId="0" borderId="0" xfId="0" applyFont="1"/>
    <xf numFmtId="0" fontId="17" fillId="0" borderId="0" xfId="0" applyFont="1" applyFill="1"/>
    <xf numFmtId="0" fontId="17" fillId="0" borderId="26" xfId="0" applyFont="1" applyBorder="1" applyAlignment="1">
      <alignment horizontal="centerContinuous" vertical="center"/>
    </xf>
    <xf numFmtId="0" fontId="17" fillId="0" borderId="27" xfId="0" applyFont="1" applyBorder="1" applyAlignment="1">
      <alignment horizontal="centerContinuous" vertical="center"/>
    </xf>
    <xf numFmtId="0" fontId="24" fillId="0" borderId="23" xfId="0" applyFont="1" applyBorder="1" applyAlignment="1">
      <alignment horizontal="centerContinuous"/>
    </xf>
    <xf numFmtId="0" fontId="17" fillId="0" borderId="23" xfId="0" applyFont="1" applyBorder="1" applyAlignment="1">
      <alignment horizontal="centerContinuous"/>
    </xf>
    <xf numFmtId="0" fontId="17" fillId="0" borderId="1" xfId="0" applyFont="1" applyBorder="1" applyAlignment="1">
      <alignment horizontal="centerContinuous"/>
    </xf>
    <xf numFmtId="0" fontId="17" fillId="0" borderId="2" xfId="0" applyFont="1" applyBorder="1" applyAlignment="1">
      <alignment horizontal="centerContinuous" vertical="center"/>
    </xf>
    <xf numFmtId="0" fontId="24" fillId="0" borderId="2" xfId="0" applyFont="1" applyBorder="1" applyAlignment="1">
      <alignment horizontal="centerContinuous"/>
    </xf>
    <xf numFmtId="0" fontId="17" fillId="0" borderId="2" xfId="2" applyFont="1" applyBorder="1" applyAlignment="1">
      <alignment horizontal="centerContinuous" vertical="center"/>
    </xf>
    <xf numFmtId="171" fontId="17" fillId="2" borderId="1" xfId="0" applyNumberFormat="1" applyFont="1" applyFill="1" applyBorder="1" applyAlignment="1">
      <alignment vertical="center"/>
    </xf>
    <xf numFmtId="0" fontId="17" fillId="0" borderId="2" xfId="0" applyFont="1" applyBorder="1" applyAlignment="1">
      <alignment horizontal="center" vertical="center"/>
    </xf>
    <xf numFmtId="9" fontId="17" fillId="0" borderId="2" xfId="3" applyFont="1" applyBorder="1" applyAlignment="1">
      <alignment horizontal="right" vertical="center"/>
    </xf>
    <xf numFmtId="167" fontId="17" fillId="0" borderId="2" xfId="3" applyNumberFormat="1" applyFont="1" applyBorder="1" applyAlignment="1">
      <alignment horizontal="right" vertical="center"/>
    </xf>
    <xf numFmtId="171" fontId="17" fillId="0" borderId="1" xfId="0" applyNumberFormat="1" applyFont="1" applyBorder="1" applyAlignment="1">
      <alignment vertical="center"/>
    </xf>
    <xf numFmtId="0" fontId="17" fillId="0" borderId="3" xfId="0" applyFont="1" applyBorder="1" applyAlignment="1">
      <alignment horizontal="centerContinuous" vertical="center"/>
    </xf>
    <xf numFmtId="0" fontId="24" fillId="0" borderId="3" xfId="0" applyFont="1" applyBorder="1" applyAlignment="1">
      <alignment horizontal="centerContinuous" vertical="center"/>
    </xf>
    <xf numFmtId="0" fontId="17" fillId="0" borderId="3" xfId="2" applyFont="1" applyBorder="1" applyAlignment="1">
      <alignment horizontal="centerContinuous" vertical="center"/>
    </xf>
    <xf numFmtId="171" fontId="17" fillId="2" borderId="11" xfId="0" applyNumberFormat="1" applyFont="1" applyFill="1" applyBorder="1" applyAlignment="1">
      <alignment vertical="center"/>
    </xf>
    <xf numFmtId="0" fontId="17" fillId="0" borderId="3" xfId="0" applyFont="1" applyBorder="1" applyAlignment="1">
      <alignment horizontal="center" vertical="center"/>
    </xf>
    <xf numFmtId="167" fontId="17" fillId="0" borderId="3" xfId="3" applyNumberFormat="1" applyFont="1" applyBorder="1" applyAlignment="1">
      <alignment horizontal="right" vertical="center"/>
    </xf>
    <xf numFmtId="0" fontId="17" fillId="0" borderId="18" xfId="0" applyFont="1" applyBorder="1" applyAlignment="1">
      <alignment horizontal="centerContinuous" vertical="center"/>
    </xf>
    <xf numFmtId="0" fontId="17" fillId="0" borderId="19" xfId="0" applyFont="1" applyBorder="1" applyAlignment="1">
      <alignment horizontal="centerContinuous" vertical="center"/>
    </xf>
    <xf numFmtId="0" fontId="24" fillId="0" borderId="19" xfId="0" applyFont="1" applyBorder="1" applyAlignment="1">
      <alignment horizontal="centerContinuous" vertical="center"/>
    </xf>
    <xf numFmtId="0" fontId="17" fillId="0" borderId="28" xfId="2" applyFont="1" applyBorder="1" applyAlignment="1">
      <alignment horizontal="centerContinuous" vertical="center"/>
    </xf>
    <xf numFmtId="171" fontId="17" fillId="0" borderId="28" xfId="0" applyNumberFormat="1" applyFont="1" applyFill="1" applyBorder="1" applyAlignment="1">
      <alignment vertical="center"/>
    </xf>
    <xf numFmtId="0" fontId="17" fillId="0" borderId="25" xfId="0" applyFont="1" applyBorder="1" applyAlignment="1">
      <alignment horizontal="center" vertical="center"/>
    </xf>
    <xf numFmtId="167" fontId="17" fillId="0" borderId="25" xfId="3" applyNumberFormat="1" applyFont="1" applyFill="1" applyBorder="1" applyAlignment="1">
      <alignment horizontal="right" vertical="center"/>
    </xf>
    <xf numFmtId="0" fontId="17" fillId="0" borderId="0" xfId="0" applyFont="1" applyBorder="1" applyAlignment="1">
      <alignment horizontal="centerContinuous" vertical="center"/>
    </xf>
    <xf numFmtId="171" fontId="17" fillId="0" borderId="0" xfId="0" applyNumberFormat="1" applyFont="1" applyFill="1" applyBorder="1" applyAlignment="1">
      <alignment horizontal="centerContinuous" vertical="center"/>
    </xf>
    <xf numFmtId="171" fontId="17" fillId="0" borderId="0" xfId="2" applyNumberFormat="1" applyFont="1" applyAlignment="1">
      <alignment vertical="center"/>
    </xf>
    <xf numFmtId="166" fontId="17" fillId="0" borderId="0" xfId="2" applyNumberFormat="1" applyFont="1" applyAlignment="1">
      <alignment vertical="center"/>
    </xf>
    <xf numFmtId="0" fontId="17" fillId="0" borderId="0" xfId="2" applyFont="1" applyFill="1" applyAlignment="1">
      <alignment vertical="center"/>
    </xf>
    <xf numFmtId="0" fontId="17" fillId="0" borderId="9" xfId="2" applyFont="1" applyBorder="1" applyAlignment="1">
      <alignment horizontal="centerContinuous" vertical="center"/>
    </xf>
    <xf numFmtId="0" fontId="17" fillId="0" borderId="23" xfId="2" applyFont="1" applyBorder="1" applyAlignment="1">
      <alignment horizontal="centerContinuous" vertical="center"/>
    </xf>
    <xf numFmtId="0" fontId="17" fillId="0" borderId="10" xfId="2" applyFont="1" applyBorder="1" applyAlignment="1">
      <alignment horizontal="centerContinuous" vertical="center"/>
    </xf>
    <xf numFmtId="0" fontId="17" fillId="0" borderId="1" xfId="2" applyFont="1" applyBorder="1" applyAlignment="1">
      <alignment horizontal="centerContinuous" vertical="center"/>
    </xf>
    <xf numFmtId="0" fontId="17" fillId="0" borderId="0" xfId="2" applyFont="1" applyBorder="1" applyAlignment="1">
      <alignment horizontal="centerContinuous" vertical="center"/>
    </xf>
    <xf numFmtId="0" fontId="5" fillId="0" borderId="0" xfId="2" applyAlignment="1">
      <alignment vertical="center" wrapText="1"/>
    </xf>
    <xf numFmtId="0" fontId="17" fillId="0" borderId="29" xfId="2" applyFont="1" applyBorder="1" applyAlignment="1">
      <alignment horizontal="center" wrapText="1"/>
    </xf>
    <xf numFmtId="0" fontId="17" fillId="0" borderId="30" xfId="2" applyFont="1" applyBorder="1" applyAlignment="1">
      <alignment horizontal="center" wrapText="1"/>
    </xf>
    <xf numFmtId="0" fontId="17" fillId="0" borderId="3" xfId="2" applyFont="1" applyBorder="1" applyAlignment="1">
      <alignment horizontal="center" vertical="top" wrapText="1"/>
    </xf>
    <xf numFmtId="0" fontId="17" fillId="0" borderId="11" xfId="2" applyFont="1" applyBorder="1" applyAlignment="1">
      <alignment horizontal="center" wrapText="1"/>
    </xf>
    <xf numFmtId="0" fontId="17" fillId="0" borderId="3" xfId="2" applyFont="1" applyBorder="1" applyAlignment="1">
      <alignment horizontal="center" wrapText="1"/>
    </xf>
    <xf numFmtId="0" fontId="17" fillId="0" borderId="0" xfId="2" applyFont="1" applyBorder="1" applyAlignment="1">
      <alignment horizontal="center" wrapText="1"/>
    </xf>
    <xf numFmtId="0" fontId="17" fillId="0" borderId="31" xfId="2" applyFont="1" applyBorder="1" applyAlignment="1">
      <alignment horizontal="center" vertical="top" wrapText="1"/>
    </xf>
    <xf numFmtId="0" fontId="17" fillId="0" borderId="26" xfId="2" applyFont="1" applyBorder="1" applyAlignment="1">
      <alignment horizontal="center" vertical="top" wrapText="1"/>
    </xf>
    <xf numFmtId="0" fontId="17" fillId="0" borderId="32" xfId="2" applyFont="1" applyBorder="1" applyAlignment="1">
      <alignment horizontal="center" vertical="top" wrapText="1"/>
    </xf>
    <xf numFmtId="0" fontId="17" fillId="0" borderId="31" xfId="2" quotePrefix="1" applyFont="1" applyBorder="1" applyAlignment="1">
      <alignment horizontal="center" vertical="top" wrapText="1"/>
    </xf>
    <xf numFmtId="0" fontId="17" fillId="0" borderId="0" xfId="2" applyFont="1" applyBorder="1" applyAlignment="1">
      <alignment horizontal="center" vertical="top" wrapText="1"/>
    </xf>
    <xf numFmtId="40" fontId="5" fillId="0" borderId="0" xfId="2" applyNumberFormat="1" applyAlignment="1">
      <alignment vertical="center" wrapText="1"/>
    </xf>
    <xf numFmtId="0" fontId="17" fillId="0" borderId="30" xfId="2" applyFont="1" applyBorder="1" applyAlignment="1">
      <alignment horizontal="center" vertical="top"/>
    </xf>
    <xf numFmtId="0" fontId="17" fillId="0" borderId="33" xfId="2" applyFont="1" applyBorder="1" applyAlignment="1">
      <alignment horizontal="center" vertical="top"/>
    </xf>
    <xf numFmtId="0" fontId="17" fillId="0" borderId="34" xfId="2" applyFont="1" applyBorder="1" applyAlignment="1">
      <alignment horizontal="center" vertical="top"/>
    </xf>
    <xf numFmtId="0" fontId="17" fillId="0" borderId="29" xfId="2" applyFont="1" applyBorder="1" applyAlignment="1">
      <alignment horizontal="center" vertical="top"/>
    </xf>
    <xf numFmtId="0" fontId="17" fillId="0" borderId="34" xfId="2" quotePrefix="1" applyFont="1" applyBorder="1" applyAlignment="1">
      <alignment horizontal="center" vertical="top"/>
    </xf>
    <xf numFmtId="0" fontId="17" fillId="0" borderId="0" xfId="2" applyFont="1" applyBorder="1" applyAlignment="1">
      <alignment horizontal="center" vertical="top"/>
    </xf>
    <xf numFmtId="15" fontId="5" fillId="0" borderId="0" xfId="2" applyNumberFormat="1" applyAlignment="1">
      <alignment vertical="center"/>
    </xf>
    <xf numFmtId="171" fontId="25" fillId="2" borderId="3" xfId="6" applyNumberFormat="1" applyFont="1" applyFill="1" applyBorder="1" applyAlignment="1">
      <alignment vertical="center"/>
    </xf>
    <xf numFmtId="171" fontId="25" fillId="2" borderId="0" xfId="6" applyNumberFormat="1" applyFont="1" applyFill="1" applyBorder="1" applyAlignment="1">
      <alignment vertical="center"/>
    </xf>
    <xf numFmtId="171" fontId="25" fillId="2" borderId="30" xfId="6" applyNumberFormat="1" applyFont="1" applyFill="1" applyBorder="1" applyAlignment="1">
      <alignment vertical="center"/>
    </xf>
    <xf numFmtId="171" fontId="25" fillId="2" borderId="35" xfId="6" applyNumberFormat="1" applyFont="1" applyFill="1" applyBorder="1" applyAlignment="1">
      <alignment vertical="center"/>
    </xf>
    <xf numFmtId="6" fontId="25" fillId="2" borderId="3" xfId="6" applyNumberFormat="1" applyFont="1" applyFill="1" applyBorder="1" applyAlignment="1">
      <alignment vertical="center"/>
    </xf>
    <xf numFmtId="174" fontId="17" fillId="5" borderId="36" xfId="2" applyNumberFormat="1" applyFont="1" applyFill="1" applyBorder="1" applyAlignment="1">
      <alignment vertical="center"/>
    </xf>
    <xf numFmtId="174" fontId="17" fillId="5" borderId="37" xfId="2" applyNumberFormat="1" applyFont="1" applyFill="1" applyBorder="1" applyAlignment="1">
      <alignment vertical="center"/>
    </xf>
    <xf numFmtId="174" fontId="17" fillId="5" borderId="38" xfId="2" applyNumberFormat="1" applyFont="1" applyFill="1" applyBorder="1" applyAlignment="1">
      <alignment vertical="center"/>
    </xf>
    <xf numFmtId="6" fontId="25" fillId="0" borderId="29" xfId="6" applyNumberFormat="1" applyFont="1" applyBorder="1" applyAlignment="1">
      <alignment vertical="center"/>
    </xf>
    <xf numFmtId="6" fontId="25" fillId="0" borderId="37" xfId="6" applyNumberFormat="1" applyFont="1" applyBorder="1" applyAlignment="1">
      <alignment vertical="center"/>
    </xf>
    <xf numFmtId="6" fontId="25" fillId="0" borderId="0" xfId="6" applyNumberFormat="1" applyFont="1" applyBorder="1" applyAlignment="1">
      <alignment vertical="center"/>
    </xf>
    <xf numFmtId="175" fontId="25" fillId="0" borderId="0" xfId="6" applyNumberFormat="1" applyFont="1" applyBorder="1" applyAlignment="1">
      <alignment vertical="center"/>
    </xf>
    <xf numFmtId="172" fontId="5" fillId="0" borderId="0" xfId="2" applyNumberFormat="1" applyAlignment="1">
      <alignment vertical="center"/>
    </xf>
    <xf numFmtId="174" fontId="17" fillId="5" borderId="0" xfId="2" applyNumberFormat="1" applyFont="1" applyFill="1" applyBorder="1" applyAlignment="1">
      <alignment vertical="center"/>
    </xf>
    <xf numFmtId="171" fontId="25" fillId="2" borderId="29" xfId="6" applyNumberFormat="1" applyFont="1" applyFill="1" applyBorder="1" applyAlignment="1">
      <alignment vertical="center"/>
    </xf>
    <xf numFmtId="171" fontId="25" fillId="2" borderId="39" xfId="6" applyNumberFormat="1" applyFont="1" applyFill="1" applyBorder="1" applyAlignment="1">
      <alignment vertical="center"/>
    </xf>
    <xf numFmtId="6" fontId="25" fillId="2" borderId="29" xfId="6" applyNumberFormat="1" applyFont="1" applyFill="1" applyBorder="1" applyAlignment="1">
      <alignment vertical="center"/>
    </xf>
    <xf numFmtId="174" fontId="17" fillId="5" borderId="40" xfId="2" applyNumberFormat="1" applyFont="1" applyFill="1" applyBorder="1" applyAlignment="1">
      <alignment vertical="center"/>
    </xf>
    <xf numFmtId="174" fontId="17" fillId="5" borderId="29" xfId="2" applyNumberFormat="1" applyFont="1" applyFill="1" applyBorder="1" applyAlignment="1">
      <alignment vertical="center"/>
    </xf>
    <xf numFmtId="174" fontId="17" fillId="5" borderId="30" xfId="2" applyNumberFormat="1" applyFont="1" applyFill="1" applyBorder="1" applyAlignment="1">
      <alignment vertical="center"/>
    </xf>
    <xf numFmtId="6" fontId="25" fillId="5" borderId="29" xfId="6" applyNumberFormat="1" applyFont="1" applyFill="1" applyBorder="1" applyAlignment="1">
      <alignment vertical="center"/>
    </xf>
    <xf numFmtId="6" fontId="25" fillId="5" borderId="0" xfId="6" applyNumberFormat="1" applyFont="1" applyFill="1" applyBorder="1" applyAlignment="1">
      <alignment vertical="center"/>
    </xf>
    <xf numFmtId="171" fontId="25" fillId="2" borderId="31" xfId="6" applyNumberFormat="1" applyFont="1" applyFill="1" applyBorder="1" applyAlignment="1">
      <alignment vertical="center"/>
    </xf>
    <xf numFmtId="171" fontId="25" fillId="2" borderId="41" xfId="6" applyNumberFormat="1" applyFont="1" applyFill="1" applyBorder="1" applyAlignment="1">
      <alignment vertical="center"/>
    </xf>
    <xf numFmtId="171" fontId="25" fillId="2" borderId="33" xfId="6" applyNumberFormat="1" applyFont="1" applyFill="1" applyBorder="1" applyAlignment="1">
      <alignment vertical="center"/>
    </xf>
    <xf numFmtId="171" fontId="25" fillId="2" borderId="42" xfId="6" applyNumberFormat="1" applyFont="1" applyFill="1" applyBorder="1" applyAlignment="1">
      <alignment vertical="center"/>
    </xf>
    <xf numFmtId="171" fontId="25" fillId="2" borderId="22" xfId="6" applyNumberFormat="1" applyFont="1" applyFill="1" applyBorder="1" applyAlignment="1">
      <alignment vertical="center"/>
    </xf>
    <xf numFmtId="6" fontId="25" fillId="2" borderId="31" xfId="6" applyNumberFormat="1" applyFont="1" applyFill="1" applyBorder="1" applyAlignment="1">
      <alignment vertical="center"/>
    </xf>
    <xf numFmtId="174" fontId="17" fillId="5" borderId="41" xfId="2" applyNumberFormat="1" applyFont="1" applyFill="1" applyBorder="1" applyAlignment="1">
      <alignment vertical="center"/>
    </xf>
    <xf numFmtId="174" fontId="17" fillId="5" borderId="34" xfId="2" applyNumberFormat="1" applyFont="1" applyFill="1" applyBorder="1" applyAlignment="1">
      <alignment vertical="center"/>
    </xf>
    <xf numFmtId="174" fontId="17" fillId="5" borderId="33" xfId="2" applyNumberFormat="1" applyFont="1" applyFill="1" applyBorder="1" applyAlignment="1">
      <alignment vertical="center"/>
    </xf>
    <xf numFmtId="6" fontId="25" fillId="0" borderId="34" xfId="6" applyNumberFormat="1" applyFont="1" applyBorder="1" applyAlignment="1">
      <alignment vertical="center"/>
    </xf>
    <xf numFmtId="6" fontId="25" fillId="5" borderId="34" xfId="6" applyNumberFormat="1" applyFont="1" applyFill="1" applyBorder="1" applyAlignment="1">
      <alignment vertical="center"/>
    </xf>
    <xf numFmtId="6" fontId="25" fillId="0" borderId="27" xfId="6" applyNumberFormat="1" applyFont="1" applyBorder="1" applyAlignment="1">
      <alignment vertical="center"/>
    </xf>
    <xf numFmtId="171" fontId="17" fillId="0" borderId="31" xfId="2" applyNumberFormat="1" applyFont="1" applyBorder="1" applyAlignment="1">
      <alignment vertical="center"/>
    </xf>
    <xf numFmtId="174" fontId="17" fillId="5" borderId="31" xfId="2" applyNumberFormat="1" applyFont="1" applyFill="1" applyBorder="1" applyAlignment="1">
      <alignment vertical="center"/>
    </xf>
    <xf numFmtId="6" fontId="25" fillId="0" borderId="31" xfId="6" applyNumberFormat="1" applyFont="1" applyBorder="1" applyAlignment="1">
      <alignment vertical="center"/>
    </xf>
    <xf numFmtId="6" fontId="26" fillId="0" borderId="31" xfId="6" applyNumberFormat="1" applyFont="1" applyBorder="1" applyAlignment="1">
      <alignment vertical="center"/>
    </xf>
    <xf numFmtId="6" fontId="26" fillId="0" borderId="0" xfId="6" applyNumberFormat="1" applyFont="1" applyFill="1" applyBorder="1" applyAlignment="1">
      <alignment vertical="center"/>
    </xf>
    <xf numFmtId="175" fontId="5" fillId="0" borderId="0" xfId="2" applyNumberFormat="1" applyAlignment="1">
      <alignment vertical="center"/>
    </xf>
    <xf numFmtId="6" fontId="20" fillId="0" borderId="0" xfId="2" applyNumberFormat="1" applyFont="1" applyAlignment="1">
      <alignment vertical="center"/>
    </xf>
    <xf numFmtId="164" fontId="17" fillId="0" borderId="0" xfId="2" applyNumberFormat="1" applyFont="1" applyAlignment="1">
      <alignment vertical="center"/>
    </xf>
    <xf numFmtId="171" fontId="17" fillId="0" borderId="10" xfId="2" quotePrefix="1" applyNumberFormat="1" applyFont="1" applyBorder="1" applyAlignment="1">
      <alignment vertical="center"/>
    </xf>
    <xf numFmtId="171" fontId="17" fillId="0" borderId="10" xfId="2" applyNumberFormat="1" applyFont="1" applyBorder="1" applyAlignment="1">
      <alignment horizontal="right" vertical="center"/>
    </xf>
    <xf numFmtId="6" fontId="26" fillId="2" borderId="31" xfId="6" applyNumberFormat="1" applyFont="1" applyFill="1" applyBorder="1" applyAlignment="1">
      <alignment vertical="center"/>
    </xf>
    <xf numFmtId="175" fontId="26" fillId="0" borderId="31" xfId="6" applyNumberFormat="1" applyFont="1" applyBorder="1" applyAlignment="1">
      <alignment vertical="center"/>
    </xf>
    <xf numFmtId="6" fontId="26" fillId="0" borderId="0" xfId="6" applyNumberFormat="1" applyFont="1" applyBorder="1" applyAlignment="1">
      <alignment vertical="center"/>
    </xf>
    <xf numFmtId="6" fontId="5" fillId="0" borderId="0" xfId="2" applyNumberFormat="1" applyAlignment="1">
      <alignment vertical="center"/>
    </xf>
    <xf numFmtId="10" fontId="17" fillId="0" borderId="0" xfId="2" applyNumberFormat="1" applyFont="1" applyAlignment="1">
      <alignment vertical="center"/>
    </xf>
    <xf numFmtId="171" fontId="17" fillId="0" borderId="0" xfId="2" quotePrefix="1" applyNumberFormat="1" applyFont="1" applyBorder="1" applyAlignment="1">
      <alignment vertical="center"/>
    </xf>
    <xf numFmtId="171" fontId="17" fillId="0" borderId="0" xfId="2" applyNumberFormat="1" applyFont="1" applyBorder="1" applyAlignment="1">
      <alignment horizontal="right" vertical="center"/>
    </xf>
    <xf numFmtId="176" fontId="17" fillId="0" borderId="0" xfId="2" applyNumberFormat="1" applyFont="1" applyAlignment="1">
      <alignment vertical="center"/>
    </xf>
    <xf numFmtId="171" fontId="17" fillId="0" borderId="0" xfId="2" applyNumberFormat="1" applyFont="1" applyBorder="1" applyAlignment="1">
      <alignment vertical="center"/>
    </xf>
    <xf numFmtId="6" fontId="27" fillId="2" borderId="31" xfId="6" applyNumberFormat="1" applyFont="1" applyFill="1" applyBorder="1" applyAlignment="1">
      <alignment vertical="center"/>
    </xf>
    <xf numFmtId="6" fontId="27" fillId="0" borderId="0" xfId="6" applyNumberFormat="1" applyFont="1" applyFill="1" applyBorder="1" applyAlignment="1">
      <alignment vertical="center"/>
    </xf>
    <xf numFmtId="0" fontId="20" fillId="0" borderId="0" xfId="2" applyFont="1" applyAlignment="1">
      <alignment vertical="center"/>
    </xf>
    <xf numFmtId="0" fontId="16" fillId="0" borderId="0" xfId="0" applyFont="1" applyFill="1"/>
    <xf numFmtId="0" fontId="0" fillId="0" borderId="0" xfId="0" applyFill="1"/>
    <xf numFmtId="176" fontId="0" fillId="0" borderId="0" xfId="0" applyNumberFormat="1" applyFill="1" applyAlignment="1">
      <alignment wrapText="1"/>
    </xf>
    <xf numFmtId="40" fontId="0" fillId="0" borderId="0" xfId="0" applyNumberFormat="1" applyFill="1"/>
    <xf numFmtId="40" fontId="5" fillId="0" borderId="0" xfId="2" applyNumberFormat="1" applyFill="1" applyAlignment="1">
      <alignment vertical="center"/>
    </xf>
    <xf numFmtId="164" fontId="0" fillId="0" borderId="0" xfId="0" applyNumberFormat="1" applyFill="1"/>
    <xf numFmtId="40" fontId="27" fillId="0" borderId="0" xfId="6" applyNumberFormat="1" applyFont="1" applyFill="1" applyBorder="1" applyAlignment="1">
      <alignment vertical="center"/>
    </xf>
    <xf numFmtId="15" fontId="5" fillId="0" borderId="0" xfId="2" applyNumberFormat="1" applyFill="1" applyAlignment="1">
      <alignment vertical="center"/>
    </xf>
    <xf numFmtId="165" fontId="19" fillId="0" borderId="0" xfId="1" applyFont="1" applyFill="1" applyBorder="1" applyAlignment="1">
      <alignment vertical="center"/>
    </xf>
    <xf numFmtId="0" fontId="28" fillId="0" borderId="0" xfId="0" quotePrefix="1" applyFont="1" applyAlignment="1">
      <alignment vertical="center"/>
    </xf>
    <xf numFmtId="171" fontId="20" fillId="0" borderId="0" xfId="5" applyNumberFormat="1" applyFont="1" applyAlignment="1">
      <alignment vertical="center"/>
    </xf>
    <xf numFmtId="0" fontId="29" fillId="0" borderId="0" xfId="0" applyFont="1" applyAlignment="1">
      <alignment horizontal="center" vertical="center"/>
    </xf>
    <xf numFmtId="0" fontId="0" fillId="0" borderId="0" xfId="0" applyAlignment="1">
      <alignment horizontal="center"/>
    </xf>
    <xf numFmtId="0" fontId="30" fillId="6" borderId="43" xfId="0" applyFont="1" applyFill="1" applyBorder="1" applyAlignment="1">
      <alignment horizontal="center" vertical="top" wrapText="1"/>
    </xf>
    <xf numFmtId="40" fontId="0" fillId="0" borderId="0" xfId="0" applyNumberFormat="1" applyAlignment="1">
      <alignment horizontal="center"/>
    </xf>
    <xf numFmtId="0" fontId="30" fillId="0" borderId="44" xfId="0" applyFont="1" applyBorder="1" applyAlignment="1">
      <alignment horizontal="center" vertical="top" wrapText="1"/>
    </xf>
    <xf numFmtId="40" fontId="30" fillId="0" borderId="44" xfId="0" applyNumberFormat="1" applyFont="1" applyBorder="1" applyAlignment="1">
      <alignment horizontal="center" vertical="top" wrapText="1"/>
    </xf>
    <xf numFmtId="40" fontId="30" fillId="6" borderId="43" xfId="0" applyNumberFormat="1" applyFont="1" applyFill="1" applyBorder="1" applyAlignment="1">
      <alignment horizontal="center" vertical="top" wrapText="1"/>
    </xf>
    <xf numFmtId="4" fontId="30" fillId="6" borderId="43" xfId="0" applyNumberFormat="1" applyFont="1" applyFill="1" applyBorder="1" applyAlignment="1">
      <alignment horizontal="center" vertical="top" wrapText="1"/>
    </xf>
    <xf numFmtId="0" fontId="5" fillId="0" borderId="0" xfId="2"/>
    <xf numFmtId="0" fontId="5" fillId="0" borderId="0" xfId="2" applyFill="1"/>
    <xf numFmtId="40" fontId="5" fillId="0" borderId="0" xfId="2" applyNumberFormat="1"/>
    <xf numFmtId="0" fontId="31" fillId="0" borderId="2" xfId="0" applyFont="1" applyFill="1" applyBorder="1" applyAlignment="1">
      <alignment wrapText="1"/>
    </xf>
    <xf numFmtId="4" fontId="0" fillId="0" borderId="2" xfId="0" applyNumberFormat="1" applyFill="1" applyBorder="1" applyAlignment="1">
      <alignment wrapText="1"/>
    </xf>
    <xf numFmtId="177" fontId="16" fillId="0" borderId="2" xfId="0" applyNumberFormat="1" applyFont="1" applyFill="1" applyBorder="1" applyAlignment="1">
      <alignment wrapText="1"/>
    </xf>
    <xf numFmtId="177" fontId="5" fillId="0" borderId="2" xfId="0" applyNumberFormat="1" applyFont="1" applyFill="1" applyBorder="1" applyAlignment="1">
      <alignment wrapText="1"/>
    </xf>
    <xf numFmtId="176" fontId="5" fillId="0" borderId="2" xfId="0" applyNumberFormat="1" applyFont="1" applyFill="1" applyBorder="1" applyAlignment="1">
      <alignment wrapText="1"/>
    </xf>
    <xf numFmtId="176" fontId="31" fillId="0" borderId="2" xfId="0" applyNumberFormat="1" applyFont="1" applyFill="1" applyBorder="1" applyAlignment="1">
      <alignment wrapText="1"/>
    </xf>
    <xf numFmtId="0" fontId="5" fillId="0" borderId="2" xfId="0" applyFont="1" applyFill="1" applyBorder="1"/>
    <xf numFmtId="4" fontId="0" fillId="0" borderId="2" xfId="0" applyNumberFormat="1" applyFill="1" applyBorder="1"/>
    <xf numFmtId="177" fontId="32" fillId="0" borderId="2" xfId="0" applyNumberFormat="1" applyFont="1" applyFill="1" applyBorder="1" applyAlignment="1">
      <alignment wrapText="1"/>
    </xf>
    <xf numFmtId="176" fontId="0" fillId="0" borderId="2" xfId="0" applyNumberFormat="1" applyFill="1" applyBorder="1"/>
    <xf numFmtId="4" fontId="20" fillId="7" borderId="2" xfId="0" applyNumberFormat="1" applyFont="1" applyFill="1" applyBorder="1"/>
    <xf numFmtId="177" fontId="33" fillId="0" borderId="2" xfId="0" applyNumberFormat="1" applyFont="1" applyFill="1" applyBorder="1" applyAlignment="1">
      <alignment wrapText="1"/>
    </xf>
    <xf numFmtId="4" fontId="0" fillId="0" borderId="0" xfId="0" applyNumberFormat="1" applyFill="1"/>
    <xf numFmtId="177" fontId="33" fillId="0" borderId="0" xfId="0" applyNumberFormat="1" applyFont="1" applyFill="1" applyBorder="1" applyAlignment="1">
      <alignment wrapText="1"/>
    </xf>
    <xf numFmtId="176" fontId="0" fillId="0" borderId="0" xfId="0" applyNumberFormat="1" applyFill="1"/>
    <xf numFmtId="176" fontId="5" fillId="0" borderId="0" xfId="0" applyNumberFormat="1" applyFont="1" applyFill="1"/>
    <xf numFmtId="176" fontId="16" fillId="0" borderId="42" xfId="0" applyNumberFormat="1" applyFont="1" applyFill="1" applyBorder="1"/>
    <xf numFmtId="0" fontId="5" fillId="0" borderId="0" xfId="0" applyFont="1"/>
    <xf numFmtId="176" fontId="0" fillId="7" borderId="0" xfId="0" applyNumberFormat="1" applyFill="1"/>
    <xf numFmtId="0" fontId="35" fillId="0" borderId="0" xfId="0" applyFont="1"/>
    <xf numFmtId="0" fontId="36" fillId="0" borderId="2" xfId="0" applyFont="1" applyBorder="1" applyAlignment="1">
      <alignment horizontal="center" vertical="center" wrapText="1"/>
    </xf>
    <xf numFmtId="0" fontId="37" fillId="7" borderId="0" xfId="7" applyFill="1"/>
    <xf numFmtId="0" fontId="35" fillId="7" borderId="0" xfId="0" applyFont="1" applyFill="1"/>
    <xf numFmtId="17" fontId="35" fillId="0" borderId="2" xfId="0" applyNumberFormat="1" applyFont="1" applyBorder="1"/>
    <xf numFmtId="169" fontId="35" fillId="0" borderId="2" xfId="0" applyNumberFormat="1" applyFont="1" applyBorder="1"/>
    <xf numFmtId="0" fontId="36" fillId="0" borderId="2" xfId="0" applyFont="1" applyBorder="1" applyAlignment="1">
      <alignment horizontal="center" wrapText="1"/>
    </xf>
    <xf numFmtId="165" fontId="35" fillId="0" borderId="2" xfId="1" applyFont="1" applyBorder="1"/>
    <xf numFmtId="0" fontId="35" fillId="0" borderId="2" xfId="0" applyFont="1" applyBorder="1"/>
    <xf numFmtId="165" fontId="35" fillId="0" borderId="2" xfId="0" applyNumberFormat="1" applyFont="1" applyBorder="1"/>
    <xf numFmtId="164" fontId="35" fillId="0" borderId="2" xfId="0" applyNumberFormat="1" applyFont="1" applyBorder="1"/>
    <xf numFmtId="166" fontId="35" fillId="0" borderId="2" xfId="5" applyFont="1" applyBorder="1"/>
    <xf numFmtId="169" fontId="35" fillId="0" borderId="0" xfId="0" applyNumberFormat="1" applyFont="1"/>
    <xf numFmtId="165" fontId="35" fillId="0" borderId="0" xfId="0" applyNumberFormat="1" applyFont="1"/>
    <xf numFmtId="17" fontId="35" fillId="8" borderId="2" xfId="0" applyNumberFormat="1" applyFont="1" applyFill="1" applyBorder="1"/>
    <xf numFmtId="165" fontId="35" fillId="8" borderId="2" xfId="1" applyFont="1" applyFill="1" applyBorder="1"/>
    <xf numFmtId="165" fontId="35" fillId="8" borderId="2" xfId="0" applyNumberFormat="1" applyFont="1" applyFill="1" applyBorder="1"/>
    <xf numFmtId="164" fontId="35" fillId="8" borderId="2" xfId="0" applyNumberFormat="1" applyFont="1" applyFill="1" applyBorder="1"/>
    <xf numFmtId="166" fontId="35" fillId="8" borderId="2" xfId="5" applyFont="1" applyFill="1" applyBorder="1"/>
    <xf numFmtId="169" fontId="35" fillId="8" borderId="2" xfId="0" applyNumberFormat="1" applyFont="1" applyFill="1" applyBorder="1"/>
    <xf numFmtId="164" fontId="35" fillId="0" borderId="0" xfId="0" applyNumberFormat="1" applyFont="1"/>
    <xf numFmtId="0" fontId="36" fillId="2" borderId="2" xfId="0" applyFont="1" applyFill="1" applyBorder="1" applyAlignment="1">
      <alignment horizontal="center" vertical="center" wrapText="1"/>
    </xf>
    <xf numFmtId="0" fontId="36" fillId="2" borderId="2" xfId="0" applyFont="1" applyFill="1" applyBorder="1" applyAlignment="1">
      <alignment horizontal="center"/>
    </xf>
    <xf numFmtId="0" fontId="35" fillId="0" borderId="0" xfId="0" applyFont="1" applyAlignment="1">
      <alignment wrapText="1"/>
    </xf>
    <xf numFmtId="165" fontId="36" fillId="0" borderId="0" xfId="0" applyNumberFormat="1" applyFont="1"/>
    <xf numFmtId="165" fontId="35" fillId="0" borderId="27" xfId="0" applyNumberFormat="1" applyFont="1" applyBorder="1"/>
    <xf numFmtId="165" fontId="35" fillId="7" borderId="0" xfId="0" applyNumberFormat="1" applyFont="1" applyFill="1"/>
    <xf numFmtId="164" fontId="35" fillId="0" borderId="27" xfId="0" applyNumberFormat="1" applyFont="1" applyBorder="1"/>
    <xf numFmtId="0" fontId="7" fillId="2" borderId="2" xfId="0" applyFont="1" applyFill="1" applyBorder="1" applyAlignment="1">
      <alignment wrapText="1"/>
    </xf>
    <xf numFmtId="165" fontId="2" fillId="2" borderId="2" xfId="1" applyNumberFormat="1" applyFont="1" applyFill="1" applyBorder="1"/>
    <xf numFmtId="165" fontId="2" fillId="2" borderId="2" xfId="1" applyNumberFormat="1" applyFont="1" applyFill="1" applyBorder="1" applyAlignment="1">
      <alignment horizontal="center"/>
    </xf>
    <xf numFmtId="178" fontId="2" fillId="0" borderId="0" xfId="0" applyNumberFormat="1" applyFont="1"/>
    <xf numFmtId="10" fontId="2" fillId="0" borderId="0" xfId="0" applyNumberFormat="1" applyFont="1"/>
    <xf numFmtId="3" fontId="0" fillId="0" borderId="0" xfId="0" applyNumberFormat="1"/>
    <xf numFmtId="8" fontId="0" fillId="0" borderId="0" xfId="0" applyNumberFormat="1"/>
    <xf numFmtId="40" fontId="0" fillId="0" borderId="0" xfId="0" applyNumberFormat="1"/>
    <xf numFmtId="179" fontId="0" fillId="0" borderId="0" xfId="0" applyNumberFormat="1"/>
    <xf numFmtId="0" fontId="2" fillId="7" borderId="2" xfId="0" applyFont="1" applyFill="1" applyBorder="1" applyAlignment="1">
      <alignment horizontal="center"/>
    </xf>
    <xf numFmtId="168" fontId="2" fillId="7" borderId="2" xfId="1" applyNumberFormat="1" applyFont="1" applyFill="1" applyBorder="1"/>
    <xf numFmtId="168" fontId="2" fillId="7" borderId="2" xfId="1" applyNumberFormat="1" applyFont="1" applyFill="1" applyBorder="1" applyAlignment="1">
      <alignment horizontal="center"/>
    </xf>
    <xf numFmtId="0" fontId="2" fillId="7" borderId="9" xfId="0" applyFont="1" applyFill="1" applyBorder="1" applyAlignment="1">
      <alignment horizontal="center"/>
    </xf>
    <xf numFmtId="0" fontId="7" fillId="0" borderId="0" xfId="0" applyFont="1" applyAlignment="1">
      <alignment wrapText="1"/>
    </xf>
    <xf numFmtId="0" fontId="6" fillId="0" borderId="0" xfId="0" applyFont="1" applyFill="1" applyBorder="1" applyAlignment="1">
      <alignment horizontal="left" vertical="center" wrapText="1"/>
    </xf>
    <xf numFmtId="0" fontId="8" fillId="0" borderId="0" xfId="0" applyFont="1" applyBorder="1" applyAlignment="1">
      <alignment vertical="center" wrapText="1"/>
    </xf>
    <xf numFmtId="0" fontId="7" fillId="0" borderId="2" xfId="0" applyFont="1" applyBorder="1" applyAlignment="1">
      <alignment horizontal="left" vertical="center" wrapText="1"/>
    </xf>
    <xf numFmtId="0" fontId="2" fillId="0" borderId="0" xfId="0" applyFont="1" applyAlignment="1">
      <alignment wrapText="1"/>
    </xf>
    <xf numFmtId="0" fontId="4" fillId="0" borderId="0" xfId="0" applyFont="1" applyAlignment="1">
      <alignment wrapText="1"/>
    </xf>
    <xf numFmtId="0" fontId="8" fillId="0" borderId="0" xfId="0" applyFont="1" applyAlignment="1">
      <alignment wrapText="1"/>
    </xf>
    <xf numFmtId="0" fontId="2" fillId="0" borderId="7" xfId="0" applyFont="1" applyBorder="1" applyAlignment="1">
      <alignment wrapText="1"/>
    </xf>
    <xf numFmtId="0" fontId="6" fillId="0" borderId="0" xfId="0" applyFont="1" applyBorder="1" applyAlignment="1">
      <alignment wrapText="1"/>
    </xf>
    <xf numFmtId="0" fontId="8" fillId="0" borderId="0" xfId="0" applyFont="1" applyBorder="1" applyAlignment="1">
      <alignment wrapText="1"/>
    </xf>
    <xf numFmtId="0" fontId="13" fillId="0" borderId="0" xfId="0" applyFont="1" applyBorder="1" applyAlignment="1">
      <alignment wrapText="1"/>
    </xf>
    <xf numFmtId="0" fontId="7" fillId="2" borderId="2" xfId="0" applyFont="1" applyFill="1" applyBorder="1" applyAlignment="1">
      <alignment horizontal="left" wrapText="1"/>
    </xf>
    <xf numFmtId="0" fontId="6" fillId="0" borderId="2" xfId="0" applyFont="1" applyBorder="1" applyAlignment="1">
      <alignment wrapText="1"/>
    </xf>
    <xf numFmtId="0" fontId="10" fillId="0" borderId="0" xfId="0" applyFont="1" applyAlignment="1">
      <alignment horizontal="left" wrapText="1"/>
    </xf>
    <xf numFmtId="0" fontId="10" fillId="0" borderId="0" xfId="0" applyFont="1" applyAlignment="1">
      <alignment horizontal="left" vertical="top" wrapText="1"/>
    </xf>
    <xf numFmtId="0" fontId="14" fillId="0" borderId="0" xfId="0" applyFont="1" applyAlignment="1">
      <alignment horizontal="left" wrapText="1"/>
    </xf>
    <xf numFmtId="0" fontId="10" fillId="0" borderId="0" xfId="0" applyFont="1" applyAlignment="1">
      <alignment horizontal="left"/>
    </xf>
    <xf numFmtId="0" fontId="2" fillId="7" borderId="9" xfId="0" applyFont="1" applyFill="1" applyBorder="1" applyAlignment="1">
      <alignment horizontal="left" wrapText="1"/>
    </xf>
    <xf numFmtId="0" fontId="0" fillId="7" borderId="23" xfId="0" applyFill="1" applyBorder="1" applyAlignment="1">
      <alignment horizontal="left" wrapText="1"/>
    </xf>
    <xf numFmtId="0" fontId="0" fillId="7" borderId="1" xfId="0" applyFill="1" applyBorder="1" applyAlignment="1">
      <alignment horizontal="left" wrapText="1"/>
    </xf>
    <xf numFmtId="0" fontId="2" fillId="2" borderId="2" xfId="0" applyFont="1" applyFill="1" applyBorder="1" applyAlignment="1">
      <alignment horizontal="left" wrapText="1"/>
    </xf>
    <xf numFmtId="0" fontId="3" fillId="0" borderId="2" xfId="0" applyFont="1" applyBorder="1" applyAlignment="1">
      <alignment horizontal="center"/>
    </xf>
    <xf numFmtId="0" fontId="6" fillId="0" borderId="9" xfId="0" applyFont="1" applyBorder="1" applyAlignment="1">
      <alignment horizontal="center"/>
    </xf>
    <xf numFmtId="0" fontId="6" fillId="0" borderId="23" xfId="0" applyFont="1" applyBorder="1" applyAlignment="1">
      <alignment horizontal="center"/>
    </xf>
    <xf numFmtId="0" fontId="6" fillId="0" borderId="1" xfId="0" applyFont="1" applyBorder="1" applyAlignment="1">
      <alignment horizontal="center"/>
    </xf>
    <xf numFmtId="0" fontId="6" fillId="0" borderId="2" xfId="0" applyFont="1" applyBorder="1" applyAlignment="1">
      <alignment horizontal="left" vertical="center"/>
    </xf>
    <xf numFmtId="0" fontId="2" fillId="0" borderId="9" xfId="0" applyFont="1" applyBorder="1" applyAlignment="1">
      <alignment horizontal="center"/>
    </xf>
    <xf numFmtId="0" fontId="2" fillId="0" borderId="1" xfId="0" applyFont="1" applyBorder="1" applyAlignment="1">
      <alignment horizontal="center"/>
    </xf>
    <xf numFmtId="0" fontId="7" fillId="0" borderId="10" xfId="0" applyFont="1" applyBorder="1" applyAlignment="1">
      <alignment horizontal="left" vertical="center" wrapText="1"/>
    </xf>
    <xf numFmtId="0" fontId="7" fillId="0" borderId="0" xfId="0" applyFont="1" applyBorder="1" applyAlignment="1">
      <alignment horizontal="left" vertical="center" wrapText="1"/>
    </xf>
    <xf numFmtId="0" fontId="6" fillId="0" borderId="2" xfId="0" applyFont="1" applyBorder="1" applyAlignment="1">
      <alignment horizontal="center"/>
    </xf>
    <xf numFmtId="0" fontId="2" fillId="2" borderId="2" xfId="0" applyFont="1" applyFill="1" applyBorder="1" applyAlignment="1">
      <alignment horizontal="center" wrapText="1"/>
    </xf>
    <xf numFmtId="0" fontId="3" fillId="0" borderId="9" xfId="0" applyFont="1" applyBorder="1" applyAlignment="1">
      <alignment horizontal="left" wrapText="1"/>
    </xf>
    <xf numFmtId="0" fontId="3" fillId="0" borderId="23" xfId="0" applyFont="1" applyBorder="1" applyAlignment="1">
      <alignment horizontal="left" wrapText="1"/>
    </xf>
    <xf numFmtId="0" fontId="3" fillId="0" borderId="1" xfId="0" applyFont="1" applyBorder="1" applyAlignment="1">
      <alignment horizontal="left" wrapText="1"/>
    </xf>
    <xf numFmtId="0" fontId="0" fillId="0" borderId="0" xfId="0" applyAlignment="1">
      <alignment wrapText="1"/>
    </xf>
    <xf numFmtId="0" fontId="0" fillId="0" borderId="0" xfId="0" applyAlignment="1">
      <alignment horizontal="left" vertical="top" wrapText="1"/>
    </xf>
    <xf numFmtId="0" fontId="38" fillId="0" borderId="0" xfId="0" applyFont="1" applyAlignment="1">
      <alignment wrapText="1"/>
    </xf>
    <xf numFmtId="0" fontId="20" fillId="0" borderId="0" xfId="2" applyFont="1" applyAlignment="1">
      <alignment horizontal="center" vertical="center"/>
    </xf>
    <xf numFmtId="0" fontId="34" fillId="3" borderId="2" xfId="0" applyFont="1" applyFill="1" applyBorder="1" applyAlignment="1">
      <alignment horizontal="center" vertical="center" wrapText="1"/>
    </xf>
    <xf numFmtId="0" fontId="36" fillId="0" borderId="3" xfId="0" applyFont="1" applyBorder="1" applyAlignment="1">
      <alignment horizontal="center" vertical="center"/>
    </xf>
    <xf numFmtId="0" fontId="36" fillId="0" borderId="31" xfId="0" applyFont="1" applyBorder="1" applyAlignment="1">
      <alignment horizontal="center" vertical="center"/>
    </xf>
    <xf numFmtId="0" fontId="34" fillId="3" borderId="2" xfId="0" applyFont="1" applyFill="1" applyBorder="1" applyAlignment="1">
      <alignment horizontal="center"/>
    </xf>
    <xf numFmtId="0" fontId="36" fillId="2" borderId="2" xfId="0" applyFont="1" applyFill="1" applyBorder="1" applyAlignment="1">
      <alignment horizontal="center" vertical="center"/>
    </xf>
    <xf numFmtId="168" fontId="3" fillId="7" borderId="2" xfId="1" applyNumberFormat="1" applyFont="1" applyFill="1" applyBorder="1"/>
  </cellXfs>
  <cellStyles count="8">
    <cellStyle name="Comma" xfId="5" builtinId="3"/>
    <cellStyle name="Comma 2" xfId="6"/>
    <cellStyle name="Currency" xfId="1" builtinId="4"/>
    <cellStyle name="Hyperlink" xfId="7" builtinId="8"/>
    <cellStyle name="Normal" xfId="0" builtinId="0"/>
    <cellStyle name="Normal 2" xfId="2"/>
    <cellStyle name="Percent" xfId="4" builtinId="5"/>
    <cellStyle name="Percent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5.xml"/><Relationship Id="rId18" Type="http://schemas.openxmlformats.org/officeDocument/2006/relationships/externalLink" Target="externalLinks/externalLink10.xml"/><Relationship Id="rId26" Type="http://schemas.openxmlformats.org/officeDocument/2006/relationships/externalLink" Target="externalLinks/externalLink18.xml"/><Relationship Id="rId39" Type="http://schemas.openxmlformats.org/officeDocument/2006/relationships/externalLink" Target="externalLinks/externalLink31.xml"/><Relationship Id="rId21" Type="http://schemas.openxmlformats.org/officeDocument/2006/relationships/externalLink" Target="externalLinks/externalLink13.xml"/><Relationship Id="rId34" Type="http://schemas.openxmlformats.org/officeDocument/2006/relationships/externalLink" Target="externalLinks/externalLink26.xml"/><Relationship Id="rId42" Type="http://schemas.openxmlformats.org/officeDocument/2006/relationships/externalLink" Target="externalLinks/externalLink34.xml"/><Relationship Id="rId47" Type="http://schemas.openxmlformats.org/officeDocument/2006/relationships/externalLink" Target="externalLinks/externalLink39.xml"/><Relationship Id="rId50" Type="http://schemas.openxmlformats.org/officeDocument/2006/relationships/externalLink" Target="externalLinks/externalLink42.xml"/><Relationship Id="rId55" Type="http://schemas.openxmlformats.org/officeDocument/2006/relationships/externalLink" Target="externalLinks/externalLink47.xml"/><Relationship Id="rId63" Type="http://schemas.openxmlformats.org/officeDocument/2006/relationships/externalLink" Target="externalLinks/externalLink55.xml"/><Relationship Id="rId68" Type="http://schemas.openxmlformats.org/officeDocument/2006/relationships/externalLink" Target="externalLinks/externalLink60.xml"/><Relationship Id="rId76" Type="http://schemas.openxmlformats.org/officeDocument/2006/relationships/externalLink" Target="externalLinks/externalLink68.xml"/><Relationship Id="rId84" Type="http://schemas.openxmlformats.org/officeDocument/2006/relationships/styles" Target="styles.xml"/><Relationship Id="rId7" Type="http://schemas.openxmlformats.org/officeDocument/2006/relationships/worksheet" Target="worksheets/sheet7.xml"/><Relationship Id="rId71" Type="http://schemas.openxmlformats.org/officeDocument/2006/relationships/externalLink" Target="externalLinks/externalLink63.xml"/><Relationship Id="rId2" Type="http://schemas.openxmlformats.org/officeDocument/2006/relationships/worksheet" Target="worksheets/sheet2.xml"/><Relationship Id="rId16" Type="http://schemas.openxmlformats.org/officeDocument/2006/relationships/externalLink" Target="externalLinks/externalLink8.xml"/><Relationship Id="rId29" Type="http://schemas.openxmlformats.org/officeDocument/2006/relationships/externalLink" Target="externalLinks/externalLink21.xml"/><Relationship Id="rId11" Type="http://schemas.openxmlformats.org/officeDocument/2006/relationships/externalLink" Target="externalLinks/externalLink3.xml"/><Relationship Id="rId24" Type="http://schemas.openxmlformats.org/officeDocument/2006/relationships/externalLink" Target="externalLinks/externalLink16.xml"/><Relationship Id="rId32" Type="http://schemas.openxmlformats.org/officeDocument/2006/relationships/externalLink" Target="externalLinks/externalLink24.xml"/><Relationship Id="rId37" Type="http://schemas.openxmlformats.org/officeDocument/2006/relationships/externalLink" Target="externalLinks/externalLink29.xml"/><Relationship Id="rId40" Type="http://schemas.openxmlformats.org/officeDocument/2006/relationships/externalLink" Target="externalLinks/externalLink32.xml"/><Relationship Id="rId45" Type="http://schemas.openxmlformats.org/officeDocument/2006/relationships/externalLink" Target="externalLinks/externalLink37.xml"/><Relationship Id="rId53" Type="http://schemas.openxmlformats.org/officeDocument/2006/relationships/externalLink" Target="externalLinks/externalLink45.xml"/><Relationship Id="rId58" Type="http://schemas.openxmlformats.org/officeDocument/2006/relationships/externalLink" Target="externalLinks/externalLink50.xml"/><Relationship Id="rId66" Type="http://schemas.openxmlformats.org/officeDocument/2006/relationships/externalLink" Target="externalLinks/externalLink58.xml"/><Relationship Id="rId74" Type="http://schemas.openxmlformats.org/officeDocument/2006/relationships/externalLink" Target="externalLinks/externalLink66.xml"/><Relationship Id="rId79" Type="http://schemas.openxmlformats.org/officeDocument/2006/relationships/externalLink" Target="externalLinks/externalLink71.xml"/><Relationship Id="rId5" Type="http://schemas.openxmlformats.org/officeDocument/2006/relationships/worksheet" Target="worksheets/sheet5.xml"/><Relationship Id="rId61" Type="http://schemas.openxmlformats.org/officeDocument/2006/relationships/externalLink" Target="externalLinks/externalLink53.xml"/><Relationship Id="rId82" Type="http://schemas.openxmlformats.org/officeDocument/2006/relationships/externalLink" Target="externalLinks/externalLink74.xml"/><Relationship Id="rId19" Type="http://schemas.openxmlformats.org/officeDocument/2006/relationships/externalLink" Target="externalLinks/externalLink1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externalLink" Target="externalLinks/externalLink6.xml"/><Relationship Id="rId22" Type="http://schemas.openxmlformats.org/officeDocument/2006/relationships/externalLink" Target="externalLinks/externalLink14.xml"/><Relationship Id="rId27" Type="http://schemas.openxmlformats.org/officeDocument/2006/relationships/externalLink" Target="externalLinks/externalLink19.xml"/><Relationship Id="rId30" Type="http://schemas.openxmlformats.org/officeDocument/2006/relationships/externalLink" Target="externalLinks/externalLink22.xml"/><Relationship Id="rId35" Type="http://schemas.openxmlformats.org/officeDocument/2006/relationships/externalLink" Target="externalLinks/externalLink27.xml"/><Relationship Id="rId43" Type="http://schemas.openxmlformats.org/officeDocument/2006/relationships/externalLink" Target="externalLinks/externalLink35.xml"/><Relationship Id="rId48" Type="http://schemas.openxmlformats.org/officeDocument/2006/relationships/externalLink" Target="externalLinks/externalLink40.xml"/><Relationship Id="rId56" Type="http://schemas.openxmlformats.org/officeDocument/2006/relationships/externalLink" Target="externalLinks/externalLink48.xml"/><Relationship Id="rId64" Type="http://schemas.openxmlformats.org/officeDocument/2006/relationships/externalLink" Target="externalLinks/externalLink56.xml"/><Relationship Id="rId69" Type="http://schemas.openxmlformats.org/officeDocument/2006/relationships/externalLink" Target="externalLinks/externalLink61.xml"/><Relationship Id="rId77" Type="http://schemas.openxmlformats.org/officeDocument/2006/relationships/externalLink" Target="externalLinks/externalLink69.xml"/><Relationship Id="rId8" Type="http://schemas.openxmlformats.org/officeDocument/2006/relationships/worksheet" Target="worksheets/sheet8.xml"/><Relationship Id="rId51" Type="http://schemas.openxmlformats.org/officeDocument/2006/relationships/externalLink" Target="externalLinks/externalLink43.xml"/><Relationship Id="rId72" Type="http://schemas.openxmlformats.org/officeDocument/2006/relationships/externalLink" Target="externalLinks/externalLink64.xml"/><Relationship Id="rId80" Type="http://schemas.openxmlformats.org/officeDocument/2006/relationships/externalLink" Target="externalLinks/externalLink72.xml"/><Relationship Id="rId85"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externalLink" Target="externalLinks/externalLink4.xml"/><Relationship Id="rId17" Type="http://schemas.openxmlformats.org/officeDocument/2006/relationships/externalLink" Target="externalLinks/externalLink9.xml"/><Relationship Id="rId25" Type="http://schemas.openxmlformats.org/officeDocument/2006/relationships/externalLink" Target="externalLinks/externalLink17.xml"/><Relationship Id="rId33" Type="http://schemas.openxmlformats.org/officeDocument/2006/relationships/externalLink" Target="externalLinks/externalLink25.xml"/><Relationship Id="rId38" Type="http://schemas.openxmlformats.org/officeDocument/2006/relationships/externalLink" Target="externalLinks/externalLink30.xml"/><Relationship Id="rId46" Type="http://schemas.openxmlformats.org/officeDocument/2006/relationships/externalLink" Target="externalLinks/externalLink38.xml"/><Relationship Id="rId59" Type="http://schemas.openxmlformats.org/officeDocument/2006/relationships/externalLink" Target="externalLinks/externalLink51.xml"/><Relationship Id="rId67" Type="http://schemas.openxmlformats.org/officeDocument/2006/relationships/externalLink" Target="externalLinks/externalLink59.xml"/><Relationship Id="rId20" Type="http://schemas.openxmlformats.org/officeDocument/2006/relationships/externalLink" Target="externalLinks/externalLink12.xml"/><Relationship Id="rId41" Type="http://schemas.openxmlformats.org/officeDocument/2006/relationships/externalLink" Target="externalLinks/externalLink33.xml"/><Relationship Id="rId54" Type="http://schemas.openxmlformats.org/officeDocument/2006/relationships/externalLink" Target="externalLinks/externalLink46.xml"/><Relationship Id="rId62" Type="http://schemas.openxmlformats.org/officeDocument/2006/relationships/externalLink" Target="externalLinks/externalLink54.xml"/><Relationship Id="rId70" Type="http://schemas.openxmlformats.org/officeDocument/2006/relationships/externalLink" Target="externalLinks/externalLink62.xml"/><Relationship Id="rId75" Type="http://schemas.openxmlformats.org/officeDocument/2006/relationships/externalLink" Target="externalLinks/externalLink67.xml"/><Relationship Id="rId83"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externalLink" Target="externalLinks/externalLink7.xml"/><Relationship Id="rId23" Type="http://schemas.openxmlformats.org/officeDocument/2006/relationships/externalLink" Target="externalLinks/externalLink15.xml"/><Relationship Id="rId28" Type="http://schemas.openxmlformats.org/officeDocument/2006/relationships/externalLink" Target="externalLinks/externalLink20.xml"/><Relationship Id="rId36" Type="http://schemas.openxmlformats.org/officeDocument/2006/relationships/externalLink" Target="externalLinks/externalLink28.xml"/><Relationship Id="rId49" Type="http://schemas.openxmlformats.org/officeDocument/2006/relationships/externalLink" Target="externalLinks/externalLink41.xml"/><Relationship Id="rId57" Type="http://schemas.openxmlformats.org/officeDocument/2006/relationships/externalLink" Target="externalLinks/externalLink49.xml"/><Relationship Id="rId10" Type="http://schemas.openxmlformats.org/officeDocument/2006/relationships/externalLink" Target="externalLinks/externalLink2.xml"/><Relationship Id="rId31" Type="http://schemas.openxmlformats.org/officeDocument/2006/relationships/externalLink" Target="externalLinks/externalLink23.xml"/><Relationship Id="rId44" Type="http://schemas.openxmlformats.org/officeDocument/2006/relationships/externalLink" Target="externalLinks/externalLink36.xml"/><Relationship Id="rId52" Type="http://schemas.openxmlformats.org/officeDocument/2006/relationships/externalLink" Target="externalLinks/externalLink44.xml"/><Relationship Id="rId60" Type="http://schemas.openxmlformats.org/officeDocument/2006/relationships/externalLink" Target="externalLinks/externalLink52.xml"/><Relationship Id="rId65" Type="http://schemas.openxmlformats.org/officeDocument/2006/relationships/externalLink" Target="externalLinks/externalLink57.xml"/><Relationship Id="rId73" Type="http://schemas.openxmlformats.org/officeDocument/2006/relationships/externalLink" Target="externalLinks/externalLink65.xml"/><Relationship Id="rId78" Type="http://schemas.openxmlformats.org/officeDocument/2006/relationships/externalLink" Target="externalLinks/externalLink70.xml"/><Relationship Id="rId81" Type="http://schemas.openxmlformats.org/officeDocument/2006/relationships/externalLink" Target="externalLinks/externalLink73.xml"/><Relationship Id="rId86"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7409620</xdr:colOff>
      <xdr:row>8</xdr:row>
      <xdr:rowOff>104775</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0"/>
          <a:ext cx="8857420" cy="1628775"/>
        </a:xfrm>
        <a:prstGeom prst="rect">
          <a:avLst/>
        </a:prstGeom>
        <a:ln>
          <a:noFill/>
        </a:ln>
        <a:effectLst>
          <a:softEdge rad="112500"/>
        </a:effectLst>
      </xdr:spPr>
    </xdr:pic>
    <xdr:clientData/>
  </xdr:twoCellAnchor>
  <xdr:twoCellAnchor>
    <xdr:from>
      <xdr:col>0</xdr:col>
      <xdr:colOff>28575</xdr:colOff>
      <xdr:row>3</xdr:row>
      <xdr:rowOff>123826</xdr:rowOff>
    </xdr:from>
    <xdr:to>
      <xdr:col>2</xdr:col>
      <xdr:colOff>7200900</xdr:colOff>
      <xdr:row>7</xdr:row>
      <xdr:rowOff>47626</xdr:rowOff>
    </xdr:to>
    <xdr:sp macro="" textlink="">
      <xdr:nvSpPr>
        <xdr:cNvPr id="3" name="Rectangle 2">
          <a:extLst>
            <a:ext uri="{FF2B5EF4-FFF2-40B4-BE49-F238E27FC236}">
              <a16:creationId xmlns:a16="http://schemas.microsoft.com/office/drawing/2014/main" id="{00000000-0008-0000-0000-000003000000}"/>
            </a:ext>
          </a:extLst>
        </xdr:cNvPr>
        <xdr:cNvSpPr/>
      </xdr:nvSpPr>
      <xdr:spPr>
        <a:xfrm>
          <a:off x="28575" y="695326"/>
          <a:ext cx="8620125" cy="685800"/>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GA Analysis Workform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1</xdr:col>
      <xdr:colOff>266700</xdr:colOff>
      <xdr:row>0</xdr:row>
      <xdr:rowOff>123825</xdr:rowOff>
    </xdr:from>
    <xdr:to>
      <xdr:col>2</xdr:col>
      <xdr:colOff>3749831</xdr:colOff>
      <xdr:row>1</xdr:row>
      <xdr:rowOff>184276</xdr:rowOff>
    </xdr:to>
    <xdr:sp macro="" textlink="">
      <xdr:nvSpPr>
        <xdr:cNvPr id="4" name="Rectangle 3">
          <a:extLst>
            <a:ext uri="{FF2B5EF4-FFF2-40B4-BE49-F238E27FC236}">
              <a16:creationId xmlns:a16="http://schemas.microsoft.com/office/drawing/2014/main" id="{00000000-0008-0000-0000-000004000000}"/>
            </a:ext>
          </a:extLst>
        </xdr:cNvPr>
        <xdr:cNvSpPr/>
      </xdr:nvSpPr>
      <xdr:spPr>
        <a:xfrm>
          <a:off x="638175" y="123825"/>
          <a:ext cx="4559456" cy="25095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0</xdr:col>
      <xdr:colOff>209550</xdr:colOff>
      <xdr:row>0</xdr:row>
      <xdr:rowOff>142875</xdr:rowOff>
    </xdr:from>
    <xdr:to>
      <xdr:col>1</xdr:col>
      <xdr:colOff>227357</xdr:colOff>
      <xdr:row>2</xdr:row>
      <xdr:rowOff>57388</xdr:rowOff>
    </xdr:to>
    <xdr:pic>
      <xdr:nvPicPr>
        <xdr:cNvPr id="5" name="Picture 4">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209550" y="142875"/>
          <a:ext cx="389282" cy="2955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57150</xdr:colOff>
      <xdr:row>32</xdr:row>
      <xdr:rowOff>180974</xdr:rowOff>
    </xdr:from>
    <xdr:to>
      <xdr:col>8</xdr:col>
      <xdr:colOff>57150</xdr:colOff>
      <xdr:row>40</xdr:row>
      <xdr:rowOff>0</xdr:rowOff>
    </xdr:to>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628650" y="4371974"/>
          <a:ext cx="12182475" cy="1314451"/>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CA" sz="1100">
              <a:solidFill>
                <a:schemeClr val="dk1"/>
              </a:solidFill>
              <a:effectLst/>
              <a:latin typeface="+mn-lt"/>
              <a:ea typeface="+mn-ea"/>
              <a:cs typeface="+mn-cs"/>
            </a:rPr>
            <a:t>For billing cycles that span more than one load month, a weighted average Global Adjustment rate is used for billing. First estimate Global A adjustment</a:t>
          </a:r>
          <a:r>
            <a:rPr lang="en-CA" sz="1100" baseline="0">
              <a:solidFill>
                <a:schemeClr val="dk1"/>
              </a:solidFill>
              <a:effectLst/>
              <a:latin typeface="+mn-lt"/>
              <a:ea typeface="+mn-ea"/>
              <a:cs typeface="+mn-cs"/>
            </a:rPr>
            <a:t> </a:t>
          </a:r>
          <a:r>
            <a:rPr lang="en-CA" sz="1100">
              <a:solidFill>
                <a:schemeClr val="dk1"/>
              </a:solidFill>
              <a:effectLst/>
              <a:latin typeface="+mn-lt"/>
              <a:ea typeface="+mn-ea"/>
              <a:cs typeface="+mn-cs"/>
            </a:rPr>
            <a:t>rate was used consistently for billing all non-RPP Class B customers.  For RPP accounts with retailer contract, the unbilled revenue was calculated based on historical weighted average GA rate; Please see Tab "5.UBR Retailer Contract"</a:t>
          </a:r>
          <a:endParaRPr lang="en-US">
            <a:effectLst/>
          </a:endParaRPr>
        </a:p>
      </xdr:txBody>
    </xdr:sp>
    <xdr:clientData/>
  </xdr:twoCellAnchor>
  <xdr:twoCellAnchor>
    <xdr:from>
      <xdr:col>1</xdr:col>
      <xdr:colOff>38100</xdr:colOff>
      <xdr:row>95</xdr:row>
      <xdr:rowOff>123825</xdr:rowOff>
    </xdr:from>
    <xdr:to>
      <xdr:col>8</xdr:col>
      <xdr:colOff>0</xdr:colOff>
      <xdr:row>107</xdr:row>
      <xdr:rowOff>0</xdr:rowOff>
    </xdr:to>
    <xdr:sp macro="" textlink="">
      <xdr:nvSpPr>
        <xdr:cNvPr id="3" name="TextBox 2">
          <a:extLst>
            <a:ext uri="{FF2B5EF4-FFF2-40B4-BE49-F238E27FC236}">
              <a16:creationId xmlns:a16="http://schemas.microsoft.com/office/drawing/2014/main" id="{00000000-0008-0000-0100-000003000000}"/>
            </a:ext>
          </a:extLst>
        </xdr:cNvPr>
        <xdr:cNvSpPr txBox="1"/>
      </xdr:nvSpPr>
      <xdr:spPr>
        <a:xfrm>
          <a:off x="609600" y="20431125"/>
          <a:ext cx="12144375" cy="2047875"/>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a:latin typeface="Arial" panose="020B0604020202020204" pitchFamily="34" charset="0"/>
              <a:cs typeface="Arial" panose="020B0604020202020204" pitchFamily="34" charset="0"/>
            </a:rPr>
            <a:t>Five additional tabs were created to better support the GA analysis: 1.Adjustments, 2. GA Detailed Analysis, 3.RPP True-up, 4.IESO Invoice Analysis, and 5.UBR Retailer Contract</a:t>
          </a:r>
        </a:p>
        <a:p>
          <a:endParaRPr lang="en-CA" sz="1100">
            <a:latin typeface="Arial" panose="020B0604020202020204" pitchFamily="34" charset="0"/>
            <a:cs typeface="Arial" panose="020B0604020202020204" pitchFamily="34" charset="0"/>
          </a:endParaRPr>
        </a:p>
      </xdr:txBody>
    </xdr:sp>
    <xdr:clientData/>
  </xdr:twoCellAnchor>
  <xdr:twoCellAnchor>
    <xdr:from>
      <xdr:col>0</xdr:col>
      <xdr:colOff>0</xdr:colOff>
      <xdr:row>0</xdr:row>
      <xdr:rowOff>0</xdr:rowOff>
    </xdr:from>
    <xdr:to>
      <xdr:col>4</xdr:col>
      <xdr:colOff>1161220</xdr:colOff>
      <xdr:row>9</xdr:row>
      <xdr:rowOff>0</xdr:rowOff>
    </xdr:to>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0"/>
          <a:ext cx="8857420" cy="1628775"/>
        </a:xfrm>
        <a:prstGeom prst="rect">
          <a:avLst/>
        </a:prstGeom>
        <a:ln>
          <a:noFill/>
        </a:ln>
        <a:effectLst>
          <a:softEdge rad="112500"/>
        </a:effectLst>
      </xdr:spPr>
    </xdr:pic>
    <xdr:clientData/>
  </xdr:twoCellAnchor>
  <xdr:twoCellAnchor>
    <xdr:from>
      <xdr:col>0</xdr:col>
      <xdr:colOff>28575</xdr:colOff>
      <xdr:row>3</xdr:row>
      <xdr:rowOff>152400</xdr:rowOff>
    </xdr:from>
    <xdr:to>
      <xdr:col>4</xdr:col>
      <xdr:colOff>952500</xdr:colOff>
      <xdr:row>7</xdr:row>
      <xdr:rowOff>161925</xdr:rowOff>
    </xdr:to>
    <xdr:sp macro="" textlink="">
      <xdr:nvSpPr>
        <xdr:cNvPr id="5" name="Rectangle 4">
          <a:extLst>
            <a:ext uri="{FF2B5EF4-FFF2-40B4-BE49-F238E27FC236}">
              <a16:creationId xmlns:a16="http://schemas.microsoft.com/office/drawing/2014/main" id="{00000000-0008-0000-0100-000005000000}"/>
            </a:ext>
          </a:extLst>
        </xdr:cNvPr>
        <xdr:cNvSpPr/>
      </xdr:nvSpPr>
      <xdr:spPr>
        <a:xfrm>
          <a:off x="28575" y="695325"/>
          <a:ext cx="8620125" cy="733425"/>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GA Analysis Workform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0</xdr:col>
      <xdr:colOff>638175</xdr:colOff>
      <xdr:row>0</xdr:row>
      <xdr:rowOff>123825</xdr:rowOff>
    </xdr:from>
    <xdr:to>
      <xdr:col>2</xdr:col>
      <xdr:colOff>920906</xdr:colOff>
      <xdr:row>2</xdr:row>
      <xdr:rowOff>12826</xdr:rowOff>
    </xdr:to>
    <xdr:sp macro="" textlink="">
      <xdr:nvSpPr>
        <xdr:cNvPr id="6" name="Rectangle 5">
          <a:extLst>
            <a:ext uri="{FF2B5EF4-FFF2-40B4-BE49-F238E27FC236}">
              <a16:creationId xmlns:a16="http://schemas.microsoft.com/office/drawing/2014/main" id="{00000000-0008-0000-0100-000006000000}"/>
            </a:ext>
          </a:extLst>
        </xdr:cNvPr>
        <xdr:cNvSpPr/>
      </xdr:nvSpPr>
      <xdr:spPr>
        <a:xfrm>
          <a:off x="638175" y="123825"/>
          <a:ext cx="4559456" cy="25095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0</xdr:col>
      <xdr:colOff>209550</xdr:colOff>
      <xdr:row>0</xdr:row>
      <xdr:rowOff>142875</xdr:rowOff>
    </xdr:from>
    <xdr:to>
      <xdr:col>0</xdr:col>
      <xdr:colOff>598832</xdr:colOff>
      <xdr:row>2</xdr:row>
      <xdr:rowOff>76438</xdr:rowOff>
    </xdr:to>
    <xdr:pic>
      <xdr:nvPicPr>
        <xdr:cNvPr id="7" name="Picture 6">
          <a:extLst>
            <a:ext uri="{FF2B5EF4-FFF2-40B4-BE49-F238E27FC236}">
              <a16:creationId xmlns:a16="http://schemas.microsoft.com/office/drawing/2014/main" id="{00000000-0008-0000-01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209550" y="142875"/>
          <a:ext cx="389282" cy="2955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923925</xdr:colOff>
      <xdr:row>2</xdr:row>
      <xdr:rowOff>66675</xdr:rowOff>
    </xdr:from>
    <xdr:to>
      <xdr:col>8</xdr:col>
      <xdr:colOff>85725</xdr:colOff>
      <xdr:row>7</xdr:row>
      <xdr:rowOff>28576</xdr:rowOff>
    </xdr:to>
    <xdr:sp macro="" textlink="">
      <xdr:nvSpPr>
        <xdr:cNvPr id="8" name="TextBox 7">
          <a:extLst>
            <a:ext uri="{FF2B5EF4-FFF2-40B4-BE49-F238E27FC236}">
              <a16:creationId xmlns:a16="http://schemas.microsoft.com/office/drawing/2014/main" id="{00000000-0008-0000-0100-000008000000}"/>
            </a:ext>
          </a:extLst>
        </xdr:cNvPr>
        <xdr:cNvSpPr txBox="1"/>
      </xdr:nvSpPr>
      <xdr:spPr>
        <a:xfrm>
          <a:off x="9896475" y="428625"/>
          <a:ext cx="3057525" cy="866776"/>
        </a:xfrm>
        <a:prstGeom prst="rect">
          <a:avLst/>
        </a:prstGeom>
        <a:solidFill>
          <a:srgbClr val="FFC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u="sng">
              <a:latin typeface="Arial" panose="020B0604020202020204" pitchFamily="34" charset="0"/>
              <a:cs typeface="Arial" panose="020B0604020202020204" pitchFamily="34" charset="0"/>
            </a:rPr>
            <a:t>Update from July 20th Workform</a:t>
          </a:r>
          <a:r>
            <a:rPr lang="en-CA" sz="1100" b="1" u="sng" baseline="0">
              <a:latin typeface="Arial" panose="020B0604020202020204" pitchFamily="34" charset="0"/>
              <a:cs typeface="Arial" panose="020B0604020202020204" pitchFamily="34" charset="0"/>
            </a:rPr>
            <a:t> </a:t>
          </a:r>
          <a:r>
            <a:rPr lang="en-CA" sz="1100" b="1" u="sng">
              <a:latin typeface="Arial" panose="020B0604020202020204" pitchFamily="34" charset="0"/>
              <a:cs typeface="Arial" panose="020B0604020202020204" pitchFamily="34" charset="0"/>
            </a:rPr>
            <a:t>version:</a:t>
          </a:r>
        </a:p>
        <a:p>
          <a:r>
            <a:rPr lang="en-CA" sz="1100">
              <a:latin typeface="Arial" panose="020B0604020202020204" pitchFamily="34" charset="0"/>
              <a:cs typeface="Arial" panose="020B0604020202020204" pitchFamily="34" charset="0"/>
            </a:rPr>
            <a:t>-Cells</a:t>
          </a:r>
          <a:r>
            <a:rPr lang="en-CA" sz="1100" baseline="0">
              <a:latin typeface="Arial" panose="020B0604020202020204" pitchFamily="34" charset="0"/>
              <a:cs typeface="Arial" panose="020B0604020202020204" pitchFamily="34" charset="0"/>
            </a:rPr>
            <a:t> C87,D87,E87, H87 - name of cells updated for cell reference</a:t>
          </a:r>
        </a:p>
        <a:p>
          <a:r>
            <a:rPr lang="en-CA" sz="1100" baseline="0">
              <a:latin typeface="Arial" panose="020B0604020202020204" pitchFamily="34" charset="0"/>
              <a:cs typeface="Arial" panose="020B0604020202020204" pitchFamily="34" charset="0"/>
            </a:rPr>
            <a:t>-Cells F88 to F91 and G88 to G91 - formula of cells updated</a:t>
          </a:r>
          <a:endParaRPr lang="en-CA" sz="1100">
            <a:latin typeface="Arial" panose="020B0604020202020204" pitchFamily="34" charset="0"/>
            <a:cs typeface="Arial" panose="020B0604020202020204" pitchFamily="34"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51</xdr:row>
      <xdr:rowOff>142875</xdr:rowOff>
    </xdr:from>
    <xdr:to>
      <xdr:col>12</xdr:col>
      <xdr:colOff>274320</xdr:colOff>
      <xdr:row>66</xdr:row>
      <xdr:rowOff>114300</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8175" y="13049250"/>
          <a:ext cx="11151870" cy="2400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Rate%20Submissions/2018/Models/Guelph_GA%20Analysis%20Workform_20170815.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Rate%20Submissions/2018/GA%20Reasonableness%20Test/Billed%20second%20version%20of%20query/02-2016-CIS%20Billed%20Revenue%20by%20Range%20grouped%20by%20rec%20code%20and%20rate%20components%20INCL_CANC.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Rate%20Submissions/Regulatory%20Affairs/UBR/2016/2016%2002/Feb%202016%20vs%20Jan%202016%20Unbilled%20Revenue.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Rate%20Submissions/2018/GA%20Reasonableness%20Test/Billed%20second%20version%20of%20query/03-2016-CIS%20Billed%20Revenue%20by%20Range%20grouped%20by%20rec%20code%20and%20rate%20components%20INCL_CANC.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Rate%20Submissions/Regulatory%20Affairs/UBR/2016/2016%2003/Mar%202016%20vs%20Feb%202016%20Unbilled%20Revenue.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Rate%20Submissions/2018/GA%20Reasonableness%20Test/Billed%20second%20version%20of%20query/04-2016-CIS%20Billed%20Revenue%20by%20Range%20grouped%20by%20rec%20code%20and%20rate%20components%20INCL_CANC.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Rate%20Submissions/Regulatory%20Affairs/UBR/2016/2016%2004/Apr%202016%20vs%20Mar%202016%20Unbilled%20Revenue.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Rate%20Submissions/2018/GA%20Reasonableness%20Test/Billed%20second%20version%20of%20query/05-2016-CIS%20Billed%20Revenue%20by%20Range%20grouped%20by%20rec%20code%20and%20rate%20components%20INCL_CANC.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Rate%20Submissions/Regulatory%20Affairs/UBR/2016/2016%2005/May%202016%20vs%20Apr%202016%20Unbilled%20Revenue.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Rate%20Submissions/2018/GA%20Reasonableness%20Test/Billed%20second%20version%20of%20query/06-2016-CIS%20Billed%20Revenue%20by%20Range%20grouped%20by%20rec%20code%20and%20rate%20components%20INCL_CANC.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Rate%20Submissions/Regulatory%20Affairs/UBR/2016/2016%2006/June%202016%20vs%20May%202016%20Unbilled%20Revenue.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Rate%20Submissions/2018/Our%20Models/Class%20A%20transition%20Customers%202016.xlsx"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Rate%20Submissions/2018/GA%20Reasonableness%20Test/Billed%20second%20version%20of%20query/07-2016-CIS%20Billed%20Revenue%20by%20Range%20grouped%20by%20rec%20code%20and%20rate%20components%20INCL_CANC.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Rate%20Submissions/Regulatory%20Affairs/UBR/2016/2016%2007/July%202016%20vs%20June%202016%20Unbilled%20Revenue.xlsx"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Rate%20Submissions/2018/GA%20Reasonableness%20Test/Billed%20second%20version%20of%20query/08-2016-CIS%20Billed%20Revenue%20by%20Range%20grouped%20by%20rec%20code%20and%20rate%20components%20INCL_CANC.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Rate%20Submissions/Regulatory%20Affairs/UBR/2016/2016%2008/Aug%202016%20vs%20July%202016%20Unbilled%20Revenue.xlsx"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Rate%20Submissions/2018/GA%20Reasonableness%20Test/Billed%20second%20version%20of%20query/09-2016-CIS%20Billed%20Revenue%20by%20Range%20grouped%20by%20rec%20code%20and%20rate%20components%20INCL_CANC.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Rate%20Submissions/Regulatory%20Affairs/UBR/2016/2016%2009/Sept%202016%20vs%20Aug%202016%20Unbilled%20Revenue.xlsx"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Rate%20Submissions/2018/GA%20Reasonableness%20Test/Billed%20second%20version%20of%20query/10-2016-CIS%20Billed%20Revenue%20by%20Range%20grouped%20by%20rec%20code%20and%20rate%20components%20INCL_CANC.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Rate%20Submissions/Regulatory%20Affairs/UBR/2016/2016%2010/Oct%202016%20vs%20Sept%202016%20Unbilled%20Revenue.xlsx"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Rate%20Submissions/2018/GA%20Reasonableness%20Test/Billed%20second%20version%20of%20query/11-2016-CIS%20Billed%20Revenue%20by%20Range%20grouped%20by%20rec%20code%20and%20rate%20components%20INCL_CANC.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Rate%20Submissions/Regulatory%20Affairs/UBR/2016/2016%2011/Nov%202016%20vs%20Oct%202016%20Unbilled%20Revenue.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Rate%20Submissions/2018/Models/2018%20IRM%20Rate%20Generator%20Model%20-%20V1.0_20170814.xlsb"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Rate%20Submissions/2018/GA%20Reasonableness%20Test/Billed%20second%20version%20of%20query/12-2016-CIS%20Billed%20Revenue%20by%20Range%20grouped%20by%20rec%20code%20and%20rate%20components%20INCL_CANC.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Rate%20Submissions/2018/GA%20Reasonableness%20Test/V2_GA%20Reasonable%20Test_Account%201589%20Global%20Adjustment%20Variance%20Account_20170607.xlsx"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Rate%20Submissions/Regulatory%20Matters/IESO/Report%20Preparation/Form%201598/2015/01/New%20OCEB%20_GHESI%2001%202015%20Input.xlsm"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Rate%20Submissions/Regulatory%20Matters/IESO/Report%20Preparation/Form%201598/2015/02/New%20OCEB%20_GHESI%2002%202015%20Input.xlsm"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Rate%20Submissions/Regulatory%20Matters/IESO/Report%20Preparation/Form%201598/2015/03/New%20OCEB%20_GHESI%2003%202015%20Input.xlsm"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Rate%20Submissions/Regulatory%20Matters/IESO/Report%20Preparation/Form%201598/2015/04/New%20OCEB%20_GHESI%2004%202015%20Input.xlsm"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Rate%20Submissions/Regulatory%20Matters/IESO/Report%20Preparation/Form%201598/2015/05/New%20OCEB%20_GHESI%2005%202015%20Input.xlsm"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Rate%20Submissions/Regulatory%20Matters/IESO/Report%20Preparation/Form%201598/2015/06/New%20OCEB%20_GHESI%2006%202015%20Input.xlsm"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Rate%20Submissions/Regulatory%20Matters/IESO/Report%20Preparation/Form%201598/2015/07/New%20OCEB%20_GHESI%2007%202015%20Input.xlsm"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Rate%20Submissions/Regulatory%20Matters/IESO/Report%20Preparation/Form%201598/2015/08/New%20OCEB%20_GHESI%2008%202015%20Input.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Rate%20Submissions/Regulatory%20Affairs/UBR/UBR%20Test/2017%20Test/UBR%20vs.%20Billed%20Analysis_20170914.xlsx"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Rate%20Submissions/Regulatory%20Matters/IESO/Report%20Preparation/Form%201598/2015/09/New%20OCEB%20_GHESI%2009%202015%20Input.xlsm"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Rate%20Submissions/Regulatory%20Matters/IESO/Report%20Preparation/Form%201598/2015/10/New%20OCEB%20_GHESI%2010%202015%20Input.xlsm"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Rate%20Submissions/Regulatory%20Matters/IESO/Report%20Preparation/Form%201598/2015/11/New%20OCEB%20_GHESI%2011%202015%20Input.xlsm"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Rate%20Submissions/Regulatory%20Matters/IESO/Report%20Preparation/Form%201598/2015/12/GHESI%2012%202015%20Input.xlsm"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Rate%20Submissions/Regulatory%20Matters/IESO/Report%20Preparation/Form%201598/2016/01/GHESI%2001%202016%20Input.xlsm"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Rate%20Submissions/Regulatory%20Matters/IESO/Report%20Preparation/Form%201598/2016/02/GHESI%2002%202016%20Input.xlsm"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Rate%20Submissions/Regulatory%20Matters/IESO/Report%20Preparation/Form%201598/2016/03/GHESI%2003%202016%20Input.xlsm"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Rate%20Submissions/Regulatory%20Matters/IESO/Report%20Preparation/Form%201598/2016/04/GHESI%2004%202016%20Input.xlsm"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Rate%20Submissions/Regulatory%20Matters/IESO/Report%20Preparation/Form%201598/2016/05/GHESI%2005%202016%20Input.xlsm"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Rate%20Submissions/Regulatory%20Matters/IESO/Report%20Preparation/Form%201598/2016/06/GHESI%2006%202016%20Input.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Rate%20Submissions/Regulatory%20Affairs/UBR/2015%2012/Nov%202015%20vs%20Dec%202015%20Unbilled%20Revenue.xlsx"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Rate%20Submissions/Regulatory%20Matters/IESO/Report%20Preparation/Form%201598/2016/07/GHESI%2007%202016%20Input.xlsm"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Rate%20Submissions/Regulatory%20Matters/IESO/Report%20Preparation/Form%201598/2016/08/GHESI%2008%202016%20Input.xlsm"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Rate%20Submissions/Regulatory%20Matters/IESO/Report%20Preparation/Form%201598/2016/09/GHESI%2009%202016%20Input.xlsm"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Rate%20Submissions/Regulatory%20Matters/IESO/Report%20Preparation/Form%201598/2016/10/GHESI%2010%202016%20Input.xlsm"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Rate%20Submissions/Regulatory%20Matters/IESO/Report%20Preparation/Form%201598/2016/11/GHESI%2011%202016%20Input.xlsm"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Rate%20Submissions/Regulatory%20Matters/IESO/Report%20Preparation/Form%201598/2016/12/NEW%208%25%20Rebate_GHESI%2012%202016%20Input.xlsm"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IESO%20Statements/IESO%20Statements/GHESI/2016/Jan%202016_CNF-GUELPHHYDRO_ST-P-P_20160131_v1.xlsx"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IESO%20Statements/IESO%20Statements/GHESI/2016/Feb%202016_CNF-GUELPHHYDRO_ST-P-P_20160229_v1.xlsx"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IESO%20Statements/IESO%20Statements/GHESI/2016/March%202016_CNF-GUELPHHYDRO_ST-P-P_20160331_v1.xlsx"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IESO%20Statements/IESO%20Statements/GHESI/2016/April%202016_CNF-GUELPHHYDRO_ST-P-P_20160430_v1.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Rate%20Submissions/Regulatory%20Affairs/UBR/2016/2016%2012/Dec%202016%20vs%20Nov%202016%20Unbilled%20Revenue.xlsx"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IESO%20Statements/IESO%20Statements/GHESI/2016/May%202016_CNF-GUELPHHYDRO_ST-P-P_20160531_v1.xlsx" TargetMode="External"/></Relationships>
</file>

<file path=xl/externalLinks/_rels/externalLink61.xml.rels><?xml version="1.0" encoding="UTF-8" standalone="yes"?>
<Relationships xmlns="http://schemas.openxmlformats.org/package/2006/relationships"><Relationship Id="rId1" Type="http://schemas.openxmlformats.org/officeDocument/2006/relationships/externalLinkPath" Target="/IESO%20Statements/IESO%20Statements/GHESI/2016/June%202016_CNF-GUELPHHYDRO_ST-P-P_20160630_v1.xlsx" TargetMode="External"/></Relationships>
</file>

<file path=xl/externalLinks/_rels/externalLink62.xml.rels><?xml version="1.0" encoding="UTF-8" standalone="yes"?>
<Relationships xmlns="http://schemas.openxmlformats.org/package/2006/relationships"><Relationship Id="rId1" Type="http://schemas.openxmlformats.org/officeDocument/2006/relationships/externalLinkPath" Target="/IESO%20Statements/IESO%20Statements/GHESI/2016/July%202016_CNF-GUELPHHYDRO_ST-P-P_20160731_v1.xlsx" TargetMode="External"/></Relationships>
</file>

<file path=xl/externalLinks/_rels/externalLink63.xml.rels><?xml version="1.0" encoding="UTF-8" standalone="yes"?>
<Relationships xmlns="http://schemas.openxmlformats.org/package/2006/relationships"><Relationship Id="rId1" Type="http://schemas.openxmlformats.org/officeDocument/2006/relationships/externalLinkPath" Target="/IESO%20Statements/IESO%20Statements/GHESI/2016/Aug%202016_CNF-GUELPHHYDRO_ST-P-P_20160831_v1.xlsx" TargetMode="External"/></Relationships>
</file>

<file path=xl/externalLinks/_rels/externalLink64.xml.rels><?xml version="1.0" encoding="UTF-8" standalone="yes"?>
<Relationships xmlns="http://schemas.openxmlformats.org/package/2006/relationships"><Relationship Id="rId1" Type="http://schemas.openxmlformats.org/officeDocument/2006/relationships/externalLinkPath" Target="/IESO%20Statements/IESO%20Statements/GHESI/2016/Sept%202016_CNF-GUELPHHYDRO_ST-P-P_20160930_v1.xlsx" TargetMode="External"/></Relationships>
</file>

<file path=xl/externalLinks/_rels/externalLink65.xml.rels><?xml version="1.0" encoding="UTF-8" standalone="yes"?>
<Relationships xmlns="http://schemas.openxmlformats.org/package/2006/relationships"><Relationship Id="rId1" Type="http://schemas.openxmlformats.org/officeDocument/2006/relationships/externalLinkPath" Target="/IESO%20Statements/IESO%20Statements/GHESI/2016/Oct%202016_CNF-GUELPHHYDRO_ST-P-P_20161031_v1.xlsx" TargetMode="External"/></Relationships>
</file>

<file path=xl/externalLinks/_rels/externalLink66.xml.rels><?xml version="1.0" encoding="UTF-8" standalone="yes"?>
<Relationships xmlns="http://schemas.openxmlformats.org/package/2006/relationships"><Relationship Id="rId1" Type="http://schemas.openxmlformats.org/officeDocument/2006/relationships/externalLinkPath" Target="/IESO%20Statements/IESO%20Statements/GHESI/2016/Nov%202016_CNF-GUELPHHYDRO_ST-P-P_20161130_v1.xlsx" TargetMode="External"/></Relationships>
</file>

<file path=xl/externalLinks/_rels/externalLink67.xml.rels><?xml version="1.0" encoding="UTF-8" standalone="yes"?>
<Relationships xmlns="http://schemas.openxmlformats.org/package/2006/relationships"><Relationship Id="rId1" Type="http://schemas.openxmlformats.org/officeDocument/2006/relationships/externalLinkPath" Target="/IESO%20Statements/IESO%20Statements/GHESI/2016/Dec%202016_CNF-GUELPHHYDRO_ST-P-P_20161231_v1.xlsx" TargetMode="External"/></Relationships>
</file>

<file path=xl/externalLinks/_rels/externalLink68.xml.rels><?xml version="1.0" encoding="UTF-8" standalone="yes"?>
<Relationships xmlns="http://schemas.openxmlformats.org/package/2006/relationships"><Relationship Id="rId1" Type="http://schemas.openxmlformats.org/officeDocument/2006/relationships/externalLinkPath" Target="/IESO%20Statements/IESO%20Statements/GHESI/2017/January%202017_CNF-GUELPHHYDRO_ST-P-P_20170131_v1.xlsx" TargetMode="External"/></Relationships>
</file>

<file path=xl/externalLinks/_rels/externalLink69.xml.rels><?xml version="1.0" encoding="UTF-8" standalone="yes"?>
<Relationships xmlns="http://schemas.openxmlformats.org/package/2006/relationships"><Relationship Id="rId1" Type="http://schemas.openxmlformats.org/officeDocument/2006/relationships/externalLinkPath" Target="/IESO%20Statements/IESO%20Statements/GHESI/2017/February%202017_CNF-GUELPHHYDRO_ST-P-P_20170228_v1.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Rate%20Submissions/Regulatory%20Matters/OEB/2.1.5/2016/2.1.5.4%20Metered%20Consumption%202016_v2_retailers%20fixed.xlsx" TargetMode="External"/></Relationships>
</file>

<file path=xl/externalLinks/_rels/externalLink70.xml.rels><?xml version="1.0" encoding="UTF-8" standalone="yes"?>
<Relationships xmlns="http://schemas.openxmlformats.org/package/2006/relationships"><Relationship Id="rId1" Type="http://schemas.openxmlformats.org/officeDocument/2006/relationships/externalLinkPath" Target="/IESO%20Statements/IESO%20Statements/GHESI/2017/March%202017_CNF-GUELPHHYDRO_ST-P-P_20170331_v1.xlsx" TargetMode="External"/></Relationships>
</file>

<file path=xl/externalLinks/_rels/externalLink71.xml.rels><?xml version="1.0" encoding="UTF-8" standalone="yes"?>
<Relationships xmlns="http://schemas.openxmlformats.org/package/2006/relationships"><Relationship Id="rId1" Type="http://schemas.openxmlformats.org/officeDocument/2006/relationships/externalLinkPath" Target="/IESO%20Statements/IESO%20Statements/GHESI/2017/April%202017%20CNF-GUELPHHYDRO_ST-P-P_20170430_v1.xlsx" TargetMode="External"/></Relationships>
</file>

<file path=xl/externalLinks/_rels/externalLink72.xml.rels><?xml version="1.0" encoding="UTF-8" standalone="yes"?>
<Relationships xmlns="http://schemas.openxmlformats.org/package/2006/relationships"><Relationship Id="rId1" Type="http://schemas.openxmlformats.org/officeDocument/2006/relationships/externalLinkPath" Target="/IESO%20Statements/IESO%20Statements/GHESI/2017/May%202017%20CNF-GUELPHHYDRO_ST-P-P_20170531.xlsx" TargetMode="External"/></Relationships>
</file>

<file path=xl/externalLinks/_rels/externalLink73.xml.rels><?xml version="1.0" encoding="UTF-8" standalone="yes"?>
<Relationships xmlns="http://schemas.openxmlformats.org/package/2006/relationships"><Relationship Id="rId1" Type="http://schemas.openxmlformats.org/officeDocument/2006/relationships/externalLinkPath" Target="/IESO%20Statements/IESO%20Statements/GHESI/2017/June%202017%20CNF-GUELPHHYDRO_ST-P-P_20170630.xlsx" TargetMode="External"/></Relationships>
</file>

<file path=xl/externalLinks/_rels/externalLink74.xml.rels><?xml version="1.0" encoding="UTF-8" standalone="yes"?>
<Relationships xmlns="http://schemas.openxmlformats.org/package/2006/relationships"><Relationship Id="rId1" Type="http://schemas.openxmlformats.org/officeDocument/2006/relationships/externalLinkPath" Target="/Rate%20Submissions/Regulatory%20Matters/IESO/Report%20Preparation/1722/Base%20period%20May%201%202015%20to%20April%2030%202016/Class%20A%20consumption%20July%202016-June%202017/Class%20A%20June%202017.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Rate%20Submissions/2018/GA%20Reasonableness%20Test/Billed%20second%20version%20of%20query/01-2016-CIS%20Billed%20Revenue%20by%20Range%20grouped%20by%20rec%20code%20and%20rate%20components%20INCL_CANC.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Rate%20Submissions/Regulatory%20Affairs/UBR/2016/2016%2001/Jan%202016%20vs%20Dec%202015%20Unbilled%20Revenu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GA Analysis"/>
      <sheetName val="1.Adjustments"/>
      <sheetName val="2.GA Detailed Analysis"/>
      <sheetName val="3.RPP True-up"/>
      <sheetName val="4.IESO Invoice Analysis"/>
      <sheetName val="5. UBR Retailer Contract"/>
    </sheetNames>
    <sheetDataSet>
      <sheetData sheetId="0"/>
      <sheetData sheetId="1">
        <row r="12">
          <cell r="D12">
            <v>499477250.51615453</v>
          </cell>
        </row>
        <row r="35">
          <cell r="C35">
            <v>58743140.229999997</v>
          </cell>
          <cell r="D35">
            <v>55645827.809999987</v>
          </cell>
          <cell r="E35">
            <v>48220273.359999992</v>
          </cell>
          <cell r="O35">
            <v>8.4229999999999999E-2</v>
          </cell>
        </row>
        <row r="36">
          <cell r="C36">
            <v>66960959.680000007</v>
          </cell>
          <cell r="D36">
            <v>48220273.359999992</v>
          </cell>
          <cell r="E36">
            <v>49525282.619999997</v>
          </cell>
          <cell r="O36">
            <v>0.10384</v>
          </cell>
        </row>
        <row r="37">
          <cell r="C37">
            <v>63947348.519999988</v>
          </cell>
          <cell r="D37">
            <v>49525282.619999997</v>
          </cell>
          <cell r="E37">
            <v>56319242.690000005</v>
          </cell>
          <cell r="O37">
            <v>9.0219999999999995E-2</v>
          </cell>
        </row>
        <row r="38">
          <cell r="C38">
            <v>61204250.079999991</v>
          </cell>
          <cell r="D38">
            <v>56319242.690000005</v>
          </cell>
          <cell r="E38">
            <v>51390282.439999998</v>
          </cell>
          <cell r="O38">
            <v>0.12114999999999999</v>
          </cell>
        </row>
        <row r="39">
          <cell r="C39">
            <v>63740323.479999997</v>
          </cell>
          <cell r="D39">
            <v>51390282.439999998</v>
          </cell>
          <cell r="E39">
            <v>52893171.68999999</v>
          </cell>
          <cell r="O39">
            <v>0.10405</v>
          </cell>
        </row>
        <row r="40">
          <cell r="C40">
            <v>63441195.579999983</v>
          </cell>
          <cell r="D40">
            <v>52893171.68999999</v>
          </cell>
          <cell r="E40">
            <v>52091310.640000001</v>
          </cell>
          <cell r="O40">
            <v>0.11650000000000001</v>
          </cell>
        </row>
        <row r="41">
          <cell r="C41">
            <v>58315662.649999984</v>
          </cell>
          <cell r="D41">
            <v>52091310.640000001</v>
          </cell>
          <cell r="E41">
            <v>55366136.819999993</v>
          </cell>
          <cell r="O41">
            <v>7.6670000000000002E-2</v>
          </cell>
        </row>
        <row r="42">
          <cell r="C42">
            <v>65694759.88000001</v>
          </cell>
          <cell r="D42">
            <v>55366136.819999993</v>
          </cell>
          <cell r="E42">
            <v>52839624.380000003</v>
          </cell>
          <cell r="O42">
            <v>8.5690000000000002E-2</v>
          </cell>
        </row>
        <row r="43">
          <cell r="C43">
            <v>66705999.039999999</v>
          </cell>
          <cell r="D43">
            <v>52839624.380000003</v>
          </cell>
          <cell r="E43">
            <v>56270547.780000001</v>
          </cell>
          <cell r="O43">
            <v>7.0599999999999996E-2</v>
          </cell>
        </row>
        <row r="44">
          <cell r="C44">
            <v>67194964.290000007</v>
          </cell>
          <cell r="D44">
            <v>56270547.780000001</v>
          </cell>
          <cell r="E44">
            <v>56697042.229999997</v>
          </cell>
          <cell r="O44">
            <v>9.7199999999999995E-2</v>
          </cell>
        </row>
        <row r="45">
          <cell r="C45">
            <v>64741531.880000003</v>
          </cell>
          <cell r="D45">
            <v>56697042.229999997</v>
          </cell>
          <cell r="E45">
            <v>52958002.010000013</v>
          </cell>
          <cell r="O45">
            <v>0.12271</v>
          </cell>
        </row>
        <row r="46">
          <cell r="C46">
            <v>63450204.320000008</v>
          </cell>
          <cell r="D46">
            <v>52958002.010000013</v>
          </cell>
          <cell r="E46">
            <v>57184248.389999993</v>
          </cell>
          <cell r="O46">
            <v>0.10594000000000001</v>
          </cell>
          <cell r="R46">
            <v>0.11462</v>
          </cell>
        </row>
      </sheetData>
      <sheetData sheetId="2"/>
      <sheetData sheetId="3"/>
      <sheetData sheetId="4"/>
      <sheetData sheetId="5"/>
      <sheetData sheetId="6"/>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IS Billed Revenue by Range gro"/>
    </sheetNames>
    <sheetDataSet>
      <sheetData sheetId="0">
        <row r="5087">
          <cell r="H5087">
            <v>5939402.9900000012</v>
          </cell>
          <cell r="I5087">
            <v>66960959.680000007</v>
          </cell>
        </row>
      </sheetData>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nbilled Chart"/>
      <sheetName val="Query"/>
      <sheetName val="UBR COMPARISON"/>
      <sheetName val="Unbilled Chart of Accounts"/>
      <sheetName val="Unbilled Chart of RecCode"/>
      <sheetName val="Unbilled Chart of Rate Comp"/>
    </sheetNames>
    <sheetDataSet>
      <sheetData sheetId="0">
        <row r="5">
          <cell r="K5">
            <v>668988.61</v>
          </cell>
        </row>
      </sheetData>
      <sheetData sheetId="1">
        <row r="244">
          <cell r="J244">
            <v>640.27</v>
          </cell>
        </row>
        <row r="245">
          <cell r="J245">
            <v>0</v>
          </cell>
        </row>
        <row r="246">
          <cell r="J246">
            <v>18688633.460000001</v>
          </cell>
        </row>
        <row r="247">
          <cell r="J247">
            <v>0</v>
          </cell>
        </row>
        <row r="248">
          <cell r="J248">
            <v>5690067.0700000003</v>
          </cell>
        </row>
        <row r="249">
          <cell r="J249">
            <v>0</v>
          </cell>
        </row>
        <row r="250">
          <cell r="J250">
            <v>19864521.279999997</v>
          </cell>
        </row>
        <row r="251">
          <cell r="J251">
            <v>0</v>
          </cell>
        </row>
        <row r="252">
          <cell r="J252">
            <v>26739845.690000001</v>
          </cell>
        </row>
        <row r="258">
          <cell r="D258">
            <v>252729.05</v>
          </cell>
          <cell r="E258">
            <v>2846986.5</v>
          </cell>
        </row>
        <row r="259">
          <cell r="D259">
            <v>6560.76</v>
          </cell>
          <cell r="E259">
            <v>73929.149999999994</v>
          </cell>
        </row>
        <row r="323">
          <cell r="L323">
            <v>624.05999999999995</v>
          </cell>
        </row>
        <row r="324">
          <cell r="L324">
            <v>16.21</v>
          </cell>
        </row>
        <row r="325">
          <cell r="L325">
            <v>18215266.190000001</v>
          </cell>
        </row>
        <row r="326">
          <cell r="L326">
            <v>-4.3600000000000003</v>
          </cell>
        </row>
        <row r="327">
          <cell r="L327">
            <v>473371.63</v>
          </cell>
        </row>
        <row r="328">
          <cell r="L328">
            <v>5545885.25</v>
          </cell>
        </row>
        <row r="329">
          <cell r="L329">
            <v>144181.82</v>
          </cell>
        </row>
      </sheetData>
      <sheetData sheetId="2">
        <row r="5">
          <cell r="D5">
            <v>5416.17</v>
          </cell>
        </row>
      </sheetData>
      <sheetData sheetId="3"/>
      <sheetData sheetId="4"/>
      <sheetData sheetId="5"/>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IS Billed Revenue by Range gro"/>
    </sheetNames>
    <sheetDataSet>
      <sheetData sheetId="0">
        <row r="4986">
          <cell r="H4986">
            <v>6488540.7300000014</v>
          </cell>
          <cell r="I4986">
            <v>63947348.519999988</v>
          </cell>
        </row>
      </sheetData>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nbilled Chart"/>
      <sheetName val="Query"/>
      <sheetName val="UBR COMPARISON"/>
      <sheetName val="Unbilled Chart of Accounts"/>
      <sheetName val="Unbilled Chart of RecCode"/>
      <sheetName val="Unbilled Chart of Rate Comp"/>
    </sheetNames>
    <sheetDataSet>
      <sheetData sheetId="0">
        <row r="5">
          <cell r="M5">
            <v>758426.70000000019</v>
          </cell>
        </row>
      </sheetData>
      <sheetData sheetId="1">
        <row r="243">
          <cell r="D243">
            <v>304289.91999999998</v>
          </cell>
          <cell r="E243">
            <v>3029736.96</v>
          </cell>
        </row>
        <row r="244">
          <cell r="D244">
            <v>7910.65</v>
          </cell>
          <cell r="E244">
            <v>78763.81</v>
          </cell>
          <cell r="J244">
            <v>801.68</v>
          </cell>
        </row>
        <row r="245">
          <cell r="J245">
            <v>0</v>
          </cell>
        </row>
        <row r="246">
          <cell r="J246">
            <v>20396345.23</v>
          </cell>
        </row>
        <row r="247">
          <cell r="J247">
            <v>0</v>
          </cell>
        </row>
        <row r="248">
          <cell r="J248">
            <v>7165818.0300000003</v>
          </cell>
        </row>
        <row r="249">
          <cell r="J249">
            <v>0</v>
          </cell>
        </row>
        <row r="250">
          <cell r="J250">
            <v>23226918.48</v>
          </cell>
        </row>
        <row r="251">
          <cell r="J251">
            <v>0</v>
          </cell>
        </row>
        <row r="252">
          <cell r="J252">
            <v>29983823.439999998</v>
          </cell>
        </row>
        <row r="321">
          <cell r="L321">
            <v>781.38</v>
          </cell>
        </row>
        <row r="322">
          <cell r="L322">
            <v>20.3</v>
          </cell>
        </row>
        <row r="323">
          <cell r="L323">
            <v>19879650.460000001</v>
          </cell>
        </row>
        <row r="324">
          <cell r="L324">
            <v>-13.42</v>
          </cell>
        </row>
        <row r="325">
          <cell r="L325">
            <v>516708.19</v>
          </cell>
        </row>
        <row r="326">
          <cell r="L326">
            <v>6984239.0899999999</v>
          </cell>
        </row>
        <row r="327">
          <cell r="L327">
            <v>181578.94</v>
          </cell>
        </row>
      </sheetData>
      <sheetData sheetId="2">
        <row r="5">
          <cell r="L5">
            <v>6188.09</v>
          </cell>
        </row>
      </sheetData>
      <sheetData sheetId="3"/>
      <sheetData sheetId="4"/>
      <sheetData sheetId="5"/>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IS Billed Revenue by Range gro"/>
    </sheetNames>
    <sheetDataSet>
      <sheetData sheetId="0">
        <row r="4404">
          <cell r="H4404">
            <v>5618220.0499999989</v>
          </cell>
          <cell r="I4404">
            <v>61204250.079999991</v>
          </cell>
        </row>
      </sheetData>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nbilled Chart"/>
      <sheetName val="Query"/>
      <sheetName val="UBR COMPARISON"/>
      <sheetName val="Unbilled Chart of Accounts"/>
      <sheetName val="Unbilled Chart of RecCode"/>
      <sheetName val="Unbilled Chart of Rate Comp"/>
    </sheetNames>
    <sheetDataSet>
      <sheetData sheetId="0">
        <row r="5">
          <cell r="M5">
            <v>611227.38</v>
          </cell>
        </row>
      </sheetData>
      <sheetData sheetId="1">
        <row r="244">
          <cell r="J244">
            <v>477.51</v>
          </cell>
        </row>
        <row r="245">
          <cell r="J245">
            <v>0</v>
          </cell>
        </row>
        <row r="246">
          <cell r="D246">
            <v>233026.55</v>
          </cell>
          <cell r="E246">
            <v>2380766.2200000002</v>
          </cell>
          <cell r="J246">
            <v>14550004.540000001</v>
          </cell>
        </row>
        <row r="247">
          <cell r="D247">
            <v>6057.57</v>
          </cell>
          <cell r="E247">
            <v>61887.01</v>
          </cell>
          <cell r="J247">
            <v>0</v>
          </cell>
        </row>
        <row r="248">
          <cell r="J248">
            <v>5448448.7700000005</v>
          </cell>
        </row>
        <row r="249">
          <cell r="J249">
            <v>0</v>
          </cell>
        </row>
        <row r="250">
          <cell r="J250">
            <v>20380282.640000001</v>
          </cell>
        </row>
        <row r="251">
          <cell r="J251">
            <v>0</v>
          </cell>
        </row>
        <row r="252">
          <cell r="J252">
            <v>28567346.57</v>
          </cell>
        </row>
        <row r="311">
          <cell r="L311">
            <v>465.42</v>
          </cell>
        </row>
        <row r="312">
          <cell r="L312">
            <v>12.09</v>
          </cell>
        </row>
        <row r="313">
          <cell r="L313">
            <v>14181548.470000001</v>
          </cell>
        </row>
        <row r="314">
          <cell r="L314">
            <v>-41.29</v>
          </cell>
        </row>
        <row r="315">
          <cell r="L315">
            <v>368497.36</v>
          </cell>
        </row>
        <row r="316">
          <cell r="L316">
            <v>5310393.28</v>
          </cell>
        </row>
        <row r="317">
          <cell r="L317">
            <v>138055.49</v>
          </cell>
        </row>
      </sheetData>
      <sheetData sheetId="2">
        <row r="5">
          <cell r="L5">
            <v>5602.52</v>
          </cell>
        </row>
      </sheetData>
      <sheetData sheetId="3"/>
      <sheetData sheetId="4"/>
      <sheetData sheetId="5"/>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IS Billed Revenue by Range gro"/>
    </sheetNames>
    <sheetDataSet>
      <sheetData sheetId="0">
        <row r="5112">
          <cell r="H5112">
            <v>7453237.5300000012</v>
          </cell>
          <cell r="I5112">
            <v>63740323.479999997</v>
          </cell>
        </row>
      </sheetData>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nbilled Chart"/>
      <sheetName val="Query"/>
      <sheetName val="UBR COMPARISON"/>
      <sheetName val="Unbilled Chart of Accounts"/>
      <sheetName val="Unbilled Chart of RecCode"/>
      <sheetName val="Unbilled Chart of Rate Comp"/>
    </sheetNames>
    <sheetDataSet>
      <sheetData sheetId="0">
        <row r="5">
          <cell r="M5">
            <v>684135.40999999992</v>
          </cell>
        </row>
      </sheetData>
      <sheetData sheetId="1">
        <row r="365">
          <cell r="M365">
            <v>661.38</v>
          </cell>
        </row>
        <row r="366">
          <cell r="M366">
            <v>14435826.580000002</v>
          </cell>
        </row>
        <row r="367">
          <cell r="M367">
            <v>5488230.5899999989</v>
          </cell>
        </row>
        <row r="368">
          <cell r="M368">
            <v>20921582.859999999</v>
          </cell>
        </row>
        <row r="369">
          <cell r="M369">
            <v>29617387.529999997</v>
          </cell>
        </row>
        <row r="370">
          <cell r="M370">
            <v>0</v>
          </cell>
        </row>
        <row r="387">
          <cell r="G387">
            <v>64.150000000000006</v>
          </cell>
          <cell r="H387">
            <v>711.15</v>
          </cell>
        </row>
        <row r="388">
          <cell r="G388">
            <v>201469.83</v>
          </cell>
          <cell r="H388">
            <v>1662657.42</v>
          </cell>
        </row>
        <row r="389">
          <cell r="G389">
            <v>65706.789999999994</v>
          </cell>
          <cell r="H389">
            <v>631190.44999999995</v>
          </cell>
        </row>
        <row r="390">
          <cell r="G390">
            <v>1.66</v>
          </cell>
          <cell r="H390">
            <v>18.48</v>
          </cell>
        </row>
        <row r="391">
          <cell r="G391">
            <v>5237.1899999999996</v>
          </cell>
          <cell r="H391">
            <v>43220.91</v>
          </cell>
        </row>
        <row r="392">
          <cell r="G392">
            <v>1707.53</v>
          </cell>
          <cell r="H392">
            <v>16402.89</v>
          </cell>
        </row>
        <row r="510">
          <cell r="R510">
            <v>644.63</v>
          </cell>
        </row>
        <row r="511">
          <cell r="R511">
            <v>16.75</v>
          </cell>
        </row>
        <row r="512">
          <cell r="R512">
            <v>33963.370000000003</v>
          </cell>
        </row>
        <row r="513">
          <cell r="R513">
            <v>9678576.0800000001</v>
          </cell>
        </row>
        <row r="514">
          <cell r="R514">
            <v>4358206.4000000004</v>
          </cell>
        </row>
        <row r="515">
          <cell r="R515">
            <v>-469.03</v>
          </cell>
        </row>
        <row r="516">
          <cell r="R516">
            <v>882.4</v>
          </cell>
        </row>
        <row r="517">
          <cell r="R517">
            <v>251499.21</v>
          </cell>
        </row>
        <row r="518">
          <cell r="R518">
            <v>113168.15</v>
          </cell>
        </row>
        <row r="519">
          <cell r="R519">
            <v>447.65</v>
          </cell>
        </row>
        <row r="520">
          <cell r="R520">
            <v>423.58</v>
          </cell>
        </row>
        <row r="521">
          <cell r="R521">
            <v>9142.3799999999992</v>
          </cell>
        </row>
        <row r="522">
          <cell r="R522">
            <v>3168174.66</v>
          </cell>
        </row>
        <row r="523">
          <cell r="R523">
            <v>2170986.65</v>
          </cell>
        </row>
        <row r="524">
          <cell r="R524">
            <v>9.35</v>
          </cell>
        </row>
        <row r="525">
          <cell r="R525">
            <v>8.85</v>
          </cell>
        </row>
        <row r="526">
          <cell r="R526">
            <v>237.66</v>
          </cell>
        </row>
        <row r="527">
          <cell r="R527">
            <v>82363.289999999994</v>
          </cell>
        </row>
        <row r="528">
          <cell r="R528">
            <v>56436.52</v>
          </cell>
        </row>
      </sheetData>
      <sheetData sheetId="2">
        <row r="5">
          <cell r="L5">
            <v>5982.25</v>
          </cell>
        </row>
      </sheetData>
      <sheetData sheetId="3"/>
      <sheetData sheetId="4"/>
      <sheetData sheetId="5"/>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IS Billed Revenue by Range gro"/>
    </sheetNames>
    <sheetDataSet>
      <sheetData sheetId="0">
        <row r="5207">
          <cell r="H5207">
            <v>6719774.3799999999</v>
          </cell>
          <cell r="I5207">
            <v>63441195.579999983</v>
          </cell>
        </row>
      </sheetData>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nbilled Chart"/>
      <sheetName val="Query"/>
      <sheetName val="UBR COMPARISON"/>
      <sheetName val="Unbilled Chart of Accounts"/>
      <sheetName val="Unbilled Chart of RecCode"/>
      <sheetName val="Unbilled Chart of Rate Comp"/>
    </sheetNames>
    <sheetDataSet>
      <sheetData sheetId="0">
        <row r="5">
          <cell r="M5">
            <v>705238.02</v>
          </cell>
        </row>
      </sheetData>
      <sheetData sheetId="1">
        <row r="365">
          <cell r="M365">
            <v>739</v>
          </cell>
        </row>
        <row r="366">
          <cell r="M366">
            <v>15713761.540000003</v>
          </cell>
        </row>
        <row r="367">
          <cell r="M367">
            <v>5898755.3199999994</v>
          </cell>
        </row>
        <row r="368">
          <cell r="M368">
            <v>20977242.150000002</v>
          </cell>
        </row>
        <row r="369">
          <cell r="M369">
            <v>28721035.68</v>
          </cell>
        </row>
        <row r="370">
          <cell r="M370">
            <v>0</v>
          </cell>
        </row>
        <row r="432">
          <cell r="G432">
            <v>70.13</v>
          </cell>
          <cell r="H432">
            <v>627.27</v>
          </cell>
        </row>
        <row r="433">
          <cell r="G433">
            <v>250789.48</v>
          </cell>
          <cell r="H433">
            <v>2331771.48</v>
          </cell>
        </row>
        <row r="434">
          <cell r="G434">
            <v>1.81</v>
          </cell>
          <cell r="H434">
            <v>16.3</v>
          </cell>
        </row>
        <row r="435">
          <cell r="G435">
            <v>6519.77</v>
          </cell>
          <cell r="H435">
            <v>60617.760000000002</v>
          </cell>
        </row>
        <row r="556">
          <cell r="R556">
            <v>720.29</v>
          </cell>
        </row>
        <row r="557">
          <cell r="R557">
            <v>18.71</v>
          </cell>
        </row>
        <row r="558">
          <cell r="R558">
            <v>66.88</v>
          </cell>
        </row>
        <row r="559">
          <cell r="R559">
            <v>23.85</v>
          </cell>
        </row>
        <row r="560">
          <cell r="R560">
            <v>35.200000000000003</v>
          </cell>
        </row>
        <row r="561">
          <cell r="R561">
            <v>11.73</v>
          </cell>
        </row>
        <row r="562">
          <cell r="R562">
            <v>71.959999999999994</v>
          </cell>
        </row>
        <row r="563">
          <cell r="R563">
            <v>23.85</v>
          </cell>
        </row>
        <row r="564">
          <cell r="R564">
            <v>123.95</v>
          </cell>
        </row>
        <row r="565">
          <cell r="R565">
            <v>4046.83</v>
          </cell>
        </row>
        <row r="566">
          <cell r="R566">
            <v>15312870.5</v>
          </cell>
        </row>
        <row r="567">
          <cell r="R567">
            <v>-1612.01</v>
          </cell>
        </row>
        <row r="568">
          <cell r="R568">
            <v>1.39</v>
          </cell>
        </row>
        <row r="569">
          <cell r="R569">
            <v>0.49</v>
          </cell>
        </row>
        <row r="570">
          <cell r="R570">
            <v>0.73</v>
          </cell>
        </row>
        <row r="571">
          <cell r="R571">
            <v>0.24</v>
          </cell>
        </row>
        <row r="572">
          <cell r="R572">
            <v>1.5</v>
          </cell>
        </row>
        <row r="573">
          <cell r="R573">
            <v>0.49</v>
          </cell>
        </row>
        <row r="574">
          <cell r="R574">
            <v>3.21</v>
          </cell>
        </row>
        <row r="575">
          <cell r="R575">
            <v>104.89</v>
          </cell>
        </row>
        <row r="576">
          <cell r="R576">
            <v>397985.86</v>
          </cell>
        </row>
        <row r="577">
          <cell r="R577">
            <v>1153784.8799999999</v>
          </cell>
        </row>
        <row r="578">
          <cell r="R578">
            <v>4595498.93</v>
          </cell>
        </row>
        <row r="579">
          <cell r="R579">
            <v>29998.34</v>
          </cell>
        </row>
        <row r="580">
          <cell r="R580">
            <v>119473.17</v>
          </cell>
        </row>
      </sheetData>
      <sheetData sheetId="2">
        <row r="5">
          <cell r="L5">
            <v>5603.74</v>
          </cell>
        </row>
      </sheetData>
      <sheetData sheetId="3" refreshError="1"/>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16 Cust. switch Class A to B"/>
      <sheetName val="2016 Cust. switch Class B to A"/>
      <sheetName val="2016 Class A Cust. entire Yr"/>
      <sheetName val="Cargill 2016 Billed kWh"/>
      <sheetName val="Polycon 2016 Billed kWh"/>
      <sheetName val="Owens Corning 2016 Billed kWh"/>
      <sheetName val="Camtac 2016 Billed kWh"/>
      <sheetName val="UofG 2016 Billed kWh"/>
      <sheetName val="Blount 2016 Billed kWh"/>
      <sheetName val="RBC 2016 Billed kWh"/>
      <sheetName val="Denso 2016 Billed kWh"/>
      <sheetName val="Brookfield 2016 Billed kWh"/>
      <sheetName val="Camcor 2016 Billed kWh"/>
      <sheetName val="Linamar Gear 2016 Billed kWh"/>
      <sheetName val="Hastech 2016 Billed kWh"/>
      <sheetName val="Roctel 2016 Billed kWh"/>
      <sheetName val="Vehcom 2016 Billed kWh"/>
    </sheetNames>
    <sheetDataSet>
      <sheetData sheetId="0">
        <row r="34">
          <cell r="F34">
            <v>368643155.18075246</v>
          </cell>
        </row>
        <row r="35">
          <cell r="F35">
            <v>50541133.349623784</v>
          </cell>
        </row>
        <row r="36">
          <cell r="F36">
            <v>749584027.59962356</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IS Billed Revenue by Range gro"/>
    </sheetNames>
    <sheetDataSet>
      <sheetData sheetId="0">
        <row r="4115">
          <cell r="H4115">
            <v>6702633.9500000002</v>
          </cell>
          <cell r="I4115">
            <v>58315662.649999984</v>
          </cell>
        </row>
      </sheetData>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nbilled Chart"/>
      <sheetName val="Query"/>
      <sheetName val="UBR COMPARISON"/>
      <sheetName val="Unbilled Chart of Accounts"/>
      <sheetName val="Unbilled Chart of RecCode"/>
      <sheetName val="Unbilled Chart of Rate Comp"/>
    </sheetNames>
    <sheetDataSet>
      <sheetData sheetId="0">
        <row r="5">
          <cell r="M5">
            <v>653711.87999999989</v>
          </cell>
        </row>
      </sheetData>
      <sheetData sheetId="1">
        <row r="306">
          <cell r="G306">
            <v>39.96</v>
          </cell>
          <cell r="H306">
            <v>428.21</v>
          </cell>
        </row>
        <row r="307">
          <cell r="G307">
            <v>170592.43</v>
          </cell>
          <cell r="H307">
            <v>1705665.89</v>
          </cell>
        </row>
        <row r="308">
          <cell r="G308">
            <v>72877.789999999994</v>
          </cell>
          <cell r="H308">
            <v>625560.47</v>
          </cell>
        </row>
        <row r="309">
          <cell r="G309">
            <v>1.03</v>
          </cell>
          <cell r="H309">
            <v>11.13</v>
          </cell>
        </row>
        <row r="310">
          <cell r="G310">
            <v>4434.75</v>
          </cell>
          <cell r="H310">
            <v>44340.32</v>
          </cell>
        </row>
        <row r="311">
          <cell r="G311">
            <v>1894.82</v>
          </cell>
          <cell r="H311">
            <v>16264.56</v>
          </cell>
        </row>
        <row r="365">
          <cell r="M365">
            <v>532.27</v>
          </cell>
        </row>
        <row r="366">
          <cell r="M366">
            <v>16613279.659999998</v>
          </cell>
        </row>
        <row r="367">
          <cell r="M367">
            <v>5937537.3199999994</v>
          </cell>
        </row>
        <row r="368">
          <cell r="M368">
            <v>22034241.970000003</v>
          </cell>
        </row>
        <row r="369">
          <cell r="M369">
            <v>30939624.27</v>
          </cell>
        </row>
        <row r="370">
          <cell r="M370">
            <v>0</v>
          </cell>
        </row>
        <row r="421">
          <cell r="R421">
            <v>518.79</v>
          </cell>
        </row>
        <row r="422">
          <cell r="R422">
            <v>13.48</v>
          </cell>
        </row>
        <row r="423">
          <cell r="R423">
            <v>2261.6</v>
          </cell>
        </row>
        <row r="424">
          <cell r="R424">
            <v>16191738.43</v>
          </cell>
        </row>
        <row r="425">
          <cell r="R425">
            <v>-1638.16</v>
          </cell>
        </row>
        <row r="426">
          <cell r="R426">
            <v>58.79</v>
          </cell>
        </row>
        <row r="427">
          <cell r="R427">
            <v>420859</v>
          </cell>
        </row>
        <row r="428">
          <cell r="R428">
            <v>2672.3</v>
          </cell>
        </row>
        <row r="429">
          <cell r="R429">
            <v>1143547.1599999999</v>
          </cell>
        </row>
        <row r="430">
          <cell r="R430">
            <v>4640862.17</v>
          </cell>
        </row>
        <row r="431">
          <cell r="R431">
            <v>69.42</v>
          </cell>
        </row>
        <row r="432">
          <cell r="R432">
            <v>29732.14</v>
          </cell>
        </row>
        <row r="433">
          <cell r="R433">
            <v>120654.13</v>
          </cell>
        </row>
      </sheetData>
      <sheetData sheetId="2">
        <row r="5">
          <cell r="L5">
            <v>5990.5</v>
          </cell>
        </row>
      </sheetData>
      <sheetData sheetId="3" refreshError="1"/>
      <sheetData sheetId="4" refreshError="1"/>
      <sheetData sheetId="5"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IS Billed Revenue by Range gro"/>
    </sheetNames>
    <sheetDataSet>
      <sheetData sheetId="0">
        <row r="4660">
          <cell r="H4660">
            <v>5362347.8500000015</v>
          </cell>
          <cell r="I4660">
            <v>65694759.88000001</v>
          </cell>
        </row>
      </sheetData>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nbilled Chart"/>
      <sheetName val="Query"/>
      <sheetName val="UBR COMPARISON"/>
      <sheetName val="Unbilled Chart of Accounts"/>
      <sheetName val="Unbilled Chart of RecCode"/>
      <sheetName val="Unbilled Chart of Rate Comp"/>
    </sheetNames>
    <sheetDataSet>
      <sheetData sheetId="0">
        <row r="5">
          <cell r="M5">
            <v>718341.74</v>
          </cell>
        </row>
      </sheetData>
      <sheetData sheetId="1">
        <row r="252">
          <cell r="G252">
            <v>46.73</v>
          </cell>
          <cell r="H252">
            <v>569.54999999999995</v>
          </cell>
        </row>
        <row r="253">
          <cell r="G253">
            <v>163196.49</v>
          </cell>
          <cell r="H253">
            <v>2032744.71</v>
          </cell>
        </row>
        <row r="254">
          <cell r="G254">
            <v>49911.05</v>
          </cell>
          <cell r="H254">
            <v>650985.43000000005</v>
          </cell>
        </row>
        <row r="255">
          <cell r="G255">
            <v>1.21</v>
          </cell>
          <cell r="H255">
            <v>14.8</v>
          </cell>
        </row>
        <row r="256">
          <cell r="G256">
            <v>4242.47</v>
          </cell>
          <cell r="H256">
            <v>52843.12</v>
          </cell>
        </row>
        <row r="257">
          <cell r="G257">
            <v>1297.68</v>
          </cell>
          <cell r="H257">
            <v>16925.599999999999</v>
          </cell>
        </row>
        <row r="327">
          <cell r="R327">
            <v>717.19</v>
          </cell>
        </row>
        <row r="328">
          <cell r="R328">
            <v>18.63</v>
          </cell>
        </row>
        <row r="329">
          <cell r="R329">
            <v>21289353.850000001</v>
          </cell>
        </row>
        <row r="330">
          <cell r="R330">
            <v>-1005.1</v>
          </cell>
        </row>
        <row r="331">
          <cell r="R331">
            <v>553369.12</v>
          </cell>
        </row>
        <row r="332">
          <cell r="R332">
            <v>1425156.85</v>
          </cell>
        </row>
        <row r="333">
          <cell r="R333">
            <v>5245750.67</v>
          </cell>
        </row>
        <row r="334">
          <cell r="R334">
            <v>37054.019999999997</v>
          </cell>
        </row>
        <row r="335">
          <cell r="R335">
            <v>136379.92000000001</v>
          </cell>
        </row>
        <row r="365">
          <cell r="M365">
            <v>735.82</v>
          </cell>
        </row>
        <row r="366">
          <cell r="M366">
            <v>21841717.870000001</v>
          </cell>
        </row>
        <row r="367">
          <cell r="M367">
            <v>6844341.459999999</v>
          </cell>
        </row>
        <row r="368">
          <cell r="M368">
            <v>21368982.360000003</v>
          </cell>
        </row>
        <row r="369">
          <cell r="M369">
            <v>26719781.190000001</v>
          </cell>
        </row>
        <row r="370">
          <cell r="M370">
            <v>1996777.62</v>
          </cell>
        </row>
      </sheetData>
      <sheetData sheetId="2">
        <row r="5">
          <cell r="L5">
            <v>5806.49</v>
          </cell>
        </row>
      </sheetData>
      <sheetData sheetId="3" refreshError="1"/>
      <sheetData sheetId="4" refreshError="1"/>
      <sheetData sheetId="5"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IS Billed Revenue by Range gro"/>
    </sheetNames>
    <sheetDataSet>
      <sheetData sheetId="0">
        <row r="4285">
          <cell r="H4285">
            <v>5652296.5200000023</v>
          </cell>
          <cell r="I4285">
            <v>66705999.039999999</v>
          </cell>
        </row>
      </sheetData>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nbilled Chart"/>
      <sheetName val="Query"/>
      <sheetName val="UBR COMPARISON"/>
      <sheetName val="Unbilled Chart of Accounts"/>
      <sheetName val="Unbilled Chart of RecCode"/>
      <sheetName val="Unbilled Chart of Rate Comp"/>
    </sheetNames>
    <sheetDataSet>
      <sheetData sheetId="0">
        <row r="5">
          <cell r="M5">
            <v>607560.95000000007</v>
          </cell>
        </row>
      </sheetData>
      <sheetData sheetId="1">
        <row r="281">
          <cell r="G281">
            <v>30.28</v>
          </cell>
          <cell r="H281">
            <v>392.06</v>
          </cell>
        </row>
        <row r="282">
          <cell r="G282">
            <v>136862.43</v>
          </cell>
          <cell r="H282">
            <v>1706309.11</v>
          </cell>
        </row>
        <row r="283">
          <cell r="G283">
            <v>60631.45</v>
          </cell>
          <cell r="H283">
            <v>707567.4</v>
          </cell>
        </row>
        <row r="284">
          <cell r="G284">
            <v>0.78</v>
          </cell>
          <cell r="H284">
            <v>10.19</v>
          </cell>
        </row>
        <row r="285">
          <cell r="G285">
            <v>3558.02</v>
          </cell>
          <cell r="H285">
            <v>44357.97</v>
          </cell>
        </row>
        <row r="286">
          <cell r="G286">
            <v>1576.42</v>
          </cell>
          <cell r="H286">
            <v>18396.740000000002</v>
          </cell>
        </row>
        <row r="365">
          <cell r="M365">
            <v>489.41999999999996</v>
          </cell>
        </row>
        <row r="366">
          <cell r="M366">
            <v>17382138</v>
          </cell>
        </row>
        <row r="367">
          <cell r="M367">
            <v>5596084.2700000005</v>
          </cell>
        </row>
        <row r="368">
          <cell r="M368">
            <v>21307152.200000003</v>
          </cell>
        </row>
        <row r="369">
          <cell r="M369">
            <v>29558719.469999999</v>
          </cell>
        </row>
        <row r="370">
          <cell r="M370">
            <v>2927642.64</v>
          </cell>
        </row>
        <row r="414">
          <cell r="R414">
            <v>477.03</v>
          </cell>
        </row>
        <row r="415">
          <cell r="R415">
            <v>12.39</v>
          </cell>
        </row>
        <row r="416">
          <cell r="R416">
            <v>16942245.079999998</v>
          </cell>
        </row>
        <row r="417">
          <cell r="R417">
            <v>-490.86</v>
          </cell>
        </row>
        <row r="418">
          <cell r="R418">
            <v>440383.78</v>
          </cell>
        </row>
        <row r="419">
          <cell r="R419">
            <v>1151289.92</v>
          </cell>
        </row>
        <row r="420">
          <cell r="R420">
            <v>4302990.9000000004</v>
          </cell>
        </row>
        <row r="421">
          <cell r="R421">
            <v>29933.49</v>
          </cell>
        </row>
        <row r="422">
          <cell r="R422">
            <v>111869.96</v>
          </cell>
        </row>
      </sheetData>
      <sheetData sheetId="2">
        <row r="5">
          <cell r="L5">
            <v>5622.03</v>
          </cell>
        </row>
      </sheetData>
      <sheetData sheetId="3" refreshError="1"/>
      <sheetData sheetId="4" refreshError="1"/>
      <sheetData sheetId="5"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IS Billed Revenue by Range gro"/>
    </sheetNames>
    <sheetDataSet>
      <sheetData sheetId="0">
        <row r="4380">
          <cell r="H4380">
            <v>4881899.16</v>
          </cell>
          <cell r="I4380">
            <v>67194964.290000007</v>
          </cell>
        </row>
      </sheetData>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nbilled Chart"/>
      <sheetName val="Query"/>
      <sheetName val="UBR COMPARISON"/>
      <sheetName val="Unbilled Chart of Accounts"/>
      <sheetName val="Unbilled Chart of RecCode"/>
      <sheetName val="Unbilled Chart of Rate Comp"/>
    </sheetNames>
    <sheetDataSet>
      <sheetData sheetId="0">
        <row r="5">
          <cell r="M5">
            <v>687633.35999999987</v>
          </cell>
        </row>
      </sheetData>
      <sheetData sheetId="1">
        <row r="267">
          <cell r="G267">
            <v>45.93</v>
          </cell>
          <cell r="H267">
            <v>528.41</v>
          </cell>
        </row>
        <row r="268">
          <cell r="G268">
            <v>127054.04</v>
          </cell>
          <cell r="H268">
            <v>1567279.21</v>
          </cell>
        </row>
        <row r="269">
          <cell r="G269">
            <v>59466.54</v>
          </cell>
          <cell r="H269">
            <v>842302.24</v>
          </cell>
        </row>
        <row r="270">
          <cell r="G270">
            <v>1.19</v>
          </cell>
          <cell r="H270">
            <v>13.73</v>
          </cell>
        </row>
        <row r="271">
          <cell r="G271">
            <v>3303.01</v>
          </cell>
          <cell r="H271">
            <v>40741.32</v>
          </cell>
        </row>
        <row r="272">
          <cell r="G272">
            <v>1546.12</v>
          </cell>
          <cell r="H272">
            <v>21899.85</v>
          </cell>
        </row>
        <row r="365">
          <cell r="M365">
            <v>658.97</v>
          </cell>
        </row>
        <row r="366">
          <cell r="M366">
            <v>15184401.120000001</v>
          </cell>
        </row>
        <row r="367">
          <cell r="M367">
            <v>5603093.4400000004</v>
          </cell>
        </row>
        <row r="368">
          <cell r="M368">
            <v>21814350.93</v>
          </cell>
        </row>
        <row r="369">
          <cell r="M369">
            <v>28766552.379999999</v>
          </cell>
        </row>
        <row r="370">
          <cell r="M370">
            <v>3643374.1599999997</v>
          </cell>
        </row>
        <row r="415">
          <cell r="R415">
            <v>642.28</v>
          </cell>
        </row>
        <row r="416">
          <cell r="R416">
            <v>16.690000000000001</v>
          </cell>
        </row>
        <row r="417">
          <cell r="R417">
            <v>14800944.720000001</v>
          </cell>
        </row>
        <row r="418">
          <cell r="R418">
            <v>-1218.98</v>
          </cell>
        </row>
        <row r="419">
          <cell r="R419">
            <v>384675.38</v>
          </cell>
        </row>
        <row r="420">
          <cell r="R420">
            <v>1105526.28</v>
          </cell>
        </row>
        <row r="421">
          <cell r="R421">
            <v>4355588.12</v>
          </cell>
        </row>
        <row r="422">
          <cell r="R422">
            <v>28743.63</v>
          </cell>
        </row>
        <row r="423">
          <cell r="R423">
            <v>113235.41</v>
          </cell>
        </row>
      </sheetData>
      <sheetData sheetId="2">
        <row r="5">
          <cell r="L5">
            <v>6010.9</v>
          </cell>
        </row>
      </sheetData>
      <sheetData sheetId="3" refreshError="1"/>
      <sheetData sheetId="4" refreshError="1"/>
      <sheetData sheetId="5"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IS Billed Revenue by Range gro"/>
    </sheetNames>
    <sheetDataSet>
      <sheetData sheetId="0">
        <row r="4791">
          <cell r="H4791">
            <v>6170460.9000000013</v>
          </cell>
          <cell r="I4791">
            <v>64741531.880000003</v>
          </cell>
        </row>
      </sheetData>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nbilled Chart"/>
      <sheetName val="Query"/>
      <sheetName val="UBR COMPARISON"/>
      <sheetName val="Unbilled Chart of Accounts"/>
      <sheetName val="Unbilled Chart of RecCode"/>
      <sheetName val="Unbilled Chart of Rate Comp"/>
    </sheetNames>
    <sheetDataSet>
      <sheetData sheetId="0">
        <row r="5">
          <cell r="M5">
            <v>715816.34000000008</v>
          </cell>
        </row>
      </sheetData>
      <sheetData sheetId="1">
        <row r="314">
          <cell r="G314">
            <v>63.46</v>
          </cell>
          <cell r="H314">
            <v>569.54999999999995</v>
          </cell>
        </row>
        <row r="315">
          <cell r="G315">
            <v>96632.16</v>
          </cell>
          <cell r="H315">
            <v>994287.05</v>
          </cell>
        </row>
        <row r="316">
          <cell r="G316">
            <v>89568.960000000006</v>
          </cell>
          <cell r="H316">
            <v>921491.4</v>
          </cell>
        </row>
        <row r="317">
          <cell r="G317">
            <v>69891.289999999994</v>
          </cell>
          <cell r="H317">
            <v>569609.07999999996</v>
          </cell>
        </row>
        <row r="318">
          <cell r="G318">
            <v>1.65</v>
          </cell>
          <cell r="H318">
            <v>14.8</v>
          </cell>
        </row>
        <row r="319">
          <cell r="G319">
            <v>2511.77</v>
          </cell>
          <cell r="H319">
            <v>25843.68</v>
          </cell>
        </row>
        <row r="320">
          <cell r="G320">
            <v>2328.79</v>
          </cell>
          <cell r="H320">
            <v>23958.76</v>
          </cell>
        </row>
        <row r="321">
          <cell r="G321">
            <v>1816.44</v>
          </cell>
          <cell r="H321">
            <v>14801.86</v>
          </cell>
        </row>
        <row r="365">
          <cell r="M365">
            <v>733.41000000000008</v>
          </cell>
        </row>
        <row r="366">
          <cell r="M366">
            <v>15553910.220000001</v>
          </cell>
        </row>
        <row r="367">
          <cell r="M367">
            <v>6389097.54</v>
          </cell>
        </row>
        <row r="368">
          <cell r="M368">
            <v>21562189.510000002</v>
          </cell>
        </row>
        <row r="369">
          <cell r="M369">
            <v>25840934.84</v>
          </cell>
        </row>
        <row r="370">
          <cell r="M370">
            <v>3004301.48</v>
          </cell>
        </row>
        <row r="422">
          <cell r="R422">
            <v>714.84</v>
          </cell>
        </row>
        <row r="423">
          <cell r="R423">
            <v>18.57</v>
          </cell>
        </row>
        <row r="424">
          <cell r="R424">
            <v>11222509.48</v>
          </cell>
        </row>
        <row r="425">
          <cell r="R425">
            <v>3938110.64</v>
          </cell>
        </row>
        <row r="426">
          <cell r="R426">
            <v>-582.41999999999996</v>
          </cell>
        </row>
        <row r="427">
          <cell r="R427">
            <v>291633.03000000003</v>
          </cell>
        </row>
        <row r="428">
          <cell r="R428">
            <v>102239.49</v>
          </cell>
        </row>
        <row r="429">
          <cell r="R429">
            <v>1246584.77</v>
          </cell>
        </row>
        <row r="430">
          <cell r="R430">
            <v>2364092.52</v>
          </cell>
        </row>
        <row r="431">
          <cell r="R431">
            <v>2616532.16</v>
          </cell>
        </row>
        <row r="432">
          <cell r="R432">
            <v>32411.14</v>
          </cell>
        </row>
        <row r="433">
          <cell r="R433">
            <v>61456.79</v>
          </cell>
        </row>
        <row r="434">
          <cell r="R434">
            <v>68020.160000000003</v>
          </cell>
        </row>
      </sheetData>
      <sheetData sheetId="2">
        <row r="5">
          <cell r="L5">
            <v>5630.98</v>
          </cell>
        </row>
      </sheetData>
      <sheetData sheetId="3" refreshError="1"/>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for Tabs 3 to 7"/>
      <sheetName val="1. Information Sheet"/>
      <sheetName val="Sheet1"/>
      <sheetName val="2. Current Tariff Schedule"/>
      <sheetName val="3. Continuity Schedule"/>
      <sheetName val="2016 List"/>
      <sheetName val="4. Billing Det. for Def-Var"/>
      <sheetName val="2 1 5 TotalConsumptionData_Dist"/>
      <sheetName val="5. Allocating Def-Var Balances"/>
      <sheetName val="6. Class A Consumption Data"/>
      <sheetName val="6.1 GA"/>
      <sheetName val="6.1a GA Allocation"/>
      <sheetName val="6.2 CBR B"/>
      <sheetName val="6.2a CBR B_Allocation"/>
      <sheetName val="7. Calculation of Def-Var RR"/>
      <sheetName val="8. STS - Tax Change"/>
      <sheetName val="9. Shared Tax - Rate Rider"/>
      <sheetName val="10. RTSR Current Rates"/>
      <sheetName val="11. RTSR - UTRs &amp; Sub-Tx"/>
      <sheetName val="12. RTSR - Historical Wholesale"/>
      <sheetName val="13. RTSR - Current Wholesale"/>
      <sheetName val="14. RTSR - Forecast Wholesale"/>
      <sheetName val="15. RTSR Rates to Forecast"/>
      <sheetName val="16. Rev2Cost_GDPIPI"/>
      <sheetName val="17. Regulatory Charges"/>
      <sheetName val="18. Additional Rates"/>
      <sheetName val="19. Final Tariff Schedule"/>
      <sheetName val="20. Bill Impacts"/>
      <sheetName val="212_Total_Connection_RollUp"/>
      <sheetName val="2.1.7 Filing"/>
      <sheetName val="20. HIDDEN"/>
      <sheetName val="20. Bill Impacts hidden"/>
      <sheetName val="Database"/>
      <sheetName val="lists"/>
      <sheetName val="Sheet2"/>
      <sheetName val="Sheet3"/>
    </sheetNames>
    <sheetDataSet>
      <sheetData sheetId="0"/>
      <sheetData sheetId="1"/>
      <sheetData sheetId="2"/>
      <sheetData sheetId="3"/>
      <sheetData sheetId="4">
        <row r="29">
          <cell r="BD29">
            <v>1140982.26</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IS Billed Revenue by Range gro"/>
    </sheetNames>
    <sheetDataSet>
      <sheetData sheetId="0">
        <row r="4201">
          <cell r="H4201">
            <v>7607820.2600000007</v>
          </cell>
          <cell r="I4201">
            <v>63450204.320000008</v>
          </cell>
        </row>
      </sheetData>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Loss Adj 2016"/>
      <sheetName val="Adjustments"/>
      <sheetName val="Cont. Sch. UBR"/>
      <sheetName val="RPP True-up"/>
      <sheetName val="B-Loss Adj 2015"/>
    </sheetNames>
    <sheetDataSet>
      <sheetData sheetId="0">
        <row r="25">
          <cell r="L25">
            <v>0.10594000000000001</v>
          </cell>
        </row>
      </sheetData>
      <sheetData sheetId="1">
        <row r="13">
          <cell r="M13">
            <v>55645827.809999987</v>
          </cell>
        </row>
        <row r="14">
          <cell r="M14">
            <v>57184248.389999993</v>
          </cell>
        </row>
      </sheetData>
      <sheetData sheetId="2"/>
      <sheetData sheetId="3"/>
      <sheetData sheetId="4">
        <row r="24">
          <cell r="C24">
            <v>0.11462</v>
          </cell>
        </row>
      </sheetData>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Notes"/>
      <sheetName val="Form 1598"/>
      <sheetName val="Summ Stats"/>
      <sheetName val="Input"/>
      <sheetName val="Bill Stats (2A)"/>
      <sheetName val="Adj Stats (4A)"/>
      <sheetName val="Exit Fees (3A)"/>
      <sheetName val="Retailer"/>
      <sheetName val="GA True -up"/>
      <sheetName val="microFIT NSLS"/>
      <sheetName val="GM microFIT"/>
      <sheetName val="FIT 10 to 250"/>
      <sheetName val="OCEB"/>
    </sheetNames>
    <sheetDataSet>
      <sheetData sheetId="0"/>
      <sheetData sheetId="1"/>
      <sheetData sheetId="2"/>
      <sheetData sheetId="3"/>
      <sheetData sheetId="4">
        <row r="19">
          <cell r="N19">
            <v>5173745.4200000009</v>
          </cell>
        </row>
        <row r="154">
          <cell r="K154">
            <v>36484527.780000001</v>
          </cell>
        </row>
      </sheetData>
      <sheetData sheetId="5"/>
      <sheetData sheetId="6"/>
      <sheetData sheetId="7"/>
      <sheetData sheetId="8"/>
      <sheetData sheetId="9"/>
      <sheetData sheetId="10"/>
      <sheetData sheetId="11"/>
      <sheetData sheetId="12"/>
      <sheetData sheetId="13"/>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Notes"/>
      <sheetName val="Form 1598"/>
      <sheetName val="Summ Stats"/>
      <sheetName val="Input"/>
      <sheetName val="Bill Stats (2A)"/>
      <sheetName val="Adj Stats (4A)"/>
      <sheetName val="Exit Fees (3A)"/>
      <sheetName val="Retailer"/>
      <sheetName val="GA True -up"/>
      <sheetName val="microFIT NSLS"/>
      <sheetName val="GM microFIT"/>
      <sheetName val="FIT 10 to 250"/>
      <sheetName val="OCEB"/>
    </sheetNames>
    <sheetDataSet>
      <sheetData sheetId="0"/>
      <sheetData sheetId="1"/>
      <sheetData sheetId="2"/>
      <sheetData sheetId="3"/>
      <sheetData sheetId="4">
        <row r="19">
          <cell r="N19">
            <v>7034127.0500000007</v>
          </cell>
        </row>
        <row r="154">
          <cell r="K154">
            <v>46049757.049999997</v>
          </cell>
        </row>
      </sheetData>
      <sheetData sheetId="5"/>
      <sheetData sheetId="6"/>
      <sheetData sheetId="7"/>
      <sheetData sheetId="8"/>
      <sheetData sheetId="9"/>
      <sheetData sheetId="10"/>
      <sheetData sheetId="11"/>
      <sheetData sheetId="12"/>
      <sheetData sheetId="13"/>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Notes"/>
      <sheetName val="Form 1598"/>
      <sheetName val="Summ Stats"/>
      <sheetName val="Input"/>
      <sheetName val="Bill Stats (2A)"/>
      <sheetName val="Adj Stats (4A)"/>
      <sheetName val="Exit Fees (3A)"/>
      <sheetName val="Retailer"/>
      <sheetName val="GA True -up"/>
      <sheetName val="microFIT NSLS"/>
      <sheetName val="GM microFIT"/>
      <sheetName val="FIT 10 to 250"/>
      <sheetName val="OCEB"/>
    </sheetNames>
    <sheetDataSet>
      <sheetData sheetId="0"/>
      <sheetData sheetId="1"/>
      <sheetData sheetId="2"/>
      <sheetData sheetId="3"/>
      <sheetData sheetId="4">
        <row r="19">
          <cell r="N19">
            <v>6868827.0199999996</v>
          </cell>
        </row>
        <row r="154">
          <cell r="K154">
            <v>39806507.980000004</v>
          </cell>
        </row>
      </sheetData>
      <sheetData sheetId="5"/>
      <sheetData sheetId="6"/>
      <sheetData sheetId="7"/>
      <sheetData sheetId="8"/>
      <sheetData sheetId="9"/>
      <sheetData sheetId="10"/>
      <sheetData sheetId="11"/>
      <sheetData sheetId="12"/>
      <sheetData sheetId="13"/>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Notes"/>
      <sheetName val="Form 1598"/>
      <sheetName val="Summ Stats"/>
      <sheetName val="Input"/>
      <sheetName val="Bill Stats (2A)"/>
      <sheetName val="Adj Stats (4A)"/>
      <sheetName val="Exit Fees (3A)"/>
      <sheetName val="Retailer"/>
      <sheetName val="GA True -up"/>
      <sheetName val="microFIT NSLS"/>
      <sheetName val="GM microFIT"/>
      <sheetName val="FIT 10 to 250"/>
      <sheetName val="OCEB"/>
    </sheetNames>
    <sheetDataSet>
      <sheetData sheetId="0"/>
      <sheetData sheetId="1"/>
      <sheetData sheetId="2"/>
      <sheetData sheetId="3"/>
      <sheetData sheetId="4">
        <row r="19">
          <cell r="N19">
            <v>3421806.6500000004</v>
          </cell>
        </row>
        <row r="154">
          <cell r="K154">
            <v>44647154.359999999</v>
          </cell>
        </row>
      </sheetData>
      <sheetData sheetId="5"/>
      <sheetData sheetId="6"/>
      <sheetData sheetId="7"/>
      <sheetData sheetId="8"/>
      <sheetData sheetId="9"/>
      <sheetData sheetId="10"/>
      <sheetData sheetId="11"/>
      <sheetData sheetId="12"/>
      <sheetData sheetId="13"/>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Notes"/>
      <sheetName val="Form 1598"/>
      <sheetName val="Summ Stats"/>
      <sheetName val="Input"/>
      <sheetName val="Bill Stats (2A)"/>
      <sheetName val="Adj Stats (4A)"/>
      <sheetName val="Exit Fees (3A)"/>
      <sheetName val="Retailer"/>
      <sheetName val="GA True -up"/>
      <sheetName val="microFIT NSLS"/>
      <sheetName val="GM microFIT"/>
      <sheetName val="FIT 10 to 250"/>
      <sheetName val="OCEB"/>
    </sheetNames>
    <sheetDataSet>
      <sheetData sheetId="0"/>
      <sheetData sheetId="1"/>
      <sheetData sheetId="2"/>
      <sheetData sheetId="3"/>
      <sheetData sheetId="4">
        <row r="19">
          <cell r="N19">
            <v>2955234.98</v>
          </cell>
        </row>
        <row r="154">
          <cell r="K154">
            <v>29781082.5</v>
          </cell>
        </row>
      </sheetData>
      <sheetData sheetId="5"/>
      <sheetData sheetId="6"/>
      <sheetData sheetId="7"/>
      <sheetData sheetId="8"/>
      <sheetData sheetId="9"/>
      <sheetData sheetId="10"/>
      <sheetData sheetId="11"/>
      <sheetData sheetId="12"/>
      <sheetData sheetId="13"/>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Notes"/>
      <sheetName val="Form 1598"/>
      <sheetName val="Summ Stats"/>
      <sheetName val="Input"/>
      <sheetName val="Bill Stats (2A)"/>
      <sheetName val="Adj Stats (4A)"/>
      <sheetName val="Exit Fees (3A)"/>
      <sheetName val="Retailer"/>
      <sheetName val="GA True -up"/>
      <sheetName val="microFIT NSLS"/>
      <sheetName val="GM microFIT"/>
      <sheetName val="FIT 10 to 250"/>
      <sheetName val="OCEB"/>
    </sheetNames>
    <sheetDataSet>
      <sheetData sheetId="0"/>
      <sheetData sheetId="1"/>
      <sheetData sheetId="2"/>
      <sheetData sheetId="3"/>
      <sheetData sheetId="4">
        <row r="19">
          <cell r="N19">
            <v>3214542.21</v>
          </cell>
        </row>
        <row r="154">
          <cell r="K154">
            <v>40905569.959999993</v>
          </cell>
        </row>
      </sheetData>
      <sheetData sheetId="5"/>
      <sheetData sheetId="6"/>
      <sheetData sheetId="7"/>
      <sheetData sheetId="8"/>
      <sheetData sheetId="9"/>
      <sheetData sheetId="10"/>
      <sheetData sheetId="11"/>
      <sheetData sheetId="12"/>
      <sheetData sheetId="13"/>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Notes"/>
      <sheetName val="Form 1598"/>
      <sheetName val="Summ Stats"/>
      <sheetName val="Input"/>
      <sheetName val="Bill Stats (2A)"/>
      <sheetName val="Adj Stats (4A)"/>
      <sheetName val="Exit Fees (3A)"/>
      <sheetName val="Retailer"/>
      <sheetName val="GA True -up"/>
      <sheetName val="microFIT NSLS"/>
      <sheetName val="GM microFIT"/>
      <sheetName val="FIT 10 to 250"/>
      <sheetName val="OCEB"/>
    </sheetNames>
    <sheetDataSet>
      <sheetData sheetId="0"/>
      <sheetData sheetId="1"/>
      <sheetData sheetId="2"/>
      <sheetData sheetId="3"/>
      <sheetData sheetId="4">
        <row r="18">
          <cell r="I18">
            <v>8.4129999999999996E-2</v>
          </cell>
        </row>
        <row r="19">
          <cell r="N19">
            <v>3425502.5100000002</v>
          </cell>
        </row>
        <row r="154">
          <cell r="K154">
            <v>33192356.799999997</v>
          </cell>
        </row>
      </sheetData>
      <sheetData sheetId="5"/>
      <sheetData sheetId="6"/>
      <sheetData sheetId="7"/>
      <sheetData sheetId="8"/>
      <sheetData sheetId="9"/>
      <sheetData sheetId="10"/>
      <sheetData sheetId="11"/>
      <sheetData sheetId="12"/>
      <sheetData sheetId="13"/>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Notes"/>
      <sheetName val="Form 1598"/>
      <sheetName val="Summ Stats"/>
      <sheetName val="Input"/>
      <sheetName val="Bill Stats (2A)"/>
      <sheetName val="Adj Stats (4A)"/>
      <sheetName val="Exit Fees (3A)"/>
      <sheetName val="Retailer"/>
      <sheetName val="GA True -up"/>
      <sheetName val="microFIT NSLS"/>
      <sheetName val="GM microFIT"/>
      <sheetName val="FIT 10 to 250"/>
      <sheetName val="OCEB"/>
    </sheetNames>
    <sheetDataSet>
      <sheetData sheetId="0"/>
      <sheetData sheetId="1"/>
      <sheetData sheetId="2"/>
      <sheetData sheetId="3"/>
      <sheetData sheetId="4">
        <row r="18">
          <cell r="I18">
            <v>7.354999999999999E-2</v>
          </cell>
        </row>
        <row r="19">
          <cell r="N19">
            <v>1414573.31</v>
          </cell>
        </row>
        <row r="154">
          <cell r="K154">
            <v>38674169.109999999</v>
          </cell>
        </row>
      </sheetData>
      <sheetData sheetId="5"/>
      <sheetData sheetId="6"/>
      <sheetData sheetId="7"/>
      <sheetData sheetId="8"/>
      <sheetData sheetId="9"/>
      <sheetData sheetId="10"/>
      <sheetData sheetId="11"/>
      <sheetData sheetId="12"/>
      <sheetData sheetId="1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A Non-RPP Class B Analysis"/>
      <sheetName val="UBR vs. Billed Dec 2015"/>
      <sheetName val="UBR vs. Billed Dec 2016"/>
    </sheetNames>
    <sheetDataSet>
      <sheetData sheetId="0">
        <row r="5">
          <cell r="I5">
            <v>-45169.751461000182</v>
          </cell>
        </row>
        <row r="6">
          <cell r="I6">
            <v>156076.6693327995</v>
          </cell>
        </row>
      </sheetData>
      <sheetData sheetId="1"/>
      <sheetData sheetId="2"/>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Notes"/>
      <sheetName val="Form 1598"/>
      <sheetName val="Summ Stats"/>
      <sheetName val="Input"/>
      <sheetName val="Bill Stats (2A)"/>
      <sheetName val="Adj Stats (4A)"/>
      <sheetName val="Exit Fees (3A)"/>
      <sheetName val="Retailer"/>
      <sheetName val="GA True -up"/>
      <sheetName val="microFIT NSLS"/>
      <sheetName val="GM microFIT"/>
      <sheetName val="FIT 10 to 250"/>
      <sheetName val="OCEB"/>
    </sheetNames>
    <sheetDataSet>
      <sheetData sheetId="0"/>
      <sheetData sheetId="1"/>
      <sheetData sheetId="2"/>
      <sheetData sheetId="3"/>
      <sheetData sheetId="4">
        <row r="18">
          <cell r="I18">
            <v>7.1910000000000002E-2</v>
          </cell>
        </row>
        <row r="19">
          <cell r="N19">
            <v>3196526.08</v>
          </cell>
        </row>
        <row r="154">
          <cell r="K154">
            <v>39947265.769999996</v>
          </cell>
        </row>
      </sheetData>
      <sheetData sheetId="5"/>
      <sheetData sheetId="6"/>
      <sheetData sheetId="7"/>
      <sheetData sheetId="8"/>
      <sheetData sheetId="9"/>
      <sheetData sheetId="10"/>
      <sheetData sheetId="11"/>
      <sheetData sheetId="12"/>
      <sheetData sheetId="13"/>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Notes"/>
      <sheetName val="Form 1598"/>
      <sheetName val="Summ Stats"/>
      <sheetName val="Input"/>
      <sheetName val="Bill Stats (2A)"/>
      <sheetName val="Adj Stats (4A)"/>
      <sheetName val="Exit Fees (3A)"/>
      <sheetName val="Retailer"/>
      <sheetName val="GA True -up"/>
      <sheetName val="microFIT NSLS"/>
      <sheetName val="GM microFIT"/>
      <sheetName val="FIT 10 to 250"/>
      <sheetName val="OCEB"/>
    </sheetNames>
    <sheetDataSet>
      <sheetData sheetId="0"/>
      <sheetData sheetId="1"/>
      <sheetData sheetId="2"/>
      <sheetData sheetId="3"/>
      <sheetData sheetId="4">
        <row r="18">
          <cell r="I18">
            <v>7.1930000000000008E-2</v>
          </cell>
        </row>
        <row r="19">
          <cell r="N19">
            <v>1964789.19</v>
          </cell>
        </row>
        <row r="154">
          <cell r="K154">
            <v>42408484</v>
          </cell>
        </row>
      </sheetData>
      <sheetData sheetId="5"/>
      <sheetData sheetId="6"/>
      <sheetData sheetId="7"/>
      <sheetData sheetId="8"/>
      <sheetData sheetId="9"/>
      <sheetData sheetId="10"/>
      <sheetData sheetId="11"/>
      <sheetData sheetId="12"/>
      <sheetData sheetId="13"/>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Notes"/>
      <sheetName val="Form 1598"/>
      <sheetName val="Summ Stats"/>
      <sheetName val="Input"/>
      <sheetName val="Bill Stats (2A)"/>
      <sheetName val="Adj Stats (4A)"/>
      <sheetName val="Exit Fees (3A)"/>
      <sheetName val="Retailer"/>
      <sheetName val="GA True -up"/>
      <sheetName val="microFIT NSLS"/>
      <sheetName val="GM microFIT"/>
      <sheetName val="FIT 10 to 250"/>
      <sheetName val="OCEB"/>
    </sheetNames>
    <sheetDataSet>
      <sheetData sheetId="0"/>
      <sheetData sheetId="1"/>
      <sheetData sheetId="2"/>
      <sheetData sheetId="3"/>
      <sheetData sheetId="4">
        <row r="18">
          <cell r="I18">
            <v>0.12448000000000001</v>
          </cell>
        </row>
        <row r="19">
          <cell r="N19">
            <v>1792045.1699999997</v>
          </cell>
        </row>
        <row r="154">
          <cell r="K154">
            <v>39355921.609999999</v>
          </cell>
        </row>
      </sheetData>
      <sheetData sheetId="5"/>
      <sheetData sheetId="6"/>
      <sheetData sheetId="7"/>
      <sheetData sheetId="8"/>
      <sheetData sheetId="9"/>
      <sheetData sheetId="10"/>
      <sheetData sheetId="11"/>
      <sheetData sheetId="12"/>
      <sheetData sheetId="13"/>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Notes"/>
      <sheetName val="Form 1598"/>
      <sheetName val="Summ Stats"/>
      <sheetName val="Input"/>
      <sheetName val="Bill Stats (2A)"/>
      <sheetName val="Adj Stats (4A)"/>
      <sheetName val="Exit Fees (3A)"/>
      <sheetName val="Retailer"/>
      <sheetName val="GA True -up"/>
      <sheetName val="microFIT NSLS"/>
      <sheetName val="GM microFIT"/>
      <sheetName val="FIT 10 to 250"/>
      <sheetName val="OCEB"/>
      <sheetName val="OESP"/>
    </sheetNames>
    <sheetDataSet>
      <sheetData sheetId="0"/>
      <sheetData sheetId="1"/>
      <sheetData sheetId="2"/>
      <sheetData sheetId="3"/>
      <sheetData sheetId="4">
        <row r="18">
          <cell r="I18">
            <v>8.8090000000000002E-2</v>
          </cell>
        </row>
        <row r="19">
          <cell r="N19">
            <v>3321214.3000000003</v>
          </cell>
        </row>
        <row r="154">
          <cell r="K154">
            <v>43880023.969999999</v>
          </cell>
        </row>
      </sheetData>
      <sheetData sheetId="5"/>
      <sheetData sheetId="6"/>
      <sheetData sheetId="7"/>
      <sheetData sheetId="8"/>
      <sheetData sheetId="9"/>
      <sheetData sheetId="10"/>
      <sheetData sheetId="11"/>
      <sheetData sheetId="12"/>
      <sheetData sheetId="13"/>
      <sheetData sheetId="14"/>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Notes"/>
      <sheetName val="Form 1598"/>
      <sheetName val="Summ Stats"/>
      <sheetName val="Input"/>
      <sheetName val="Bill Stats (2A)"/>
      <sheetName val="Adj Stats (4A)"/>
      <sheetName val="Exit Fees (3A)"/>
      <sheetName val="Retailer"/>
      <sheetName val="GA True -up"/>
      <sheetName val="microFIT NSLS"/>
      <sheetName val="GM microFIT"/>
      <sheetName val="FIT 10 to 250"/>
      <sheetName val="OCEB"/>
      <sheetName val="OESP"/>
    </sheetNames>
    <sheetDataSet>
      <sheetData sheetId="0"/>
      <sheetData sheetId="1"/>
      <sheetData sheetId="2"/>
      <sheetData sheetId="3"/>
      <sheetData sheetId="4">
        <row r="18">
          <cell r="I18">
            <v>9.214E-2</v>
          </cell>
        </row>
        <row r="19">
          <cell r="N19">
            <v>1167233.8900000001</v>
          </cell>
        </row>
        <row r="154">
          <cell r="K154">
            <v>37500815.049999997</v>
          </cell>
        </row>
      </sheetData>
      <sheetData sheetId="5"/>
      <sheetData sheetId="6"/>
      <sheetData sheetId="7"/>
      <sheetData sheetId="8"/>
      <sheetData sheetId="9"/>
      <sheetData sheetId="10"/>
      <sheetData sheetId="11"/>
      <sheetData sheetId="12"/>
      <sheetData sheetId="13"/>
      <sheetData sheetId="14"/>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Notes"/>
      <sheetName val="Form 1598"/>
      <sheetName val="Summ Stats"/>
      <sheetName val="Input"/>
      <sheetName val="Bill Stats (2A)"/>
      <sheetName val="Adj Stats (4A)"/>
      <sheetName val="Exit Fees (3A)"/>
      <sheetName val="Retailer"/>
      <sheetName val="GA True -up"/>
      <sheetName val="microFIT NSLS"/>
      <sheetName val="GM microFIT"/>
      <sheetName val="FIT 10 to 250"/>
      <sheetName val="OCEB"/>
      <sheetName val="OESP"/>
    </sheetNames>
    <sheetDataSet>
      <sheetData sheetId="0"/>
      <sheetData sheetId="1"/>
      <sheetData sheetId="2"/>
      <sheetData sheetId="3"/>
      <sheetData sheetId="4">
        <row r="18">
          <cell r="I18">
            <v>9.6780000000000005E-2</v>
          </cell>
        </row>
        <row r="19">
          <cell r="N19">
            <v>3419731.4099999997</v>
          </cell>
        </row>
        <row r="154">
          <cell r="K154">
            <v>43358644.039999992</v>
          </cell>
        </row>
      </sheetData>
      <sheetData sheetId="5"/>
      <sheetData sheetId="6"/>
      <sheetData sheetId="7"/>
      <sheetData sheetId="8"/>
      <sheetData sheetId="9"/>
      <sheetData sheetId="10"/>
      <sheetData sheetId="11"/>
      <sheetData sheetId="12"/>
      <sheetData sheetId="13"/>
      <sheetData sheetId="14"/>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Notes"/>
      <sheetName val="Form 1598"/>
      <sheetName val="Summ Stats"/>
      <sheetName val="Input"/>
      <sheetName val="Bill Stats (2A)"/>
      <sheetName val="Adj Stats (4A)"/>
      <sheetName val="Exit Fees (3A)"/>
      <sheetName val="Retailer"/>
      <sheetName val="GA True -up"/>
      <sheetName val="microFIT NSLS"/>
      <sheetName val="GM microFIT"/>
      <sheetName val="FIT 10 to 250"/>
      <sheetName val="OCEB"/>
      <sheetName val="OESP"/>
    </sheetNames>
    <sheetDataSet>
      <sheetData sheetId="0"/>
      <sheetData sheetId="1"/>
      <sheetData sheetId="2"/>
      <sheetData sheetId="3"/>
      <sheetData sheetId="4">
        <row r="18">
          <cell r="I18">
            <v>0.10299</v>
          </cell>
        </row>
        <row r="19">
          <cell r="N19">
            <v>4403168.0900000008</v>
          </cell>
        </row>
        <row r="154">
          <cell r="K154">
            <v>45201039.310000002</v>
          </cell>
        </row>
      </sheetData>
      <sheetData sheetId="5"/>
      <sheetData sheetId="6"/>
      <sheetData sheetId="7"/>
      <sheetData sheetId="8"/>
      <sheetData sheetId="9"/>
      <sheetData sheetId="10"/>
      <sheetData sheetId="11"/>
      <sheetData sheetId="12"/>
      <sheetData sheetId="13"/>
      <sheetData sheetId="14"/>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Notes"/>
      <sheetName val="Form 1598"/>
      <sheetName val="Summ Stats"/>
      <sheetName val="Input"/>
      <sheetName val="Bill Stats (2A)"/>
      <sheetName val="Adj Stats (4A)"/>
      <sheetName val="Exit Fees (3A)"/>
      <sheetName val="Retailer"/>
      <sheetName val="GA True -up"/>
      <sheetName val="microFIT NSLS"/>
      <sheetName val="GM microFIT"/>
      <sheetName val="FIT 10 to 250"/>
      <sheetName val="OCEB"/>
      <sheetName val="OESP"/>
    </sheetNames>
    <sheetDataSet>
      <sheetData sheetId="0"/>
      <sheetData sheetId="1"/>
      <sheetData sheetId="2"/>
      <sheetData sheetId="3"/>
      <sheetData sheetId="4">
        <row r="18">
          <cell r="I18">
            <v>0.11176999999999999</v>
          </cell>
        </row>
        <row r="19">
          <cell r="N19">
            <v>897590.29</v>
          </cell>
        </row>
        <row r="154">
          <cell r="K154">
            <v>34483045.129999995</v>
          </cell>
        </row>
      </sheetData>
      <sheetData sheetId="5"/>
      <sheetData sheetId="6"/>
      <sheetData sheetId="7"/>
      <sheetData sheetId="8"/>
      <sheetData sheetId="9"/>
      <sheetData sheetId="10"/>
      <sheetData sheetId="11"/>
      <sheetData sheetId="12"/>
      <sheetData sheetId="13"/>
      <sheetData sheetId="14"/>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Notes"/>
      <sheetName val="Form 1598"/>
      <sheetName val="Summ Stats"/>
      <sheetName val="Input"/>
      <sheetName val="Bill Stats (2A)"/>
      <sheetName val="Adj Stats (4A)"/>
      <sheetName val="Exit Fees (3A)"/>
      <sheetName val="Retailer"/>
      <sheetName val="GA True -up"/>
      <sheetName val="microFIT NSLS"/>
      <sheetName val="GM microFIT"/>
      <sheetName val="FIT 10 to 250"/>
      <sheetName val="OCEB"/>
      <sheetName val="OESP"/>
    </sheetNames>
    <sheetDataSet>
      <sheetData sheetId="0"/>
      <sheetData sheetId="1"/>
      <sheetData sheetId="2"/>
      <sheetData sheetId="3"/>
      <sheetData sheetId="4">
        <row r="18">
          <cell r="I18">
            <v>0.11493</v>
          </cell>
        </row>
        <row r="19">
          <cell r="N19">
            <v>3322703.28</v>
          </cell>
        </row>
        <row r="154">
          <cell r="K154">
            <v>39834475.660000004</v>
          </cell>
        </row>
      </sheetData>
      <sheetData sheetId="5"/>
      <sheetData sheetId="6"/>
      <sheetData sheetId="7"/>
      <sheetData sheetId="8"/>
      <sheetData sheetId="9"/>
      <sheetData sheetId="10"/>
      <sheetData sheetId="11"/>
      <sheetData sheetId="12"/>
      <sheetData sheetId="13"/>
      <sheetData sheetId="14"/>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Notes"/>
      <sheetName val="Form 1598"/>
      <sheetName val="Summ Stats"/>
      <sheetName val="Input"/>
      <sheetName val="Bill Stats (2A)"/>
      <sheetName val="Adj Stats (4A)"/>
      <sheetName val="Exit Fees (3A)"/>
      <sheetName val="Retailer"/>
      <sheetName val="GA True -up"/>
      <sheetName val="microFIT NSLS"/>
      <sheetName val="GM microFIT"/>
      <sheetName val="FIT 10 to 250"/>
      <sheetName val="OCEB"/>
      <sheetName val="OESP"/>
    </sheetNames>
    <sheetDataSet>
      <sheetData sheetId="0"/>
      <sheetData sheetId="1"/>
      <sheetData sheetId="2"/>
      <sheetData sheetId="3"/>
      <sheetData sheetId="4">
        <row r="18">
          <cell r="I18">
            <v>9.3599999999999989E-2</v>
          </cell>
        </row>
        <row r="19">
          <cell r="N19">
            <v>2830681.69</v>
          </cell>
        </row>
        <row r="154">
          <cell r="K154">
            <v>34281092.509999998</v>
          </cell>
        </row>
      </sheetData>
      <sheetData sheetId="5"/>
      <sheetData sheetId="6"/>
      <sheetData sheetId="7"/>
      <sheetData sheetId="8"/>
      <sheetData sheetId="9"/>
      <sheetData sheetId="10"/>
      <sheetData sheetId="11"/>
      <sheetData sheetId="12"/>
      <sheetData sheetId="13"/>
      <sheetData sheetId="1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nbilled Chart"/>
      <sheetName val="Query"/>
      <sheetName val="UBR COMPARISON"/>
      <sheetName val="Unbilled Chart of Accounts"/>
      <sheetName val="Unbilled Chart of RecCode"/>
      <sheetName val="Unbilled Chart of Rate Comp"/>
      <sheetName val="Cognos_Office_Connection_Cache"/>
    </sheetNames>
    <sheetDataSet>
      <sheetData sheetId="0">
        <row r="5">
          <cell r="K5">
            <v>614706.97000000009</v>
          </cell>
        </row>
      </sheetData>
      <sheetData sheetId="1">
        <row r="195">
          <cell r="J195">
            <v>784.76</v>
          </cell>
        </row>
        <row r="196">
          <cell r="J196">
            <v>0</v>
          </cell>
        </row>
        <row r="197">
          <cell r="J197">
            <v>18710811.180000003</v>
          </cell>
        </row>
        <row r="198">
          <cell r="J198">
            <v>0</v>
          </cell>
        </row>
        <row r="199">
          <cell r="J199">
            <v>6493256.7400000002</v>
          </cell>
        </row>
        <row r="200">
          <cell r="J200">
            <v>0</v>
          </cell>
        </row>
        <row r="201">
          <cell r="J201">
            <v>22920175.489999998</v>
          </cell>
        </row>
        <row r="202">
          <cell r="J202">
            <v>0</v>
          </cell>
        </row>
        <row r="203">
          <cell r="J203">
            <v>29625832.960000001</v>
          </cell>
        </row>
        <row r="210">
          <cell r="D210">
            <v>260752.46</v>
          </cell>
          <cell r="E210">
            <v>3036369.23</v>
          </cell>
        </row>
        <row r="211">
          <cell r="D211">
            <v>5448.94</v>
          </cell>
          <cell r="E211">
            <v>63450.13</v>
          </cell>
        </row>
        <row r="275">
          <cell r="L275">
            <v>768.71</v>
          </cell>
        </row>
        <row r="276">
          <cell r="L276">
            <v>16.05</v>
          </cell>
        </row>
        <row r="277">
          <cell r="L277">
            <v>18328031.550000001</v>
          </cell>
        </row>
        <row r="278">
          <cell r="L278">
            <v>-110.88</v>
          </cell>
        </row>
        <row r="279">
          <cell r="L279">
            <v>382890.51</v>
          </cell>
        </row>
        <row r="280">
          <cell r="L280">
            <v>6360336.7400000002</v>
          </cell>
        </row>
        <row r="281">
          <cell r="L281">
            <v>132920</v>
          </cell>
        </row>
      </sheetData>
      <sheetData sheetId="2">
        <row r="5">
          <cell r="D5">
            <v>5675.06</v>
          </cell>
        </row>
      </sheetData>
      <sheetData sheetId="3"/>
      <sheetData sheetId="4"/>
      <sheetData sheetId="5"/>
      <sheetData sheetId="6" refreshError="1"/>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Notes"/>
      <sheetName val="Form 1598"/>
      <sheetName val="Summ Stats"/>
      <sheetName val="Input"/>
      <sheetName val="Bill Stats (2A)"/>
      <sheetName val="Adj Stats (4A)"/>
      <sheetName val="Exit Fees (3A)"/>
      <sheetName val="Retailer"/>
      <sheetName val="GA True -up"/>
      <sheetName val="microFIT NSLS"/>
      <sheetName val="GM microFIT"/>
      <sheetName val="FIT 10 to 250"/>
      <sheetName val="OCEB"/>
      <sheetName val="OESP"/>
    </sheetNames>
    <sheetDataSet>
      <sheetData sheetId="0"/>
      <sheetData sheetId="1"/>
      <sheetData sheetId="2"/>
      <sheetData sheetId="3"/>
      <sheetData sheetId="4">
        <row r="18">
          <cell r="I18">
            <v>8.412E-2</v>
          </cell>
        </row>
        <row r="19">
          <cell r="N19">
            <v>1444064.0399999998</v>
          </cell>
        </row>
        <row r="154">
          <cell r="K154">
            <v>34043107.939999998</v>
          </cell>
        </row>
      </sheetData>
      <sheetData sheetId="5"/>
      <sheetData sheetId="6"/>
      <sheetData sheetId="7"/>
      <sheetData sheetId="8"/>
      <sheetData sheetId="9"/>
      <sheetData sheetId="10"/>
      <sheetData sheetId="11"/>
      <sheetData sheetId="12"/>
      <sheetData sheetId="13"/>
      <sheetData sheetId="14"/>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Notes"/>
      <sheetName val="Form 1598"/>
      <sheetName val="Summ Stats"/>
      <sheetName val="Input"/>
      <sheetName val="Bill Stats (2A)"/>
      <sheetName val="Adj Stats (4A)"/>
      <sheetName val="Exit Fees (3A)"/>
      <sheetName val="Retailer"/>
      <sheetName val="GA True -up"/>
      <sheetName val="microFIT NSLS"/>
      <sheetName val="GM microFIT"/>
      <sheetName val="FIT 10 to 250"/>
      <sheetName val="OCEB"/>
      <sheetName val="OESP"/>
    </sheetNames>
    <sheetDataSet>
      <sheetData sheetId="0"/>
      <sheetData sheetId="1"/>
      <sheetData sheetId="2"/>
      <sheetData sheetId="3"/>
      <sheetData sheetId="4">
        <row r="18">
          <cell r="I18">
            <v>7.0499999999999993E-2</v>
          </cell>
        </row>
        <row r="19">
          <cell r="N19">
            <v>4288405.2299999995</v>
          </cell>
        </row>
        <row r="154">
          <cell r="K154">
            <v>52266230.150000006</v>
          </cell>
        </row>
      </sheetData>
      <sheetData sheetId="5"/>
      <sheetData sheetId="6"/>
      <sheetData sheetId="7"/>
      <sheetData sheetId="8"/>
      <sheetData sheetId="9"/>
      <sheetData sheetId="10"/>
      <sheetData sheetId="11"/>
      <sheetData sheetId="12"/>
      <sheetData sheetId="13"/>
      <sheetData sheetId="14"/>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Notes"/>
      <sheetName val="Form 1598"/>
      <sheetName val="Summ Stats"/>
      <sheetName val="Input"/>
      <sheetName val="Bill Stats (2A)"/>
      <sheetName val="Adj Stats (4A)"/>
      <sheetName val="Exit Fees (3A)"/>
      <sheetName val="Retailer"/>
      <sheetName val="GA True -up"/>
      <sheetName val="microFIT NSLS"/>
      <sheetName val="GM microFIT"/>
      <sheetName val="FIT 10 to 250"/>
      <sheetName val="OCEB"/>
      <sheetName val="OESP"/>
    </sheetNames>
    <sheetDataSet>
      <sheetData sheetId="0"/>
      <sheetData sheetId="1"/>
      <sheetData sheetId="2"/>
      <sheetData sheetId="3"/>
      <sheetData sheetId="4">
        <row r="18">
          <cell r="I18">
            <v>9.1480000000000006E-2</v>
          </cell>
        </row>
        <row r="19">
          <cell r="N19">
            <v>1562796.7099999997</v>
          </cell>
        </row>
        <row r="154">
          <cell r="K154">
            <v>45848892.079999998</v>
          </cell>
        </row>
      </sheetData>
      <sheetData sheetId="5"/>
      <sheetData sheetId="6"/>
      <sheetData sheetId="7"/>
      <sheetData sheetId="8"/>
      <sheetData sheetId="9"/>
      <sheetData sheetId="10"/>
      <sheetData sheetId="11"/>
      <sheetData sheetId="12"/>
      <sheetData sheetId="13"/>
      <sheetData sheetId="14"/>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Notes"/>
      <sheetName val="Form 1598"/>
      <sheetName val="Summ Stats"/>
      <sheetName val="Input"/>
      <sheetName val="Bill Stats (2A)"/>
      <sheetName val="Adj Stats (4A)"/>
      <sheetName val="Exit Fees (3A)"/>
      <sheetName val="Retailer"/>
      <sheetName val="GA True -up"/>
      <sheetName val="microFIT NSLS"/>
      <sheetName val="GM microFIT"/>
      <sheetName val="FIT 10 to 250"/>
      <sheetName val="OCEB"/>
      <sheetName val="OESP"/>
    </sheetNames>
    <sheetDataSet>
      <sheetData sheetId="0"/>
      <sheetData sheetId="1"/>
      <sheetData sheetId="2"/>
      <sheetData sheetId="3"/>
      <sheetData sheetId="4">
        <row r="18">
          <cell r="I18">
            <v>0.1178</v>
          </cell>
        </row>
        <row r="19">
          <cell r="N19">
            <v>2786292.642</v>
          </cell>
        </row>
        <row r="154">
          <cell r="K154">
            <v>38059508.489999995</v>
          </cell>
        </row>
      </sheetData>
      <sheetData sheetId="5"/>
      <sheetData sheetId="6"/>
      <sheetData sheetId="7"/>
      <sheetData sheetId="8"/>
      <sheetData sheetId="9"/>
      <sheetData sheetId="10"/>
      <sheetData sheetId="11"/>
      <sheetData sheetId="12"/>
      <sheetData sheetId="13"/>
      <sheetData sheetId="14"/>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Notes"/>
      <sheetName val="Form 1598"/>
      <sheetName val="Summ Stats"/>
      <sheetName val="Input"/>
      <sheetName val="Bill Stats (2A)"/>
      <sheetName val="Adj Stats (4A)"/>
      <sheetName val="Exit Fees (3A)"/>
      <sheetName val="Retailer"/>
      <sheetName val="GA True -up"/>
      <sheetName val="microFIT NSLS"/>
      <sheetName val="GM microFIT"/>
      <sheetName val="FIT 10 to 250"/>
      <sheetName val="OCEB"/>
      <sheetName val="OESP"/>
    </sheetNames>
    <sheetDataSet>
      <sheetData sheetId="0"/>
      <sheetData sheetId="1"/>
      <sheetData sheetId="2"/>
      <sheetData sheetId="3"/>
      <sheetData sheetId="4">
        <row r="18">
          <cell r="I18">
            <v>0.115</v>
          </cell>
        </row>
        <row r="19">
          <cell r="N19">
            <v>3320656.34</v>
          </cell>
        </row>
        <row r="154">
          <cell r="K154">
            <v>34468366.030000001</v>
          </cell>
        </row>
      </sheetData>
      <sheetData sheetId="5"/>
      <sheetData sheetId="6"/>
      <sheetData sheetId="7"/>
      <sheetData sheetId="8"/>
      <sheetData sheetId="9"/>
      <sheetData sheetId="10"/>
      <sheetData sheetId="11"/>
      <sheetData sheetId="12"/>
      <sheetData sheetId="13"/>
      <sheetData sheetId="14"/>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Notes"/>
      <sheetName val="Form 1598"/>
      <sheetName val="Summ Stats"/>
      <sheetName val="Input"/>
      <sheetName val="Bill Stats (2A)"/>
      <sheetName val="Bill Stats (2A) 8% Rebate"/>
      <sheetName val="Adj Stats (4A)"/>
      <sheetName val="Exit Fees (3A)"/>
      <sheetName val="Retailer"/>
      <sheetName val="GA True -up"/>
      <sheetName val="microFIT NSLS"/>
      <sheetName val="GM microFIT"/>
      <sheetName val="FIT 10 to 250"/>
      <sheetName val="OCEB"/>
      <sheetName val="OESP"/>
      <sheetName val="OREC 8%"/>
    </sheetNames>
    <sheetDataSet>
      <sheetData sheetId="0"/>
      <sheetData sheetId="1"/>
      <sheetData sheetId="2"/>
      <sheetData sheetId="3"/>
      <sheetData sheetId="4">
        <row r="18">
          <cell r="I18">
            <v>7.8719999999999998E-2</v>
          </cell>
        </row>
        <row r="19">
          <cell r="N19">
            <v>2111988.81</v>
          </cell>
        </row>
        <row r="160">
          <cell r="K160">
            <v>36051463.289999999</v>
          </cell>
        </row>
      </sheetData>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an 2016_CNF-GUELPHHYDRO_ST-P-P"/>
    </sheetNames>
    <sheetDataSet>
      <sheetData sheetId="0">
        <row r="26">
          <cell r="X26">
            <v>9.2020185701217574E-2</v>
          </cell>
        </row>
        <row r="39">
          <cell r="F39">
            <v>-10441315.59</v>
          </cell>
          <cell r="X39">
            <v>113470.12300000001</v>
          </cell>
          <cell r="Y39">
            <v>277.98399999999998</v>
          </cell>
        </row>
      </sheetData>
    </sheetDataSet>
  </externalBook>
</externalLink>
</file>

<file path=xl/externalLinks/externalLink5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NF-GUELPHHYDRO_ST-P-P_20160229"/>
    </sheetNames>
    <sheetDataSet>
      <sheetData sheetId="0">
        <row r="29">
          <cell r="X29">
            <v>9.8881172659946295E-2</v>
          </cell>
        </row>
        <row r="40">
          <cell r="F40">
            <v>-10470843.470000001</v>
          </cell>
          <cell r="X40">
            <v>105883.04</v>
          </cell>
          <cell r="Y40">
            <v>394.149</v>
          </cell>
        </row>
        <row r="318">
          <cell r="F318">
            <v>1533.44</v>
          </cell>
        </row>
      </sheetData>
    </sheetDataSet>
  </externalBook>
</externalLink>
</file>

<file path=xl/externalLinks/externalLink5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NF-GUELPHHYDRO_ST-P-P_20160331"/>
    </sheetNames>
    <sheetDataSet>
      <sheetData sheetId="0">
        <row r="26">
          <cell r="X26">
            <v>0.10674920898216179</v>
          </cell>
        </row>
        <row r="38">
          <cell r="F38">
            <v>-11339067.49</v>
          </cell>
          <cell r="X38">
            <v>106313.026</v>
          </cell>
          <cell r="Y38">
            <v>657.48</v>
          </cell>
        </row>
        <row r="303">
          <cell r="F303">
            <v>-9031.4</v>
          </cell>
        </row>
      </sheetData>
    </sheetDataSet>
  </externalBook>
</externalLink>
</file>

<file path=xl/externalLinks/externalLink5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NF-GUELPHHYDRO_ST-P-P_20160430"/>
    </sheetNames>
    <sheetDataSet>
      <sheetData sheetId="0">
        <row r="26">
          <cell r="X26">
            <v>0.11239744760358679</v>
          </cell>
        </row>
        <row r="39">
          <cell r="F39">
            <v>-11165570.77</v>
          </cell>
          <cell r="X39">
            <v>99362.622000000003</v>
          </cell>
          <cell r="Y39">
            <v>955.47900000000004</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nbilled Chart"/>
      <sheetName val="Query"/>
      <sheetName val="UBR COMPARISON"/>
      <sheetName val="Unbilled Chart of Accounts"/>
      <sheetName val="Unbilled Chart of RecCode"/>
      <sheetName val="Unbilled Chart of Rate Comp"/>
    </sheetNames>
    <sheetDataSet>
      <sheetData sheetId="0">
        <row r="39">
          <cell r="F39">
            <v>64.732243199999999</v>
          </cell>
        </row>
      </sheetData>
      <sheetData sheetId="1">
        <row r="315">
          <cell r="G315">
            <v>74.05</v>
          </cell>
          <cell r="H315">
            <v>651.82000000000005</v>
          </cell>
        </row>
        <row r="316">
          <cell r="G316">
            <v>30.43</v>
          </cell>
          <cell r="H316">
            <v>313.05</v>
          </cell>
        </row>
        <row r="317">
          <cell r="G317">
            <v>345427.55</v>
          </cell>
          <cell r="H317">
            <v>2911543.71</v>
          </cell>
        </row>
        <row r="318">
          <cell r="G318">
            <v>1.92</v>
          </cell>
          <cell r="H318">
            <v>16.940000000000001</v>
          </cell>
        </row>
        <row r="319">
          <cell r="G319">
            <v>0.79</v>
          </cell>
          <cell r="H319">
            <v>8.1199999999999992</v>
          </cell>
        </row>
        <row r="320">
          <cell r="G320">
            <v>8980.09</v>
          </cell>
          <cell r="H320">
            <v>75691.63</v>
          </cell>
        </row>
        <row r="365">
          <cell r="M365">
            <v>822.31000000000006</v>
          </cell>
        </row>
        <row r="366">
          <cell r="M366">
            <v>19281405.129999999</v>
          </cell>
        </row>
        <row r="367">
          <cell r="M367">
            <v>7267400.9099999992</v>
          </cell>
        </row>
        <row r="368">
          <cell r="M368">
            <v>23642858.91</v>
          </cell>
        </row>
        <row r="369">
          <cell r="M369">
            <v>27182223.029999997</v>
          </cell>
        </row>
        <row r="370">
          <cell r="M370">
            <v>3370941.18</v>
          </cell>
        </row>
        <row r="416">
          <cell r="R416">
            <v>801.49</v>
          </cell>
        </row>
        <row r="417">
          <cell r="R417">
            <v>20.82</v>
          </cell>
        </row>
        <row r="418">
          <cell r="R418">
            <v>4615.1099999999997</v>
          </cell>
        </row>
        <row r="419">
          <cell r="R419">
            <v>18788633.989999998</v>
          </cell>
        </row>
        <row r="420">
          <cell r="R420">
            <v>-300.57</v>
          </cell>
        </row>
        <row r="421">
          <cell r="R421">
            <v>119.82</v>
          </cell>
        </row>
        <row r="422">
          <cell r="R422">
            <v>488336.78</v>
          </cell>
        </row>
        <row r="423">
          <cell r="R423">
            <v>1503777.51</v>
          </cell>
        </row>
        <row r="424">
          <cell r="R424">
            <v>1290.0999999999999</v>
          </cell>
        </row>
        <row r="425">
          <cell r="R425">
            <v>5578180.0999999996</v>
          </cell>
        </row>
        <row r="426">
          <cell r="R426">
            <v>39098.160000000003</v>
          </cell>
        </row>
        <row r="427">
          <cell r="R427">
            <v>33.520000000000003</v>
          </cell>
        </row>
        <row r="428">
          <cell r="R428">
            <v>145021.51999999999</v>
          </cell>
        </row>
      </sheetData>
      <sheetData sheetId="2" refreshError="1"/>
      <sheetData sheetId="3" refreshError="1"/>
      <sheetData sheetId="4" refreshError="1"/>
      <sheetData sheetId="5" refreshError="1"/>
    </sheetDataSet>
  </externalBook>
</externalLink>
</file>

<file path=xl/externalLinks/externalLink6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NF-GUELPHHYDRO_ST-P-P_20160531"/>
    </sheetNames>
    <sheetDataSet>
      <sheetData sheetId="0">
        <row r="26">
          <cell r="X26">
            <v>0.10901059847286008</v>
          </cell>
        </row>
        <row r="40">
          <cell r="F40">
            <v>-10828737.93</v>
          </cell>
          <cell r="X40">
            <v>99227.975000000006</v>
          </cell>
          <cell r="Y40">
            <v>1406.777</v>
          </cell>
        </row>
        <row r="368">
          <cell r="F368">
            <v>12734.98</v>
          </cell>
        </row>
      </sheetData>
    </sheetDataSet>
  </externalBook>
</externalLink>
</file>

<file path=xl/externalLinks/externalLink6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NF-GUELPHHYDRO_ST-P-P_20160630"/>
    </sheetNames>
    <sheetDataSet>
      <sheetData sheetId="0">
        <row r="23">
          <cell r="X23">
            <v>9.7030846134448859E-2</v>
          </cell>
        </row>
        <row r="38">
          <cell r="F38">
            <v>-9946320.2899999991</v>
          </cell>
          <cell r="X38">
            <v>103039.783</v>
          </cell>
          <cell r="Y38">
            <v>1700.452</v>
          </cell>
        </row>
        <row r="369">
          <cell r="F369">
            <v>-3666.56</v>
          </cell>
        </row>
        <row r="370">
          <cell r="F370">
            <v>-4220.07</v>
          </cell>
        </row>
        <row r="371">
          <cell r="F371">
            <v>-6444.05</v>
          </cell>
        </row>
        <row r="372">
          <cell r="F372">
            <v>-3801.07</v>
          </cell>
        </row>
        <row r="373">
          <cell r="F373">
            <v>-3908.64</v>
          </cell>
        </row>
        <row r="374">
          <cell r="F374">
            <v>-5143.6499999999996</v>
          </cell>
        </row>
        <row r="375">
          <cell r="F375">
            <v>-5282.9</v>
          </cell>
        </row>
        <row r="376">
          <cell r="F376">
            <v>-6305.49</v>
          </cell>
        </row>
        <row r="377">
          <cell r="F377">
            <v>-4829.59</v>
          </cell>
        </row>
        <row r="378">
          <cell r="F378">
            <v>-6158.55</v>
          </cell>
        </row>
      </sheetData>
    </sheetDataSet>
  </externalBook>
</externalLink>
</file>

<file path=xl/externalLinks/externalLink6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NF-GUELPHHYDRO_ST-P-P_20160731"/>
    </sheetNames>
    <sheetDataSet>
      <sheetData sheetId="0">
        <row r="28">
          <cell r="X28">
            <v>8.4503900442052138E-2</v>
          </cell>
        </row>
        <row r="39">
          <cell r="F39">
            <v>-9381230.9199999999</v>
          </cell>
          <cell r="X39">
            <v>111248.416</v>
          </cell>
          <cell r="Y39">
            <v>1935.527</v>
          </cell>
        </row>
        <row r="369">
          <cell r="F369">
            <v>-21124.16</v>
          </cell>
        </row>
        <row r="370">
          <cell r="F370">
            <v>0</v>
          </cell>
        </row>
        <row r="371">
          <cell r="F371">
            <v>0</v>
          </cell>
        </row>
      </sheetData>
    </sheetDataSet>
  </externalBook>
</externalLink>
</file>

<file path=xl/externalLinks/externalLink6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NF-GUELPHHYDRO_ST-P-P_20160831"/>
    </sheetNames>
    <sheetDataSet>
      <sheetData sheetId="0">
        <row r="22">
          <cell r="X22">
            <v>7.2083864483660026E-2</v>
          </cell>
        </row>
        <row r="40">
          <cell r="F40">
            <v>-8668261.8100000005</v>
          </cell>
          <cell r="X40">
            <v>120276.68399999999</v>
          </cell>
          <cell r="Y40">
            <v>1781.845</v>
          </cell>
        </row>
        <row r="377">
          <cell r="F377">
            <v>-1228.6099999999999</v>
          </cell>
        </row>
      </sheetData>
    </sheetDataSet>
  </externalBook>
</externalLink>
</file>

<file path=xl/externalLinks/externalLink6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NF-GUELPHHYDRO_ST-P-P_20160930"/>
    </sheetNames>
    <sheetDataSet>
      <sheetData sheetId="0">
        <row r="30">
          <cell r="X30">
            <v>9.6737940988535331E-2</v>
          </cell>
        </row>
        <row r="40">
          <cell r="F40">
            <v>-10185920.51</v>
          </cell>
          <cell r="X40">
            <v>105274.052</v>
          </cell>
          <cell r="Y40">
            <v>1585.2139999999999</v>
          </cell>
        </row>
        <row r="358">
          <cell r="F358">
            <v>6360.21</v>
          </cell>
        </row>
      </sheetData>
    </sheetDataSet>
  </externalBook>
</externalLink>
</file>

<file path=xl/externalLinks/externalLink6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NF-GUELPHHYDRO_ST-P-P_20161031"/>
    </sheetNames>
    <sheetDataSet>
      <sheetData sheetId="0">
        <row r="20">
          <cell r="X20">
            <v>0.11370472816756631</v>
          </cell>
        </row>
        <row r="38">
          <cell r="F38">
            <v>-11437594.960000001</v>
          </cell>
          <cell r="X38">
            <v>100601.13</v>
          </cell>
          <cell r="Y38">
            <v>1293.567</v>
          </cell>
        </row>
      </sheetData>
    </sheetDataSet>
  </externalBook>
</externalLink>
</file>

<file path=xl/externalLinks/externalLink6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NF-GUELPHHYDRO_ST-P-P_20161130"/>
    </sheetNames>
    <sheetDataSet>
      <sheetData sheetId="0">
        <row r="25">
          <cell r="X25">
            <v>0.1121163126961354</v>
          </cell>
        </row>
        <row r="40">
          <cell r="F40">
            <v>-11522517.869999999</v>
          </cell>
          <cell r="X40">
            <v>102769.572</v>
          </cell>
          <cell r="Y40">
            <v>944.351</v>
          </cell>
        </row>
      </sheetData>
    </sheetDataSet>
  </externalBook>
</externalLink>
</file>

<file path=xl/externalLinks/externalLink6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NF-GUELPHHYDRO_ST-P-P_20161231"/>
    </sheetNames>
    <sheetDataSet>
      <sheetData sheetId="0">
        <row r="20">
          <cell r="X20">
            <v>8.7595358220541319E-2</v>
          </cell>
        </row>
        <row r="40">
          <cell r="F40">
            <v>-9536142.2799999993</v>
          </cell>
          <cell r="X40">
            <v>108899.185</v>
          </cell>
          <cell r="Y40">
            <v>646.47</v>
          </cell>
        </row>
        <row r="319">
          <cell r="F319">
            <v>40.24</v>
          </cell>
        </row>
      </sheetData>
    </sheetDataSet>
  </externalBook>
</externalLink>
</file>

<file path=xl/externalLinks/externalLink6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NF-GUELPHHYDRO_ST-P-P_20170131"/>
    </sheetNames>
    <sheetDataSet>
      <sheetData sheetId="0">
        <row r="39">
          <cell r="F39">
            <v>-9419115.4399999995</v>
          </cell>
          <cell r="X39">
            <v>113745.821</v>
          </cell>
          <cell r="Y39">
            <v>127.86799999999999</v>
          </cell>
        </row>
      </sheetData>
    </sheetDataSet>
  </externalBook>
</externalLink>
</file>

<file path=xl/externalLinks/externalLink6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NF-GUELPHHYDRO_ST-P-P_20170228"/>
    </sheetNames>
    <sheetDataSet>
      <sheetData sheetId="0">
        <row r="39">
          <cell r="F39">
            <v>-8684680.2100000009</v>
          </cell>
          <cell r="X39">
            <v>100300.166</v>
          </cell>
          <cell r="Y39">
            <v>224.571</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Form"/>
      <sheetName val="Retailers "/>
      <sheetName val="Summary"/>
      <sheetName val="2016 Consumption Report"/>
      <sheetName val="2016 ADJ"/>
      <sheetName val="2015 UBR"/>
      <sheetName val="2016 UBR"/>
      <sheetName val="double check"/>
    </sheetNames>
    <sheetDataSet>
      <sheetData sheetId="0"/>
      <sheetData sheetId="1">
        <row r="16">
          <cell r="C16">
            <v>499477250.51615453</v>
          </cell>
        </row>
        <row r="33">
          <cell r="G33">
            <v>1668245566.6599998</v>
          </cell>
        </row>
      </sheetData>
      <sheetData sheetId="2"/>
      <sheetData sheetId="3"/>
      <sheetData sheetId="4"/>
      <sheetData sheetId="5"/>
      <sheetData sheetId="6"/>
      <sheetData sheetId="7"/>
      <sheetData sheetId="8"/>
    </sheetDataSet>
  </externalBook>
</externalLink>
</file>

<file path=xl/externalLinks/externalLink7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NF-GUELPHHYDRO_ST-P-P_20170331"/>
    </sheetNames>
    <sheetDataSet>
      <sheetData sheetId="0">
        <row r="41">
          <cell r="F41">
            <v>-7951786.8899999997</v>
          </cell>
          <cell r="X41">
            <v>110632.17200000001</v>
          </cell>
          <cell r="Y41">
            <v>807.98800000000006</v>
          </cell>
        </row>
        <row r="366">
          <cell r="F366">
            <v>807.12</v>
          </cell>
        </row>
      </sheetData>
    </sheetDataSet>
  </externalBook>
</externalLink>
</file>

<file path=xl/externalLinks/externalLink7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NF-GUELPHHYDRO_ST-P-P_20170430"/>
    </sheetNames>
    <sheetDataSet>
      <sheetData sheetId="0">
        <row r="40">
          <cell r="F40">
            <v>-10196735.74</v>
          </cell>
          <cell r="X40">
            <v>94420.407999999996</v>
          </cell>
          <cell r="Y40">
            <v>1215.134</v>
          </cell>
        </row>
        <row r="347">
          <cell r="F347">
            <v>-5746.82</v>
          </cell>
        </row>
        <row r="348">
          <cell r="F348">
            <v>-1730.88</v>
          </cell>
        </row>
        <row r="349">
          <cell r="F349">
            <v>-104188.96</v>
          </cell>
        </row>
      </sheetData>
    </sheetDataSet>
  </externalBook>
</externalLink>
</file>

<file path=xl/externalLinks/externalLink7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NF-GUELPHHYDRO_ST-P-P_20170531"/>
    </sheetNames>
    <sheetDataSet>
      <sheetData sheetId="0">
        <row r="40">
          <cell r="F40">
            <v>-12205772.08</v>
          </cell>
          <cell r="X40">
            <v>98542.611000000004</v>
          </cell>
          <cell r="Y40">
            <v>1497.53</v>
          </cell>
        </row>
        <row r="313">
          <cell r="F313">
            <v>-86854.33</v>
          </cell>
        </row>
      </sheetData>
    </sheetDataSet>
  </externalBook>
</externalLink>
</file>

<file path=xl/externalLinks/externalLink7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NF-GUELPHHYDRO_ST-P-P_20170630"/>
    </sheetNames>
    <sheetDataSet>
      <sheetData sheetId="0">
        <row r="38">
          <cell r="F38">
            <v>-14735443.560000001</v>
          </cell>
          <cell r="X38">
            <v>102530.18406999999</v>
          </cell>
        </row>
        <row r="350">
          <cell r="F350">
            <v>-129699.65</v>
          </cell>
        </row>
        <row r="351">
          <cell r="F351">
            <v>-1218240.8999999999</v>
          </cell>
        </row>
      </sheetData>
    </sheetDataSet>
  </externalBook>
</externalLink>
</file>

<file path=xl/externalLinks/externalLink7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lass A"/>
      <sheetName val="Net Metering"/>
      <sheetName val="Sheet3"/>
    </sheetNames>
    <sheetDataSet>
      <sheetData sheetId="0">
        <row r="23">
          <cell r="D23">
            <v>1783937.2762312556</v>
          </cell>
        </row>
      </sheetData>
      <sheetData sheetId="1"/>
      <sheetData sheetId="2"/>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IS Billed Revenue by Range gro"/>
    </sheetNames>
    <sheetDataSet>
      <sheetData sheetId="0">
        <row r="4964">
          <cell r="H4964">
            <v>6404410.9299999988</v>
          </cell>
          <cell r="I4964">
            <v>58743140.229999997</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nbilled Chart"/>
      <sheetName val="Query"/>
      <sheetName val="UBR COMPARISON"/>
      <sheetName val="Unbilled Chart of Accounts"/>
      <sheetName val="Unbilled Chart of RecCode"/>
      <sheetName val="Unbilled Chart of Rate Comp"/>
    </sheetNames>
    <sheetDataSet>
      <sheetData sheetId="0" refreshError="1"/>
      <sheetData sheetId="1">
        <row r="244">
          <cell r="J244">
            <v>483.97</v>
          </cell>
        </row>
        <row r="245">
          <cell r="J245">
            <v>0</v>
          </cell>
        </row>
        <row r="246">
          <cell r="J246">
            <v>17082741.390000001</v>
          </cell>
        </row>
        <row r="247">
          <cell r="J247">
            <v>0</v>
          </cell>
        </row>
        <row r="248">
          <cell r="J248">
            <v>5427077.9299999997</v>
          </cell>
        </row>
        <row r="249">
          <cell r="J249">
            <v>0</v>
          </cell>
        </row>
        <row r="250">
          <cell r="J250">
            <v>19138586.75</v>
          </cell>
        </row>
        <row r="251">
          <cell r="J251">
            <v>0</v>
          </cell>
        </row>
        <row r="252">
          <cell r="J252">
            <v>26225710.060000002</v>
          </cell>
        </row>
        <row r="256">
          <cell r="D256">
            <v>299639.64</v>
          </cell>
          <cell r="E256">
            <v>2794148.78</v>
          </cell>
        </row>
        <row r="257">
          <cell r="D257">
            <v>6551.27</v>
          </cell>
          <cell r="E257">
            <v>61827.77</v>
          </cell>
        </row>
        <row r="321">
          <cell r="L321">
            <v>472.91</v>
          </cell>
        </row>
        <row r="322">
          <cell r="L322">
            <v>11.06</v>
          </cell>
        </row>
        <row r="323">
          <cell r="L323">
            <v>16707343.51</v>
          </cell>
        </row>
        <row r="324">
          <cell r="L324">
            <v>-72.650000000000006</v>
          </cell>
        </row>
        <row r="325">
          <cell r="L325">
            <v>375470.53</v>
          </cell>
        </row>
        <row r="326">
          <cell r="L326">
            <v>5302737.7699999996</v>
          </cell>
        </row>
        <row r="327">
          <cell r="L327">
            <v>124340.16</v>
          </cell>
        </row>
      </sheetData>
      <sheetData sheetId="2" refreshError="1"/>
      <sheetData sheetId="3" refreshError="1"/>
      <sheetData sheetId="4" refreshError="1"/>
      <sheetData sheetId="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hyperlink" Target="http://www.ieso.ca/en/sector-participants/settlements/global-adjustment-for-class-b"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0:Z83"/>
  <sheetViews>
    <sheetView zoomScaleNormal="100" zoomScaleSheetLayoutView="85" workbookViewId="0">
      <selection activeCell="G84" sqref="G84"/>
    </sheetView>
  </sheetViews>
  <sheetFormatPr defaultColWidth="9.140625" defaultRowHeight="15"/>
  <cols>
    <col min="1" max="1" width="5.5703125" style="40" customWidth="1"/>
    <col min="2" max="2" width="16.140625" style="77" customWidth="1"/>
    <col min="3" max="3" width="164.5703125" style="38" customWidth="1"/>
    <col min="4" max="16384" width="9.140625" style="38"/>
  </cols>
  <sheetData>
    <row r="10" spans="1:3" ht="15.75">
      <c r="C10" s="121" t="s">
        <v>160</v>
      </c>
    </row>
    <row r="11" spans="1:3" ht="15.75">
      <c r="A11" s="41" t="s">
        <v>121</v>
      </c>
    </row>
    <row r="13" spans="1:3" ht="15.75">
      <c r="A13" s="42" t="s">
        <v>31</v>
      </c>
    </row>
    <row r="14" spans="1:3" ht="34.5" customHeight="1">
      <c r="A14" s="371" t="s">
        <v>153</v>
      </c>
      <c r="B14" s="371"/>
      <c r="C14" s="371"/>
    </row>
    <row r="16" spans="1:3" ht="15.75">
      <c r="A16" s="42" t="s">
        <v>46</v>
      </c>
    </row>
    <row r="17" spans="1:26">
      <c r="A17" s="40" t="s">
        <v>47</v>
      </c>
    </row>
    <row r="18" spans="1:26" ht="33" customHeight="1">
      <c r="A18" s="372" t="s">
        <v>84</v>
      </c>
      <c r="B18" s="372"/>
      <c r="C18" s="372"/>
    </row>
    <row r="20" spans="1:26">
      <c r="A20" s="40">
        <v>1</v>
      </c>
      <c r="B20" s="374" t="s">
        <v>139</v>
      </c>
      <c r="C20" s="374"/>
    </row>
    <row r="21" spans="1:26">
      <c r="B21" s="118"/>
      <c r="C21" s="118"/>
    </row>
    <row r="23" spans="1:26" ht="31.5" customHeight="1">
      <c r="A23" s="40">
        <v>2</v>
      </c>
      <c r="B23" s="371" t="s">
        <v>85</v>
      </c>
      <c r="C23" s="371"/>
    </row>
    <row r="24" spans="1:26">
      <c r="B24" s="117"/>
      <c r="C24" s="117"/>
    </row>
    <row r="26" spans="1:26">
      <c r="A26" s="40">
        <v>3</v>
      </c>
      <c r="B26" s="373" t="s">
        <v>108</v>
      </c>
      <c r="C26" s="373"/>
    </row>
    <row r="27" spans="1:26" ht="32.25" customHeight="1">
      <c r="B27" s="371" t="s">
        <v>116</v>
      </c>
      <c r="C27" s="371"/>
    </row>
    <row r="28" spans="1:26" ht="63" customHeight="1">
      <c r="B28" s="371" t="s">
        <v>128</v>
      </c>
      <c r="C28" s="371"/>
      <c r="D28" s="43"/>
      <c r="E28" s="39"/>
      <c r="F28" s="39"/>
      <c r="G28" s="39"/>
      <c r="H28" s="39"/>
      <c r="I28" s="39"/>
      <c r="J28" s="39"/>
      <c r="K28" s="39"/>
      <c r="L28" s="39"/>
      <c r="M28" s="39"/>
      <c r="N28" s="39"/>
      <c r="O28" s="39"/>
      <c r="P28" s="39"/>
      <c r="Q28" s="39"/>
      <c r="R28" s="39"/>
      <c r="S28" s="39"/>
      <c r="T28" s="39"/>
      <c r="U28" s="39"/>
      <c r="V28" s="39"/>
      <c r="W28" s="39"/>
      <c r="X28" s="39"/>
      <c r="Y28" s="39"/>
      <c r="Z28" s="39"/>
    </row>
    <row r="29" spans="1:26" ht="30" customHeight="1">
      <c r="B29" s="371" t="s">
        <v>117</v>
      </c>
      <c r="C29" s="371"/>
      <c r="D29" s="43"/>
      <c r="E29" s="39"/>
      <c r="F29" s="39"/>
      <c r="G29" s="39"/>
      <c r="H29" s="39"/>
      <c r="I29" s="39"/>
      <c r="J29" s="39"/>
      <c r="K29" s="39"/>
      <c r="L29" s="39"/>
      <c r="M29" s="39"/>
      <c r="N29" s="39"/>
      <c r="O29" s="39"/>
      <c r="P29" s="39"/>
      <c r="Q29" s="39"/>
      <c r="R29" s="39"/>
      <c r="S29" s="39"/>
      <c r="T29" s="39"/>
      <c r="U29" s="39"/>
      <c r="V29" s="39"/>
      <c r="W29" s="39"/>
      <c r="X29" s="39"/>
      <c r="Y29" s="39"/>
      <c r="Z29" s="39"/>
    </row>
    <row r="30" spans="1:26">
      <c r="B30" s="80" t="s">
        <v>43</v>
      </c>
    </row>
    <row r="31" spans="1:26">
      <c r="B31" s="80"/>
    </row>
    <row r="32" spans="1:26">
      <c r="B32" s="80"/>
    </row>
    <row r="33" spans="1:3" ht="35.25" customHeight="1">
      <c r="A33" s="371" t="s">
        <v>154</v>
      </c>
      <c r="B33" s="371"/>
      <c r="C33" s="371"/>
    </row>
    <row r="34" spans="1:3">
      <c r="B34" s="117"/>
      <c r="C34" s="117"/>
    </row>
    <row r="35" spans="1:3">
      <c r="B35" s="79"/>
    </row>
    <row r="36" spans="1:3">
      <c r="A36" s="40">
        <v>4</v>
      </c>
      <c r="B36" s="373" t="s">
        <v>140</v>
      </c>
      <c r="C36" s="373"/>
    </row>
    <row r="37" spans="1:3" ht="78.75" customHeight="1">
      <c r="B37" s="371" t="s">
        <v>141</v>
      </c>
      <c r="C37" s="371"/>
    </row>
    <row r="38" spans="1:3" ht="65.25" customHeight="1">
      <c r="B38" s="371" t="s">
        <v>123</v>
      </c>
      <c r="C38" s="371"/>
    </row>
    <row r="39" spans="1:3" ht="31.5" customHeight="1">
      <c r="B39" s="371" t="s">
        <v>122</v>
      </c>
      <c r="C39" s="371"/>
    </row>
    <row r="40" spans="1:3" ht="30" customHeight="1">
      <c r="B40" s="371" t="s">
        <v>124</v>
      </c>
      <c r="C40" s="371"/>
    </row>
    <row r="41" spans="1:3">
      <c r="B41" s="117"/>
      <c r="C41" s="117"/>
    </row>
    <row r="42" spans="1:3" ht="47.25" customHeight="1">
      <c r="B42" s="84" t="s">
        <v>109</v>
      </c>
      <c r="C42" s="39" t="s">
        <v>86</v>
      </c>
    </row>
    <row r="43" spans="1:3" ht="33.75" customHeight="1">
      <c r="B43" s="84" t="s">
        <v>111</v>
      </c>
      <c r="C43" s="39" t="s">
        <v>110</v>
      </c>
    </row>
    <row r="44" spans="1:3">
      <c r="B44" s="84" t="s">
        <v>114</v>
      </c>
      <c r="C44" s="39" t="s">
        <v>112</v>
      </c>
    </row>
    <row r="45" spans="1:3">
      <c r="B45" s="85" t="s">
        <v>115</v>
      </c>
      <c r="C45" s="78" t="s">
        <v>113</v>
      </c>
    </row>
    <row r="46" spans="1:3">
      <c r="B46" s="82"/>
      <c r="C46" s="78"/>
    </row>
    <row r="48" spans="1:3">
      <c r="A48" s="40">
        <v>5</v>
      </c>
      <c r="B48" s="83" t="s">
        <v>118</v>
      </c>
    </row>
    <row r="49" spans="2:3" ht="29.25" customHeight="1">
      <c r="B49" s="371" t="s">
        <v>134</v>
      </c>
      <c r="C49" s="371"/>
    </row>
    <row r="51" spans="2:3" ht="30" customHeight="1">
      <c r="B51" s="371" t="s">
        <v>119</v>
      </c>
      <c r="C51" s="371"/>
    </row>
    <row r="52" spans="2:3" ht="30" customHeight="1">
      <c r="B52" s="371" t="s">
        <v>87</v>
      </c>
      <c r="C52" s="371"/>
    </row>
    <row r="53" spans="2:3">
      <c r="B53" s="117"/>
      <c r="C53" s="117"/>
    </row>
    <row r="54" spans="2:3">
      <c r="B54" s="119" t="s">
        <v>88</v>
      </c>
    </row>
    <row r="55" spans="2:3">
      <c r="B55" s="86" t="s">
        <v>89</v>
      </c>
      <c r="C55" s="39" t="s">
        <v>90</v>
      </c>
    </row>
    <row r="56" spans="2:3" ht="45">
      <c r="B56" s="86"/>
      <c r="C56" s="39" t="s">
        <v>155</v>
      </c>
    </row>
    <row r="57" spans="2:3">
      <c r="B57" s="86"/>
      <c r="C57" s="38" t="s">
        <v>91</v>
      </c>
    </row>
    <row r="58" spans="2:3">
      <c r="B58" s="86"/>
      <c r="C58" s="38" t="s">
        <v>92</v>
      </c>
    </row>
    <row r="59" spans="2:3" ht="21" customHeight="1">
      <c r="B59" s="87" t="s">
        <v>95</v>
      </c>
      <c r="C59" s="38" t="s">
        <v>94</v>
      </c>
    </row>
    <row r="60" spans="2:3" ht="18.75" customHeight="1">
      <c r="B60" s="87"/>
      <c r="C60" s="39" t="s">
        <v>93</v>
      </c>
    </row>
    <row r="61" spans="2:3">
      <c r="B61" s="87"/>
      <c r="C61" s="38" t="s">
        <v>96</v>
      </c>
    </row>
    <row r="62" spans="2:3">
      <c r="B62" s="87"/>
      <c r="C62" s="38" t="s">
        <v>97</v>
      </c>
    </row>
    <row r="63" spans="2:3">
      <c r="B63" s="87" t="s">
        <v>99</v>
      </c>
      <c r="C63" s="38" t="s">
        <v>98</v>
      </c>
    </row>
    <row r="64" spans="2:3" ht="45">
      <c r="B64" s="87"/>
      <c r="C64" s="117" t="s">
        <v>100</v>
      </c>
    </row>
    <row r="65" spans="1:3">
      <c r="B65" s="87"/>
      <c r="C65" s="38" t="s">
        <v>101</v>
      </c>
    </row>
    <row r="66" spans="1:3">
      <c r="B66" s="87"/>
      <c r="C66" s="38" t="s">
        <v>125</v>
      </c>
    </row>
    <row r="67" spans="1:3">
      <c r="B67" s="87" t="s">
        <v>103</v>
      </c>
      <c r="C67" s="38" t="s">
        <v>102</v>
      </c>
    </row>
    <row r="68" spans="1:3" ht="45">
      <c r="B68" s="87"/>
      <c r="C68" s="117" t="s">
        <v>143</v>
      </c>
    </row>
    <row r="69" spans="1:3" ht="30">
      <c r="B69" s="87"/>
      <c r="C69" s="117" t="s">
        <v>144</v>
      </c>
    </row>
    <row r="70" spans="1:3">
      <c r="B70" s="87" t="s">
        <v>105</v>
      </c>
      <c r="C70" s="38" t="s">
        <v>104</v>
      </c>
    </row>
    <row r="71" spans="1:3" ht="30">
      <c r="B71" s="87"/>
      <c r="C71" s="117" t="s">
        <v>106</v>
      </c>
    </row>
    <row r="72" spans="1:3">
      <c r="B72" s="87" t="s">
        <v>145</v>
      </c>
      <c r="C72" s="117" t="s">
        <v>136</v>
      </c>
    </row>
    <row r="73" spans="1:3" ht="45">
      <c r="B73" s="87"/>
      <c r="C73" s="117" t="s">
        <v>147</v>
      </c>
    </row>
    <row r="74" spans="1:3">
      <c r="B74" s="87" t="s">
        <v>146</v>
      </c>
      <c r="C74" s="117" t="s">
        <v>148</v>
      </c>
    </row>
    <row r="75" spans="1:3" ht="30">
      <c r="B75" s="87"/>
      <c r="C75" s="117" t="s">
        <v>126</v>
      </c>
    </row>
    <row r="76" spans="1:3">
      <c r="B76" s="87"/>
      <c r="C76" s="117"/>
    </row>
    <row r="77" spans="1:3">
      <c r="A77" s="40">
        <v>6</v>
      </c>
      <c r="B77" s="120" t="s">
        <v>150</v>
      </c>
      <c r="C77" s="117"/>
    </row>
    <row r="78" spans="1:3" ht="59.25" customHeight="1">
      <c r="B78" s="372" t="s">
        <v>151</v>
      </c>
      <c r="C78" s="372"/>
    </row>
    <row r="79" spans="1:3">
      <c r="B79" s="81"/>
      <c r="C79" s="117"/>
    </row>
    <row r="81" spans="1:3" ht="30.75" customHeight="1">
      <c r="A81" s="40">
        <v>7</v>
      </c>
      <c r="B81" s="371" t="s">
        <v>152</v>
      </c>
      <c r="C81" s="371"/>
    </row>
    <row r="82" spans="1:3">
      <c r="B82" s="117"/>
      <c r="C82" s="117"/>
    </row>
    <row r="83" spans="1:3" ht="15.75" customHeight="1">
      <c r="B83" s="374" t="s">
        <v>107</v>
      </c>
      <c r="C83" s="374"/>
    </row>
  </sheetData>
  <mergeCells count="20">
    <mergeCell ref="B83:C83"/>
    <mergeCell ref="B27:C27"/>
    <mergeCell ref="B36:C36"/>
    <mergeCell ref="B81:C81"/>
    <mergeCell ref="B49:C49"/>
    <mergeCell ref="B51:C51"/>
    <mergeCell ref="B52:C52"/>
    <mergeCell ref="B40:C40"/>
    <mergeCell ref="B28:C28"/>
    <mergeCell ref="B29:C29"/>
    <mergeCell ref="B37:C37"/>
    <mergeCell ref="B38:C38"/>
    <mergeCell ref="B39:C39"/>
    <mergeCell ref="A33:C33"/>
    <mergeCell ref="B78:C78"/>
    <mergeCell ref="A14:C14"/>
    <mergeCell ref="A18:C18"/>
    <mergeCell ref="B23:C23"/>
    <mergeCell ref="B26:C26"/>
    <mergeCell ref="B20:C20"/>
  </mergeCells>
  <pageMargins left="0.70866141732283472" right="0.70866141732283472" top="0.74803149606299213" bottom="0.74803149606299213" header="0.31496062992125984" footer="0.31496062992125984"/>
  <pageSetup paperSize="17" scale="90" fitToHeight="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2:X103"/>
  <sheetViews>
    <sheetView tabSelected="1" topLeftCell="A73" zoomScaleNormal="100" zoomScaleSheetLayoutView="100" workbookViewId="0">
      <selection activeCell="D82" sqref="D82"/>
    </sheetView>
  </sheetViews>
  <sheetFormatPr defaultColWidth="9.140625" defaultRowHeight="14.25"/>
  <cols>
    <col min="1" max="1" width="10.28515625" style="1" customWidth="1"/>
    <col min="2" max="2" width="53.85546875" style="362" customWidth="1"/>
    <col min="3" max="3" width="28.140625" style="1" customWidth="1"/>
    <col min="4" max="4" width="23.140625" style="1" customWidth="1"/>
    <col min="5" max="5" width="19.140625" style="1" customWidth="1"/>
    <col min="6" max="6" width="24.42578125" style="1" customWidth="1"/>
    <col min="7" max="7" width="15.85546875" style="1" customWidth="1"/>
    <col min="8" max="8" width="18.140625" style="1" customWidth="1"/>
    <col min="9" max="9" width="17.7109375" style="1" customWidth="1"/>
    <col min="10" max="10" width="17.28515625" style="1" customWidth="1"/>
    <col min="11" max="11" width="18.140625" style="1" customWidth="1"/>
    <col min="12" max="12" width="10.7109375" style="1" customWidth="1"/>
    <col min="13" max="13" width="10.28515625" style="1" customWidth="1"/>
    <col min="14" max="14" width="11.85546875" style="1" customWidth="1"/>
    <col min="15" max="15" width="10.7109375" style="1" customWidth="1"/>
    <col min="16" max="16" width="10.28515625" style="1" customWidth="1"/>
    <col min="17" max="17" width="10.7109375" style="1" customWidth="1"/>
    <col min="18" max="18" width="10.5703125" style="1" customWidth="1"/>
    <col min="19" max="19" width="11" style="1" customWidth="1"/>
    <col min="20" max="20" width="13" style="1" customWidth="1"/>
    <col min="21" max="21" width="10.85546875" style="1" customWidth="1"/>
    <col min="22" max="22" width="11.28515625" style="1" customWidth="1"/>
    <col min="23" max="16384" width="9.140625" style="1"/>
  </cols>
  <sheetData>
    <row r="12" spans="1:24" ht="15">
      <c r="A12" s="45" t="s">
        <v>48</v>
      </c>
      <c r="B12" s="358"/>
      <c r="C12" s="45"/>
    </row>
    <row r="13" spans="1:24">
      <c r="A13" s="4"/>
      <c r="B13" s="358"/>
      <c r="C13" s="4"/>
    </row>
    <row r="14" spans="1:24" ht="15">
      <c r="A14" s="4"/>
      <c r="B14" s="358" t="s">
        <v>32</v>
      </c>
      <c r="C14" s="21"/>
      <c r="D14" s="4"/>
      <c r="E14" s="4"/>
      <c r="F14" s="4"/>
      <c r="X14" s="1">
        <v>2014</v>
      </c>
    </row>
    <row r="15" spans="1:24" ht="15">
      <c r="A15" s="4"/>
      <c r="B15" s="358" t="s">
        <v>60</v>
      </c>
      <c r="C15" s="53"/>
      <c r="D15" s="4"/>
      <c r="E15" s="4"/>
      <c r="F15" s="4"/>
    </row>
    <row r="16" spans="1:24" ht="15">
      <c r="A16" s="4"/>
      <c r="B16" s="359"/>
      <c r="C16" s="13"/>
      <c r="D16" s="4"/>
      <c r="E16" s="4"/>
      <c r="F16" s="4"/>
      <c r="X16" s="1">
        <v>2015</v>
      </c>
    </row>
    <row r="17" spans="1:24" ht="15">
      <c r="A17" s="4" t="s">
        <v>33</v>
      </c>
      <c r="B17" s="359" t="s">
        <v>129</v>
      </c>
      <c r="C17" s="22">
        <v>2016</v>
      </c>
      <c r="D17" s="4"/>
      <c r="E17" s="4"/>
      <c r="F17" s="4"/>
      <c r="X17" s="1">
        <v>2016</v>
      </c>
    </row>
    <row r="18" spans="1:24" ht="15">
      <c r="A18" s="4"/>
      <c r="B18" s="359"/>
      <c r="C18" s="13"/>
      <c r="D18" s="4"/>
      <c r="E18" s="4"/>
      <c r="F18" s="4"/>
    </row>
    <row r="19" spans="1:24" ht="15">
      <c r="A19" s="4"/>
      <c r="B19" s="359"/>
      <c r="C19" s="13"/>
      <c r="D19" s="4"/>
      <c r="E19" s="4"/>
      <c r="F19" s="4"/>
    </row>
    <row r="20" spans="1:24" ht="30">
      <c r="A20" s="4" t="s">
        <v>34</v>
      </c>
      <c r="B20" s="360" t="s">
        <v>81</v>
      </c>
      <c r="C20" s="20"/>
      <c r="D20" s="20"/>
      <c r="E20" s="20"/>
      <c r="F20" s="20"/>
      <c r="I20" s="73"/>
      <c r="J20" s="73"/>
      <c r="K20" s="73"/>
      <c r="L20" s="73"/>
      <c r="M20" s="73"/>
      <c r="N20" s="73"/>
      <c r="O20" s="73"/>
      <c r="P20" s="73"/>
      <c r="Q20" s="73"/>
      <c r="R20" s="73"/>
      <c r="S20" s="73"/>
    </row>
    <row r="21" spans="1:24" ht="15">
      <c r="A21" s="4"/>
      <c r="B21" s="383" t="s">
        <v>25</v>
      </c>
      <c r="C21" s="383"/>
      <c r="D21" s="22">
        <v>2016</v>
      </c>
      <c r="E21" s="384"/>
      <c r="F21" s="385"/>
      <c r="G21" s="73"/>
      <c r="H21" s="73"/>
      <c r="I21" s="73"/>
      <c r="J21" s="73"/>
      <c r="K21" s="73"/>
      <c r="L21" s="73"/>
      <c r="M21" s="73"/>
      <c r="N21" s="73"/>
      <c r="O21" s="73"/>
      <c r="P21" s="73"/>
      <c r="Q21" s="73"/>
    </row>
    <row r="22" spans="1:24" ht="15" thickBot="1">
      <c r="A22" s="4"/>
      <c r="B22" s="361" t="s">
        <v>3</v>
      </c>
      <c r="C22" s="5" t="s">
        <v>2</v>
      </c>
      <c r="D22" s="105">
        <f>D23+D24</f>
        <v>1668245566.6461544</v>
      </c>
      <c r="E22" s="6" t="s">
        <v>0</v>
      </c>
      <c r="F22" s="7">
        <v>1</v>
      </c>
      <c r="G22" s="73"/>
      <c r="H22" s="73"/>
      <c r="I22" s="73"/>
      <c r="J22" s="73"/>
      <c r="K22" s="73"/>
      <c r="L22" s="73"/>
      <c r="M22" s="73"/>
      <c r="N22" s="73"/>
      <c r="O22" s="73"/>
      <c r="P22" s="73"/>
      <c r="Q22" s="73"/>
    </row>
    <row r="23" spans="1:24">
      <c r="B23" s="361" t="s">
        <v>7</v>
      </c>
      <c r="C23" s="5" t="s">
        <v>1</v>
      </c>
      <c r="D23" s="122">
        <f>'[1]GA Analysis'!$D$12</f>
        <v>499477250.51615453</v>
      </c>
      <c r="E23" s="6" t="s">
        <v>0</v>
      </c>
      <c r="F23" s="8">
        <f>IFERROR(D23/$D$22,0)</f>
        <v>0.29940271414615838</v>
      </c>
    </row>
    <row r="24" spans="1:24" ht="15" thickBot="1">
      <c r="B24" s="361" t="s">
        <v>8</v>
      </c>
      <c r="C24" s="5" t="s">
        <v>6</v>
      </c>
      <c r="D24" s="105">
        <f>D25+D26</f>
        <v>1168768316.1299999</v>
      </c>
      <c r="E24" s="6" t="s">
        <v>0</v>
      </c>
      <c r="F24" s="8">
        <f>IFERROR(D24/$D$22,0)</f>
        <v>0.70059728585384162</v>
      </c>
    </row>
    <row r="25" spans="1:24">
      <c r="B25" s="361" t="s">
        <v>9</v>
      </c>
      <c r="C25" s="5" t="s">
        <v>4</v>
      </c>
      <c r="D25" s="122">
        <f>'[2]2016 Cust. switch Class A to B'!$F$34+'[2]2016 Cust. switch Class A to B'!$F$35</f>
        <v>419184288.53037626</v>
      </c>
      <c r="E25" s="6" t="s">
        <v>0</v>
      </c>
      <c r="F25" s="8">
        <f>IFERROR(D25/$D$22,0)</f>
        <v>0.2512725326002847</v>
      </c>
    </row>
    <row r="26" spans="1:24">
      <c r="B26" s="361" t="s">
        <v>61</v>
      </c>
      <c r="C26" s="5" t="s">
        <v>5</v>
      </c>
      <c r="D26" s="122">
        <f>'[2]2016 Cust. switch Class A to B'!$F$36</f>
        <v>749584027.59962356</v>
      </c>
      <c r="E26" s="6" t="s">
        <v>0</v>
      </c>
      <c r="F26" s="8">
        <f>IFERROR(D26/$D$22,0)</f>
        <v>0.44932475325355692</v>
      </c>
      <c r="G26" s="27"/>
      <c r="H26" s="27"/>
    </row>
    <row r="27" spans="1:24" ht="34.5" customHeight="1">
      <c r="B27" s="386" t="s">
        <v>76</v>
      </c>
      <c r="C27" s="386"/>
      <c r="D27" s="386"/>
      <c r="E27" s="386"/>
      <c r="F27" s="386"/>
      <c r="G27" s="387"/>
      <c r="H27" s="387"/>
    </row>
    <row r="28" spans="1:24">
      <c r="D28" s="106"/>
      <c r="E28" s="33"/>
      <c r="F28" s="33"/>
      <c r="G28" s="33"/>
    </row>
    <row r="29" spans="1:24" ht="15">
      <c r="A29" s="1" t="s">
        <v>35</v>
      </c>
      <c r="B29" s="363" t="s">
        <v>41</v>
      </c>
    </row>
    <row r="30" spans="1:24" ht="15">
      <c r="B30" s="363"/>
    </row>
    <row r="31" spans="1:24" ht="15">
      <c r="B31" s="9" t="s">
        <v>22</v>
      </c>
      <c r="C31" s="50" t="s">
        <v>161</v>
      </c>
      <c r="E31" s="73"/>
      <c r="F31" s="33"/>
      <c r="G31" s="33"/>
      <c r="H31" s="33"/>
      <c r="I31" s="33"/>
      <c r="J31" s="33"/>
      <c r="K31" s="33"/>
    </row>
    <row r="32" spans="1:24">
      <c r="E32" s="73"/>
      <c r="F32" s="33"/>
      <c r="G32" s="33"/>
      <c r="H32" s="33"/>
      <c r="I32" s="33"/>
      <c r="J32" s="33"/>
      <c r="K32" s="33"/>
    </row>
    <row r="33" spans="1:23" ht="15">
      <c r="B33" s="9" t="s">
        <v>42</v>
      </c>
    </row>
    <row r="34" spans="1:23" ht="15" customHeight="1">
      <c r="B34" s="34"/>
      <c r="C34" s="34"/>
      <c r="D34" s="34"/>
      <c r="E34" s="34"/>
      <c r="F34" s="34"/>
      <c r="G34" s="34"/>
      <c r="H34" s="34"/>
    </row>
    <row r="35" spans="1:23" ht="15" customHeight="1">
      <c r="B35" s="34"/>
      <c r="C35" s="34"/>
      <c r="D35" s="34"/>
      <c r="E35" s="34"/>
      <c r="F35" s="34"/>
      <c r="G35" s="34"/>
      <c r="H35" s="34"/>
    </row>
    <row r="36" spans="1:23" ht="15" customHeight="1">
      <c r="B36" s="34"/>
      <c r="C36" s="34"/>
      <c r="D36" s="34"/>
      <c r="E36" s="34"/>
      <c r="F36" s="34"/>
      <c r="G36" s="34"/>
      <c r="H36" s="34"/>
    </row>
    <row r="37" spans="1:23" ht="15" customHeight="1">
      <c r="B37" s="34"/>
      <c r="C37" s="34"/>
      <c r="D37" s="34"/>
      <c r="E37" s="34"/>
      <c r="F37" s="34"/>
      <c r="G37" s="34"/>
      <c r="H37" s="34"/>
    </row>
    <row r="38" spans="1:23" ht="14.25" customHeight="1">
      <c r="B38" s="34"/>
      <c r="C38" s="34"/>
      <c r="D38" s="34"/>
      <c r="E38" s="34"/>
      <c r="F38" s="34"/>
      <c r="G38" s="34"/>
      <c r="H38" s="34"/>
    </row>
    <row r="39" spans="1:23" ht="14.25" customHeight="1">
      <c r="B39" s="34"/>
      <c r="C39" s="34"/>
      <c r="D39" s="34"/>
      <c r="E39" s="34"/>
      <c r="F39" s="34"/>
      <c r="G39" s="34"/>
      <c r="H39" s="34"/>
    </row>
    <row r="40" spans="1:23" s="33" customFormat="1" ht="14.25" customHeight="1">
      <c r="B40" s="34"/>
      <c r="C40" s="34"/>
      <c r="D40" s="34"/>
      <c r="E40" s="34"/>
      <c r="F40" s="34"/>
      <c r="G40" s="34"/>
      <c r="H40" s="34"/>
    </row>
    <row r="41" spans="1:23" s="33" customFormat="1" ht="14.25" customHeight="1">
      <c r="B41" s="34"/>
      <c r="C41" s="34"/>
      <c r="D41" s="34"/>
      <c r="E41" s="34"/>
      <c r="F41" s="34"/>
      <c r="G41" s="34"/>
      <c r="H41" s="34"/>
    </row>
    <row r="43" spans="1:23" ht="15">
      <c r="A43" s="1" t="s">
        <v>36</v>
      </c>
      <c r="B43" s="364" t="s">
        <v>140</v>
      </c>
      <c r="C43" s="3"/>
    </row>
    <row r="44" spans="1:23" ht="15.75" thickBot="1">
      <c r="B44" s="9" t="s">
        <v>25</v>
      </c>
      <c r="C44" s="88">
        <v>2016</v>
      </c>
      <c r="D44" s="73"/>
      <c r="E44" s="73"/>
      <c r="F44" s="74"/>
      <c r="G44" s="31"/>
      <c r="H44" s="31"/>
      <c r="I44" s="31"/>
      <c r="J44" s="31"/>
      <c r="K44" s="31"/>
      <c r="N44" s="3" t="s">
        <v>29</v>
      </c>
    </row>
    <row r="45" spans="1:23" s="9" customFormat="1" ht="80.25" customHeight="1" thickBot="1">
      <c r="B45" s="48" t="s">
        <v>39</v>
      </c>
      <c r="C45" s="58" t="s">
        <v>138</v>
      </c>
      <c r="D45" s="75" t="s">
        <v>82</v>
      </c>
      <c r="E45" s="76" t="s">
        <v>83</v>
      </c>
      <c r="F45" s="63" t="s">
        <v>127</v>
      </c>
      <c r="G45" s="24" t="s">
        <v>49</v>
      </c>
      <c r="H45" s="24" t="s">
        <v>23</v>
      </c>
      <c r="I45" s="24" t="s">
        <v>50</v>
      </c>
      <c r="J45" s="24" t="s">
        <v>75</v>
      </c>
      <c r="K45" s="64" t="s">
        <v>77</v>
      </c>
      <c r="N45" s="11"/>
      <c r="O45" s="379">
        <v>2016</v>
      </c>
      <c r="P45" s="379"/>
      <c r="Q45" s="379"/>
      <c r="R45" s="379">
        <v>2015</v>
      </c>
      <c r="S45" s="379"/>
      <c r="T45" s="379"/>
      <c r="U45" s="379">
        <v>2014</v>
      </c>
      <c r="V45" s="379"/>
      <c r="W45" s="379"/>
    </row>
    <row r="46" spans="1:23" s="9" customFormat="1" ht="30">
      <c r="B46" s="12"/>
      <c r="C46" s="59" t="s">
        <v>40</v>
      </c>
      <c r="D46" s="59" t="s">
        <v>38</v>
      </c>
      <c r="E46" s="60" t="s">
        <v>53</v>
      </c>
      <c r="F46" s="60" t="s">
        <v>54</v>
      </c>
      <c r="G46" s="60" t="s">
        <v>55</v>
      </c>
      <c r="H46" s="61" t="s">
        <v>56</v>
      </c>
      <c r="I46" s="60" t="s">
        <v>57</v>
      </c>
      <c r="J46" s="61" t="s">
        <v>58</v>
      </c>
      <c r="K46" s="62" t="s">
        <v>59</v>
      </c>
      <c r="N46" s="17" t="s">
        <v>30</v>
      </c>
      <c r="O46" s="93" t="s">
        <v>26</v>
      </c>
      <c r="P46" s="93" t="s">
        <v>27</v>
      </c>
      <c r="Q46" s="93" t="s">
        <v>28</v>
      </c>
      <c r="R46" s="93" t="s">
        <v>26</v>
      </c>
      <c r="S46" s="93" t="s">
        <v>27</v>
      </c>
      <c r="T46" s="93" t="s">
        <v>28</v>
      </c>
      <c r="U46" s="93" t="s">
        <v>26</v>
      </c>
      <c r="V46" s="93" t="s">
        <v>27</v>
      </c>
      <c r="W46" s="93" t="s">
        <v>28</v>
      </c>
    </row>
    <row r="47" spans="1:23">
      <c r="B47" s="365" t="s">
        <v>10</v>
      </c>
      <c r="C47" s="123">
        <f>'[1]GA Analysis'!C35</f>
        <v>58743140.229999997</v>
      </c>
      <c r="D47" s="123">
        <f>'[1]GA Analysis'!D35</f>
        <v>55645827.809999987</v>
      </c>
      <c r="E47" s="124">
        <f>'[1]GA Analysis'!E35</f>
        <v>48220273.359999992</v>
      </c>
      <c r="F47" s="49">
        <f>C47-D47+E47</f>
        <v>51317585.780000001</v>
      </c>
      <c r="G47" s="101">
        <f t="shared" ref="G47:G58" si="0">O47</f>
        <v>8.4229999999999999E-2</v>
      </c>
      <c r="H47" s="14">
        <f>F47*G47</f>
        <v>4322480.2502493998</v>
      </c>
      <c r="I47" s="101">
        <f t="shared" ref="I47:I58" si="1">Q47</f>
        <v>9.1789999999999997E-2</v>
      </c>
      <c r="J47" s="16">
        <f>F47*I47</f>
        <v>4710441.1987461997</v>
      </c>
      <c r="K47" s="15">
        <f>J47-H47</f>
        <v>387960.94849679992</v>
      </c>
      <c r="N47" s="11" t="s">
        <v>10</v>
      </c>
      <c r="O47" s="18">
        <v>8.4229999999999999E-2</v>
      </c>
      <c r="P47" s="18">
        <v>9.214E-2</v>
      </c>
      <c r="Q47" s="18">
        <v>9.1789999999999997E-2</v>
      </c>
      <c r="R47" s="18">
        <v>5.5490000000000005E-2</v>
      </c>
      <c r="S47" s="18">
        <v>6.1609999999999998E-2</v>
      </c>
      <c r="T47" s="18">
        <v>5.0680000000000003E-2</v>
      </c>
      <c r="U47" s="18">
        <v>3.6260000000000001E-2</v>
      </c>
      <c r="V47" s="18">
        <v>1.806E-2</v>
      </c>
      <c r="W47" s="18">
        <v>1.261E-2</v>
      </c>
    </row>
    <row r="48" spans="1:23">
      <c r="B48" s="365" t="s">
        <v>11</v>
      </c>
      <c r="C48" s="123">
        <f>'[1]GA Analysis'!C36</f>
        <v>66960959.680000007</v>
      </c>
      <c r="D48" s="123">
        <f>'[1]GA Analysis'!D36</f>
        <v>48220273.359999992</v>
      </c>
      <c r="E48" s="124">
        <f>'[1]GA Analysis'!E36</f>
        <v>49525282.619999997</v>
      </c>
      <c r="F48" s="49">
        <f t="shared" ref="F48:F58" si="2">C48-D48+E48</f>
        <v>68265968.940000013</v>
      </c>
      <c r="G48" s="101">
        <f t="shared" si="0"/>
        <v>0.10384</v>
      </c>
      <c r="H48" s="14">
        <f t="shared" ref="H48:H58" si="3">F48*G48</f>
        <v>7088738.2147296015</v>
      </c>
      <c r="I48" s="101">
        <f t="shared" si="1"/>
        <v>9.851E-2</v>
      </c>
      <c r="J48" s="16">
        <f t="shared" ref="J48:J58" si="4">F48*I48</f>
        <v>6724880.6002794011</v>
      </c>
      <c r="K48" s="15">
        <f t="shared" ref="K48:K58" si="5">J48-H48</f>
        <v>-363857.61445020046</v>
      </c>
      <c r="N48" s="11" t="s">
        <v>11</v>
      </c>
      <c r="O48" s="19">
        <v>0.10384</v>
      </c>
      <c r="P48" s="19">
        <v>9.6780000000000005E-2</v>
      </c>
      <c r="Q48" s="19">
        <v>9.851E-2</v>
      </c>
      <c r="R48" s="19">
        <v>6.9809999999999997E-2</v>
      </c>
      <c r="S48" s="19">
        <v>4.095E-2</v>
      </c>
      <c r="T48" s="19">
        <v>3.9609999999999999E-2</v>
      </c>
      <c r="U48" s="19">
        <v>2.231E-2</v>
      </c>
      <c r="V48" s="19">
        <v>1.1180000000000001E-2</v>
      </c>
      <c r="W48" s="19">
        <v>1.3300000000000001E-2</v>
      </c>
    </row>
    <row r="49" spans="1:24">
      <c r="B49" s="365" t="s">
        <v>12</v>
      </c>
      <c r="C49" s="123">
        <f>'[1]GA Analysis'!C37</f>
        <v>63947348.519999988</v>
      </c>
      <c r="D49" s="123">
        <f>'[1]GA Analysis'!D37</f>
        <v>49525282.619999997</v>
      </c>
      <c r="E49" s="124">
        <f>'[1]GA Analysis'!E37</f>
        <v>56319242.690000005</v>
      </c>
      <c r="F49" s="49">
        <f t="shared" si="2"/>
        <v>70741308.590000004</v>
      </c>
      <c r="G49" s="101">
        <f t="shared" si="0"/>
        <v>9.0219999999999995E-2</v>
      </c>
      <c r="H49" s="14">
        <f t="shared" si="3"/>
        <v>6382280.8609897997</v>
      </c>
      <c r="I49" s="101">
        <f t="shared" si="1"/>
        <v>0.1061</v>
      </c>
      <c r="J49" s="16">
        <f t="shared" si="4"/>
        <v>7505652.841399</v>
      </c>
      <c r="K49" s="15">
        <f t="shared" si="5"/>
        <v>1123371.9804092003</v>
      </c>
      <c r="N49" s="11" t="s">
        <v>12</v>
      </c>
      <c r="O49" s="19">
        <v>9.0219999999999995E-2</v>
      </c>
      <c r="P49" s="19">
        <v>0.10299</v>
      </c>
      <c r="Q49" s="19">
        <v>0.1061</v>
      </c>
      <c r="R49" s="19">
        <v>3.6040000000000003E-2</v>
      </c>
      <c r="S49" s="19">
        <v>5.74E-2</v>
      </c>
      <c r="T49" s="19">
        <v>6.2899999999999998E-2</v>
      </c>
      <c r="U49" s="19">
        <v>1.103E-2</v>
      </c>
      <c r="V49" s="19">
        <v>-8.0000000000000002E-3</v>
      </c>
      <c r="W49" s="19">
        <v>-2.7E-4</v>
      </c>
    </row>
    <row r="50" spans="1:24">
      <c r="B50" s="365" t="s">
        <v>13</v>
      </c>
      <c r="C50" s="123">
        <f>'[1]GA Analysis'!C38</f>
        <v>61204250.079999991</v>
      </c>
      <c r="D50" s="123">
        <f>'[1]GA Analysis'!D38</f>
        <v>56319242.690000005</v>
      </c>
      <c r="E50" s="124">
        <f>'[1]GA Analysis'!E38</f>
        <v>51390282.439999998</v>
      </c>
      <c r="F50" s="49">
        <f t="shared" si="2"/>
        <v>56275289.829999983</v>
      </c>
      <c r="G50" s="101">
        <f t="shared" si="0"/>
        <v>0.12114999999999999</v>
      </c>
      <c r="H50" s="14">
        <f t="shared" si="3"/>
        <v>6817751.3629044974</v>
      </c>
      <c r="I50" s="101">
        <f t="shared" si="1"/>
        <v>0.11132</v>
      </c>
      <c r="J50" s="16">
        <f t="shared" si="4"/>
        <v>6264565.2638755981</v>
      </c>
      <c r="K50" s="15">
        <f t="shared" si="5"/>
        <v>-553186.09902889933</v>
      </c>
      <c r="N50" s="11" t="s">
        <v>13</v>
      </c>
      <c r="O50" s="19">
        <v>0.12114999999999999</v>
      </c>
      <c r="P50" s="19">
        <v>0.11176999999999999</v>
      </c>
      <c r="Q50" s="19">
        <v>0.11132</v>
      </c>
      <c r="R50" s="19">
        <v>6.7049999999999998E-2</v>
      </c>
      <c r="S50" s="19">
        <v>9.2679999999999998E-2</v>
      </c>
      <c r="T50" s="19">
        <v>9.5590000000000008E-2</v>
      </c>
      <c r="U50" s="19">
        <v>-9.6500000000000006E-3</v>
      </c>
      <c r="V50" s="19">
        <v>5.4530000000000002E-2</v>
      </c>
      <c r="W50" s="19">
        <v>5.1979999999999998E-2</v>
      </c>
    </row>
    <row r="51" spans="1:24">
      <c r="B51" s="365" t="s">
        <v>14</v>
      </c>
      <c r="C51" s="123">
        <f>'[1]GA Analysis'!C39</f>
        <v>63740323.479999997</v>
      </c>
      <c r="D51" s="123">
        <f>'[1]GA Analysis'!D39</f>
        <v>51390282.439999998</v>
      </c>
      <c r="E51" s="124">
        <f>'[1]GA Analysis'!E39</f>
        <v>52893171.68999999</v>
      </c>
      <c r="F51" s="49">
        <f t="shared" si="2"/>
        <v>65243212.729999989</v>
      </c>
      <c r="G51" s="101">
        <f t="shared" si="0"/>
        <v>0.10405</v>
      </c>
      <c r="H51" s="14">
        <f t="shared" si="3"/>
        <v>6788556.2845564988</v>
      </c>
      <c r="I51" s="101">
        <f t="shared" si="1"/>
        <v>0.10749</v>
      </c>
      <c r="J51" s="16">
        <f t="shared" si="4"/>
        <v>7012992.9363476988</v>
      </c>
      <c r="K51" s="15">
        <f t="shared" si="5"/>
        <v>224436.65179120004</v>
      </c>
      <c r="N51" s="11" t="s">
        <v>14</v>
      </c>
      <c r="O51" s="19">
        <v>0.10405</v>
      </c>
      <c r="P51" s="19">
        <v>0.11493</v>
      </c>
      <c r="Q51" s="19">
        <v>0.10749</v>
      </c>
      <c r="R51" s="19">
        <v>9.4159999999999994E-2</v>
      </c>
      <c r="S51" s="19">
        <v>9.7299999999999998E-2</v>
      </c>
      <c r="T51" s="19">
        <v>9.6680000000000002E-2</v>
      </c>
      <c r="U51" s="19">
        <v>5.3560000000000003E-2</v>
      </c>
      <c r="V51" s="19">
        <v>7.3520000000000002E-2</v>
      </c>
      <c r="W51" s="19">
        <v>7.1959999999999996E-2</v>
      </c>
    </row>
    <row r="52" spans="1:24">
      <c r="B52" s="365" t="s">
        <v>15</v>
      </c>
      <c r="C52" s="123">
        <f>'[1]GA Analysis'!C40</f>
        <v>63441195.579999983</v>
      </c>
      <c r="D52" s="123">
        <f>'[1]GA Analysis'!D40</f>
        <v>52893171.68999999</v>
      </c>
      <c r="E52" s="124">
        <f>'[1]GA Analysis'!E40</f>
        <v>52091310.640000001</v>
      </c>
      <c r="F52" s="49">
        <f t="shared" si="2"/>
        <v>62639334.529999994</v>
      </c>
      <c r="G52" s="101">
        <f t="shared" si="0"/>
        <v>0.11650000000000001</v>
      </c>
      <c r="H52" s="14">
        <f t="shared" si="3"/>
        <v>7297482.4727449995</v>
      </c>
      <c r="I52" s="101">
        <f t="shared" si="1"/>
        <v>9.5449999999999993E-2</v>
      </c>
      <c r="J52" s="16">
        <f t="shared" si="4"/>
        <v>5978924.4808884989</v>
      </c>
      <c r="K52" s="15">
        <f t="shared" si="5"/>
        <v>-1318557.9918565005</v>
      </c>
      <c r="N52" s="11" t="s">
        <v>15</v>
      </c>
      <c r="O52" s="19">
        <v>0.11650000000000001</v>
      </c>
      <c r="P52" s="19">
        <v>9.3600000000000003E-2</v>
      </c>
      <c r="Q52" s="19">
        <v>9.5449999999999993E-2</v>
      </c>
      <c r="R52" s="19">
        <v>9.2280000000000001E-2</v>
      </c>
      <c r="S52" s="19">
        <v>9.7680000000000003E-2</v>
      </c>
      <c r="T52" s="19">
        <v>9.5400000000000013E-2</v>
      </c>
      <c r="U52" s="19">
        <v>7.1900000000000006E-2</v>
      </c>
      <c r="V52" s="19">
        <v>6.6640000000000005E-2</v>
      </c>
      <c r="W52" s="19">
        <v>6.0249999999999998E-2</v>
      </c>
    </row>
    <row r="53" spans="1:24">
      <c r="B53" s="365" t="s">
        <v>16</v>
      </c>
      <c r="C53" s="124">
        <f>'[1]GA Analysis'!C41</f>
        <v>58315662.649999984</v>
      </c>
      <c r="D53" s="124">
        <f>'[1]GA Analysis'!D41</f>
        <v>52091310.640000001</v>
      </c>
      <c r="E53" s="125">
        <f>'[1]GA Analysis'!E41</f>
        <v>55366136.819999993</v>
      </c>
      <c r="F53" s="49">
        <f t="shared" si="2"/>
        <v>61590488.829999976</v>
      </c>
      <c r="G53" s="101">
        <f t="shared" si="0"/>
        <v>7.6670000000000002E-2</v>
      </c>
      <c r="H53" s="14">
        <f t="shared" si="3"/>
        <v>4722142.7785960985</v>
      </c>
      <c r="I53" s="101">
        <f t="shared" si="1"/>
        <v>8.3059999999999995E-2</v>
      </c>
      <c r="J53" s="16">
        <f t="shared" si="4"/>
        <v>5115706.002219798</v>
      </c>
      <c r="K53" s="15">
        <f t="shared" si="5"/>
        <v>393563.22362369951</v>
      </c>
      <c r="N53" s="11" t="s">
        <v>16</v>
      </c>
      <c r="O53" s="19">
        <v>7.6670000000000002E-2</v>
      </c>
      <c r="P53" s="19">
        <v>8.412E-2</v>
      </c>
      <c r="Q53" s="19">
        <v>8.3059999999999995E-2</v>
      </c>
      <c r="R53" s="19">
        <v>8.8880000000000001E-2</v>
      </c>
      <c r="S53" s="19">
        <v>8.4129999999999996E-2</v>
      </c>
      <c r="T53" s="19">
        <v>7.8829999999999997E-2</v>
      </c>
      <c r="U53" s="19">
        <v>5.9760000000000001E-2</v>
      </c>
      <c r="V53" s="19">
        <v>5.7529999999999998E-2</v>
      </c>
      <c r="W53" s="19">
        <v>6.2560000000000004E-2</v>
      </c>
    </row>
    <row r="54" spans="1:24">
      <c r="B54" s="365" t="s">
        <v>17</v>
      </c>
      <c r="C54" s="124">
        <f>'[1]GA Analysis'!C42</f>
        <v>65694759.88000001</v>
      </c>
      <c r="D54" s="124">
        <f>'[1]GA Analysis'!D42</f>
        <v>55366136.819999993</v>
      </c>
      <c r="E54" s="125">
        <f>'[1]GA Analysis'!E42</f>
        <v>52839624.380000003</v>
      </c>
      <c r="F54" s="49">
        <f t="shared" si="2"/>
        <v>63168247.44000002</v>
      </c>
      <c r="G54" s="101">
        <f t="shared" si="0"/>
        <v>8.5690000000000002E-2</v>
      </c>
      <c r="H54" s="14">
        <f t="shared" si="3"/>
        <v>5412887.1231336016</v>
      </c>
      <c r="I54" s="101">
        <f t="shared" si="1"/>
        <v>7.1029999999999996E-2</v>
      </c>
      <c r="J54" s="16">
        <f t="shared" si="4"/>
        <v>4486840.6156632015</v>
      </c>
      <c r="K54" s="15">
        <f t="shared" si="5"/>
        <v>-926046.50747040007</v>
      </c>
      <c r="N54" s="11" t="s">
        <v>17</v>
      </c>
      <c r="O54" s="19">
        <v>8.5690000000000002E-2</v>
      </c>
      <c r="P54" s="19">
        <v>7.0499999999999993E-2</v>
      </c>
      <c r="Q54" s="19">
        <v>7.1029999999999996E-2</v>
      </c>
      <c r="R54" s="19">
        <v>8.8050000000000003E-2</v>
      </c>
      <c r="S54" s="19">
        <v>7.3550000000000004E-2</v>
      </c>
      <c r="T54" s="19">
        <v>8.0099999999999991E-2</v>
      </c>
      <c r="U54" s="19">
        <v>6.1079999999999995E-2</v>
      </c>
      <c r="V54" s="19">
        <v>6.8970000000000004E-2</v>
      </c>
      <c r="W54" s="19">
        <v>6.7610000000000003E-2</v>
      </c>
    </row>
    <row r="55" spans="1:24">
      <c r="B55" s="365" t="s">
        <v>18</v>
      </c>
      <c r="C55" s="124">
        <f>'[1]GA Analysis'!C43</f>
        <v>66705999.039999999</v>
      </c>
      <c r="D55" s="124">
        <f>'[1]GA Analysis'!D43</f>
        <v>52839624.380000003</v>
      </c>
      <c r="E55" s="125">
        <f>'[1]GA Analysis'!E43</f>
        <v>56270547.780000001</v>
      </c>
      <c r="F55" s="49">
        <f t="shared" si="2"/>
        <v>70136922.439999998</v>
      </c>
      <c r="G55" s="101">
        <f t="shared" si="0"/>
        <v>7.0599999999999996E-2</v>
      </c>
      <c r="H55" s="14">
        <f t="shared" si="3"/>
        <v>4951666.7242639996</v>
      </c>
      <c r="I55" s="101">
        <f t="shared" si="1"/>
        <v>9.5310000000000006E-2</v>
      </c>
      <c r="J55" s="16">
        <f t="shared" si="4"/>
        <v>6684750.0777564002</v>
      </c>
      <c r="K55" s="15">
        <f t="shared" si="5"/>
        <v>1733083.3534924006</v>
      </c>
      <c r="N55" s="11" t="s">
        <v>18</v>
      </c>
      <c r="O55" s="19">
        <v>7.0599999999999996E-2</v>
      </c>
      <c r="P55" s="19">
        <v>9.1480000000000006E-2</v>
      </c>
      <c r="Q55" s="19">
        <v>9.5310000000000006E-2</v>
      </c>
      <c r="R55" s="19">
        <v>8.270000000000001E-2</v>
      </c>
      <c r="S55" s="19">
        <v>7.1910000000000002E-2</v>
      </c>
      <c r="T55" s="19">
        <v>6.7030000000000006E-2</v>
      </c>
      <c r="U55" s="19">
        <v>8.0489999999999992E-2</v>
      </c>
      <c r="V55" s="19">
        <v>8.072E-2</v>
      </c>
      <c r="W55" s="19">
        <v>7.9629999999999992E-2</v>
      </c>
    </row>
    <row r="56" spans="1:24">
      <c r="B56" s="365" t="s">
        <v>19</v>
      </c>
      <c r="C56" s="124">
        <f>'[1]GA Analysis'!C44</f>
        <v>67194964.290000007</v>
      </c>
      <c r="D56" s="124">
        <f>'[1]GA Analysis'!D44</f>
        <v>56270547.780000001</v>
      </c>
      <c r="E56" s="125">
        <f>'[1]GA Analysis'!E44</f>
        <v>56697042.229999997</v>
      </c>
      <c r="F56" s="49">
        <f t="shared" si="2"/>
        <v>67621458.74000001</v>
      </c>
      <c r="G56" s="101">
        <f t="shared" si="0"/>
        <v>9.7199999999999995E-2</v>
      </c>
      <c r="H56" s="14">
        <f t="shared" si="3"/>
        <v>6572805.7895280002</v>
      </c>
      <c r="I56" s="101">
        <f t="shared" si="1"/>
        <v>0.11226</v>
      </c>
      <c r="J56" s="16">
        <f t="shared" si="4"/>
        <v>7591184.9581524013</v>
      </c>
      <c r="K56" s="15">
        <f t="shared" si="5"/>
        <v>1018379.1686244011</v>
      </c>
      <c r="N56" s="11" t="s">
        <v>19</v>
      </c>
      <c r="O56" s="19">
        <v>9.7199999999999995E-2</v>
      </c>
      <c r="P56" s="19">
        <v>0.1178</v>
      </c>
      <c r="Q56" s="19">
        <v>0.11226</v>
      </c>
      <c r="R56" s="19">
        <v>6.3710000000000003E-2</v>
      </c>
      <c r="S56" s="19">
        <v>7.1929999999999994E-2</v>
      </c>
      <c r="T56" s="19">
        <v>7.5439999999999993E-2</v>
      </c>
      <c r="U56" s="19">
        <v>7.492E-2</v>
      </c>
      <c r="V56" s="19">
        <v>0.10135</v>
      </c>
      <c r="W56" s="19">
        <v>0.10014000000000001</v>
      </c>
    </row>
    <row r="57" spans="1:24">
      <c r="B57" s="365" t="s">
        <v>20</v>
      </c>
      <c r="C57" s="124">
        <f>'[1]GA Analysis'!C45</f>
        <v>64741531.880000003</v>
      </c>
      <c r="D57" s="124">
        <f>'[1]GA Analysis'!D45</f>
        <v>56697042.229999997</v>
      </c>
      <c r="E57" s="125">
        <f>'[1]GA Analysis'!E45</f>
        <v>52958002.010000013</v>
      </c>
      <c r="F57" s="49">
        <f t="shared" si="2"/>
        <v>61002491.660000019</v>
      </c>
      <c r="G57" s="101">
        <f t="shared" si="0"/>
        <v>0.12271</v>
      </c>
      <c r="H57" s="14">
        <f t="shared" si="3"/>
        <v>7485615.7515986022</v>
      </c>
      <c r="I57" s="101">
        <f t="shared" si="1"/>
        <v>0.11108999999999999</v>
      </c>
      <c r="J57" s="16">
        <f t="shared" si="4"/>
        <v>6776766.7985094022</v>
      </c>
      <c r="K57" s="15">
        <f t="shared" si="5"/>
        <v>-708848.95308919996</v>
      </c>
      <c r="N57" s="11" t="s">
        <v>20</v>
      </c>
      <c r="O57" s="19">
        <v>0.12271</v>
      </c>
      <c r="P57" s="19">
        <v>0.115</v>
      </c>
      <c r="Q57" s="19">
        <v>0.11108999999999999</v>
      </c>
      <c r="R57" s="19">
        <v>7.6230000000000006E-2</v>
      </c>
      <c r="S57" s="19">
        <v>0.12447999999999999</v>
      </c>
      <c r="T57" s="19">
        <v>0.11320000000000001</v>
      </c>
      <c r="U57" s="19">
        <v>9.9010000000000001E-2</v>
      </c>
      <c r="V57" s="19">
        <v>8.5040000000000004E-2</v>
      </c>
      <c r="W57" s="19">
        <v>8.231999999999999E-2</v>
      </c>
    </row>
    <row r="58" spans="1:24">
      <c r="B58" s="365" t="s">
        <v>21</v>
      </c>
      <c r="C58" s="126">
        <f>'[1]GA Analysis'!C46</f>
        <v>63450204.320000008</v>
      </c>
      <c r="D58" s="126">
        <f>'[1]GA Analysis'!D46</f>
        <v>52958002.010000013</v>
      </c>
      <c r="E58" s="125">
        <f>'[1]GA Analysis'!E46</f>
        <v>57184248.389999993</v>
      </c>
      <c r="F58" s="49">
        <f t="shared" si="2"/>
        <v>67676450.699999988</v>
      </c>
      <c r="G58" s="101">
        <f t="shared" si="0"/>
        <v>0.10594000000000001</v>
      </c>
      <c r="H58" s="14">
        <f t="shared" si="3"/>
        <v>7169643.1871579988</v>
      </c>
      <c r="I58" s="101">
        <f t="shared" si="1"/>
        <v>8.7080000000000005E-2</v>
      </c>
      <c r="J58" s="16">
        <f t="shared" si="4"/>
        <v>5893265.3269559992</v>
      </c>
      <c r="K58" s="15">
        <f t="shared" si="5"/>
        <v>-1276377.8602019995</v>
      </c>
      <c r="N58" s="25" t="s">
        <v>21</v>
      </c>
      <c r="O58" s="26">
        <v>0.10594000000000001</v>
      </c>
      <c r="P58" s="26">
        <v>7.8719999999999998E-2</v>
      </c>
      <c r="Q58" s="26">
        <v>8.7080000000000005E-2</v>
      </c>
      <c r="R58" s="26">
        <v>0.11462</v>
      </c>
      <c r="S58" s="26">
        <v>8.8090000000000002E-2</v>
      </c>
      <c r="T58" s="26">
        <v>9.4709999999999989E-2</v>
      </c>
      <c r="U58" s="26">
        <v>7.3180000000000009E-2</v>
      </c>
      <c r="V58" s="26">
        <v>5.7889999999999997E-2</v>
      </c>
      <c r="W58" s="26">
        <v>7.4439999999999992E-2</v>
      </c>
    </row>
    <row r="59" spans="1:24" ht="30.75" thickBot="1">
      <c r="B59" s="112" t="s">
        <v>132</v>
      </c>
      <c r="C59" s="89">
        <f>SUM(C47:C58)</f>
        <v>764140339.62999988</v>
      </c>
      <c r="D59" s="89">
        <f>SUM(D47:D58)</f>
        <v>640216744.46999991</v>
      </c>
      <c r="E59" s="89">
        <f>SUM(E47:E58)</f>
        <v>641755165.04999995</v>
      </c>
      <c r="F59" s="89">
        <f>SUM(F47:F58)</f>
        <v>765678760.2099998</v>
      </c>
      <c r="G59" s="35"/>
      <c r="H59" s="36">
        <f>SUM(H47:H58)</f>
        <v>75012050.800453097</v>
      </c>
      <c r="I59" s="35"/>
      <c r="J59" s="36">
        <f>SUM(J47:J58)</f>
        <v>74745971.1007936</v>
      </c>
      <c r="K59" s="37">
        <f>SUM(K47:K58)</f>
        <v>-266079.69965949841</v>
      </c>
      <c r="N59" s="29"/>
      <c r="O59" s="30"/>
      <c r="P59" s="30"/>
      <c r="Q59" s="30"/>
      <c r="R59" s="30"/>
      <c r="S59" s="30"/>
      <c r="T59" s="30"/>
      <c r="U59" s="30"/>
      <c r="V59" s="30"/>
      <c r="W59" s="30"/>
    </row>
    <row r="60" spans="1:24">
      <c r="G60" s="4"/>
      <c r="H60" s="4"/>
      <c r="I60" s="4"/>
      <c r="J60" s="65"/>
      <c r="K60" s="111"/>
      <c r="N60" s="27"/>
      <c r="O60" s="28"/>
      <c r="P60" s="28"/>
      <c r="Q60" s="28"/>
      <c r="R60" s="28"/>
      <c r="S60" s="28"/>
      <c r="T60" s="28"/>
      <c r="U60" s="28"/>
      <c r="V60" s="28"/>
      <c r="W60" s="28"/>
    </row>
    <row r="61" spans="1:24">
      <c r="C61" s="348"/>
      <c r="F61" s="349">
        <f>F59/D26-1</f>
        <v>2.1471552244671122E-2</v>
      </c>
      <c r="H61" s="107"/>
      <c r="K61" s="107"/>
      <c r="N61" s="27"/>
      <c r="O61" s="28"/>
      <c r="P61" s="28"/>
      <c r="Q61" s="28"/>
      <c r="R61" s="28"/>
      <c r="S61" s="28"/>
      <c r="T61" s="28"/>
      <c r="U61" s="28"/>
      <c r="V61" s="28"/>
      <c r="W61" s="28"/>
    </row>
    <row r="62" spans="1:24" ht="15">
      <c r="A62" s="1" t="s">
        <v>142</v>
      </c>
      <c r="B62" s="364" t="s">
        <v>135</v>
      </c>
      <c r="C62" s="2"/>
      <c r="K62" s="104"/>
      <c r="N62" s="27"/>
      <c r="O62" s="28"/>
      <c r="P62" s="28"/>
      <c r="Q62" s="28"/>
      <c r="R62" s="28"/>
      <c r="S62" s="28"/>
      <c r="T62" s="28"/>
      <c r="U62" s="28"/>
      <c r="V62" s="28"/>
      <c r="W62" s="28"/>
    </row>
    <row r="63" spans="1:24" ht="15">
      <c r="B63" s="363"/>
      <c r="C63" s="2"/>
      <c r="K63" s="109"/>
      <c r="N63" s="27"/>
      <c r="O63" s="27"/>
      <c r="P63" s="27"/>
      <c r="Q63" s="27"/>
      <c r="R63" s="27"/>
      <c r="S63" s="27"/>
      <c r="T63" s="27"/>
      <c r="U63" s="27"/>
      <c r="V63" s="27"/>
      <c r="W63" s="27"/>
    </row>
    <row r="64" spans="1:24" ht="45">
      <c r="A64" s="11"/>
      <c r="B64" s="70" t="s">
        <v>45</v>
      </c>
      <c r="C64" s="46" t="s">
        <v>66</v>
      </c>
      <c r="D64" s="46" t="s">
        <v>120</v>
      </c>
      <c r="E64" s="388" t="s">
        <v>44</v>
      </c>
      <c r="F64" s="388"/>
      <c r="G64" s="388"/>
      <c r="H64" s="388"/>
      <c r="I64" s="388"/>
      <c r="K64" s="107"/>
      <c r="O64" s="27"/>
      <c r="P64" s="27"/>
      <c r="Q64" s="27"/>
      <c r="R64" s="27"/>
      <c r="S64" s="27"/>
      <c r="T64" s="27"/>
      <c r="U64" s="27"/>
      <c r="V64" s="27"/>
      <c r="W64" s="27"/>
      <c r="X64" s="27"/>
    </row>
    <row r="65" spans="1:24" ht="30.75" customHeight="1">
      <c r="A65" s="390" t="s">
        <v>133</v>
      </c>
      <c r="B65" s="391"/>
      <c r="C65" s="392"/>
      <c r="D65" s="402">
        <f>'[3]3. Continuity Schedule'!$BD$29</f>
        <v>1140982.26</v>
      </c>
      <c r="E65" s="380"/>
      <c r="F65" s="381"/>
      <c r="G65" s="381"/>
      <c r="H65" s="381"/>
      <c r="I65" s="382"/>
      <c r="K65" s="107"/>
      <c r="O65" s="27"/>
      <c r="P65" s="27"/>
      <c r="Q65" s="27"/>
      <c r="R65" s="27"/>
      <c r="S65" s="27"/>
      <c r="T65" s="27"/>
      <c r="U65" s="27"/>
      <c r="V65" s="27"/>
      <c r="W65" s="27"/>
      <c r="X65" s="27"/>
    </row>
    <row r="66" spans="1:24" ht="28.5">
      <c r="A66" s="66" t="s">
        <v>51</v>
      </c>
      <c r="B66" s="47" t="s">
        <v>62</v>
      </c>
      <c r="C66" s="102" t="s">
        <v>310</v>
      </c>
      <c r="D66" s="346">
        <f>'3.RPP True-up'!G27</f>
        <v>4073.3209658996202</v>
      </c>
      <c r="E66" s="389" t="s">
        <v>315</v>
      </c>
      <c r="F66" s="389"/>
      <c r="G66" s="389"/>
      <c r="H66" s="389"/>
      <c r="I66" s="389"/>
      <c r="K66" s="107"/>
      <c r="O66" s="27"/>
      <c r="P66" s="27"/>
      <c r="Q66" s="27"/>
      <c r="R66" s="27"/>
      <c r="S66" s="27"/>
      <c r="T66" s="27"/>
      <c r="U66" s="27"/>
      <c r="V66" s="27"/>
      <c r="W66" s="27"/>
      <c r="X66" s="27"/>
    </row>
    <row r="67" spans="1:24" ht="28.5">
      <c r="A67" s="66" t="s">
        <v>52</v>
      </c>
      <c r="B67" s="47" t="s">
        <v>78</v>
      </c>
      <c r="C67" s="103" t="s">
        <v>310</v>
      </c>
      <c r="D67" s="347">
        <f>-'3.RPP True-up'!G55</f>
        <v>54994.356181980111</v>
      </c>
      <c r="E67" s="389" t="s">
        <v>307</v>
      </c>
      <c r="F67" s="389"/>
      <c r="G67" s="389"/>
      <c r="H67" s="389"/>
      <c r="I67" s="389"/>
      <c r="J67" s="73"/>
      <c r="K67" s="108"/>
      <c r="L67" s="73"/>
      <c r="M67" s="73"/>
      <c r="N67" s="73"/>
      <c r="O67" s="73"/>
      <c r="P67" s="73"/>
      <c r="Q67" s="73"/>
    </row>
    <row r="68" spans="1:24" ht="28.5">
      <c r="A68" s="66" t="s">
        <v>65</v>
      </c>
      <c r="B68" s="47" t="s">
        <v>64</v>
      </c>
      <c r="C68" s="354" t="s">
        <v>310</v>
      </c>
      <c r="D68" s="356">
        <f>'[4]GA Non-RPP Class B Analysis'!$I$5</f>
        <v>-45169.751461000182</v>
      </c>
      <c r="E68" s="378" t="s">
        <v>316</v>
      </c>
      <c r="F68" s="378"/>
      <c r="G68" s="378"/>
      <c r="H68" s="378"/>
      <c r="I68" s="378"/>
      <c r="J68" s="73"/>
      <c r="K68" s="108"/>
      <c r="L68" s="73"/>
      <c r="M68" s="73"/>
      <c r="N68" s="73"/>
      <c r="O68" s="73"/>
      <c r="P68" s="73"/>
      <c r="Q68" s="73"/>
    </row>
    <row r="69" spans="1:24" ht="28.5">
      <c r="A69" s="66" t="s">
        <v>317</v>
      </c>
      <c r="B69" s="47" t="s">
        <v>63</v>
      </c>
      <c r="C69" s="357" t="s">
        <v>310</v>
      </c>
      <c r="D69" s="356">
        <f>-'[4]GA Non-RPP Class B Analysis'!$I$6</f>
        <v>-156076.6693327995</v>
      </c>
      <c r="E69" s="378" t="s">
        <v>316</v>
      </c>
      <c r="F69" s="378"/>
      <c r="G69" s="378"/>
      <c r="H69" s="378"/>
      <c r="I69" s="378"/>
      <c r="J69" s="73"/>
      <c r="K69" s="110"/>
      <c r="L69" s="73"/>
      <c r="M69" s="73"/>
      <c r="N69" s="73"/>
      <c r="O69" s="73"/>
      <c r="P69" s="73"/>
      <c r="Q69" s="73"/>
    </row>
    <row r="70" spans="1:24" ht="28.5">
      <c r="A70" s="66" t="s">
        <v>68</v>
      </c>
      <c r="B70" s="47" t="s">
        <v>70</v>
      </c>
      <c r="C70" s="102"/>
      <c r="D70" s="90"/>
      <c r="E70" s="378"/>
      <c r="F70" s="378"/>
      <c r="G70" s="378"/>
      <c r="H70" s="378"/>
      <c r="I70" s="378"/>
      <c r="J70" s="73"/>
      <c r="K70" s="110"/>
      <c r="L70" s="73"/>
      <c r="M70" s="73"/>
      <c r="N70" s="73"/>
      <c r="O70" s="73"/>
      <c r="P70" s="73"/>
      <c r="Q70" s="73"/>
    </row>
    <row r="71" spans="1:24" ht="28.5">
      <c r="A71" s="66" t="s">
        <v>69</v>
      </c>
      <c r="B71" s="47" t="s">
        <v>71</v>
      </c>
      <c r="C71" s="102"/>
      <c r="D71" s="90"/>
      <c r="E71" s="378"/>
      <c r="F71" s="378"/>
      <c r="G71" s="378"/>
      <c r="H71" s="378"/>
      <c r="I71" s="378"/>
      <c r="J71" s="73"/>
      <c r="K71" s="110"/>
      <c r="L71" s="73"/>
      <c r="M71" s="73"/>
      <c r="N71" s="73"/>
      <c r="O71" s="73"/>
      <c r="P71" s="73"/>
      <c r="Q71" s="73"/>
    </row>
    <row r="72" spans="1:24" ht="33.75" customHeight="1">
      <c r="A72" s="66">
        <v>4</v>
      </c>
      <c r="B72" s="47" t="s">
        <v>67</v>
      </c>
      <c r="C72" s="102"/>
      <c r="D72" s="90"/>
      <c r="E72" s="378"/>
      <c r="F72" s="378"/>
      <c r="G72" s="378"/>
      <c r="H72" s="378"/>
      <c r="I72" s="378"/>
      <c r="J72" s="73"/>
      <c r="K72" s="110"/>
      <c r="L72" s="73"/>
      <c r="M72" s="73"/>
      <c r="N72" s="73"/>
      <c r="O72" s="73"/>
      <c r="P72" s="73"/>
      <c r="Q72" s="73"/>
    </row>
    <row r="73" spans="1:24" ht="42.75">
      <c r="A73" s="66">
        <v>5</v>
      </c>
      <c r="B73" s="47" t="s">
        <v>80</v>
      </c>
      <c r="C73" s="102"/>
      <c r="D73" s="90"/>
      <c r="E73" s="378"/>
      <c r="F73" s="378"/>
      <c r="G73" s="378"/>
      <c r="H73" s="378"/>
      <c r="I73" s="378"/>
      <c r="J73" s="73"/>
      <c r="K73" s="110"/>
      <c r="L73" s="73"/>
      <c r="M73" s="73"/>
      <c r="N73" s="73"/>
      <c r="O73" s="73"/>
      <c r="P73" s="73"/>
      <c r="Q73" s="73"/>
    </row>
    <row r="74" spans="1:24" ht="28.5">
      <c r="A74" s="52">
        <v>6</v>
      </c>
      <c r="B74" s="113" t="s">
        <v>136</v>
      </c>
      <c r="C74" s="102"/>
      <c r="D74" s="90"/>
      <c r="E74" s="378"/>
      <c r="F74" s="378"/>
      <c r="G74" s="378"/>
      <c r="H74" s="378"/>
      <c r="I74" s="378"/>
      <c r="K74" s="27"/>
    </row>
    <row r="75" spans="1:24" ht="31.5" customHeight="1">
      <c r="A75" s="52">
        <v>7</v>
      </c>
      <c r="B75" s="345" t="s">
        <v>308</v>
      </c>
      <c r="C75" s="102" t="s">
        <v>310</v>
      </c>
      <c r="D75" s="90">
        <f>'5.UBR Retailer Contract'!F21</f>
        <v>127042.13993939996</v>
      </c>
      <c r="E75" s="378" t="s">
        <v>311</v>
      </c>
      <c r="F75" s="378"/>
      <c r="G75" s="378"/>
      <c r="H75" s="378"/>
      <c r="I75" s="378"/>
    </row>
    <row r="76" spans="1:24" ht="36.75" customHeight="1">
      <c r="A76" s="52">
        <v>8</v>
      </c>
      <c r="B76" s="345" t="s">
        <v>309</v>
      </c>
      <c r="C76" s="354" t="s">
        <v>310</v>
      </c>
      <c r="D76" s="355">
        <f>-'2.GA Detailed Analysis'!O27</f>
        <v>-331031.05959868431</v>
      </c>
      <c r="E76" s="378" t="s">
        <v>164</v>
      </c>
      <c r="F76" s="378"/>
      <c r="G76" s="378"/>
      <c r="H76" s="378"/>
      <c r="I76" s="378"/>
    </row>
    <row r="77" spans="1:24" ht="28.5" customHeight="1">
      <c r="A77" s="52">
        <v>9</v>
      </c>
      <c r="B77" s="44" t="s">
        <v>320</v>
      </c>
      <c r="C77" s="354" t="s">
        <v>310</v>
      </c>
      <c r="D77" s="355">
        <v>-130308.73</v>
      </c>
      <c r="E77" s="375" t="s">
        <v>319</v>
      </c>
      <c r="F77" s="376"/>
      <c r="G77" s="376"/>
      <c r="H77" s="376"/>
      <c r="I77" s="377"/>
    </row>
    <row r="78" spans="1:24">
      <c r="A78" s="52">
        <v>10</v>
      </c>
      <c r="B78" s="44"/>
      <c r="C78" s="10"/>
      <c r="D78" s="90"/>
      <c r="E78" s="378"/>
      <c r="F78" s="378"/>
      <c r="G78" s="378"/>
      <c r="H78" s="378"/>
      <c r="I78" s="378"/>
    </row>
    <row r="79" spans="1:24" ht="30">
      <c r="A79" s="1" t="s">
        <v>149</v>
      </c>
      <c r="B79" s="9" t="s">
        <v>130</v>
      </c>
      <c r="C79" s="2"/>
      <c r="D79" s="91">
        <f>SUM(D65:D78)</f>
        <v>664505.86669479567</v>
      </c>
      <c r="E79" s="23"/>
      <c r="F79" s="23"/>
      <c r="G79" s="23"/>
      <c r="H79" s="23"/>
    </row>
    <row r="80" spans="1:24" ht="30">
      <c r="B80" s="366" t="s">
        <v>131</v>
      </c>
      <c r="C80" s="67"/>
      <c r="D80" s="91">
        <f>K59</f>
        <v>-266079.69965949841</v>
      </c>
      <c r="E80" s="23"/>
      <c r="F80" s="23"/>
      <c r="G80" s="23"/>
      <c r="H80" s="23"/>
    </row>
    <row r="81" spans="1:19" ht="15">
      <c r="B81" s="68" t="s">
        <v>24</v>
      </c>
      <c r="C81" s="67"/>
      <c r="D81" s="92">
        <f>D79-D80</f>
        <v>930585.56635429407</v>
      </c>
    </row>
    <row r="82" spans="1:19" ht="30.75" thickBot="1">
      <c r="B82" s="68" t="s">
        <v>72</v>
      </c>
      <c r="C82" s="68"/>
      <c r="D82" s="57">
        <f>IF(ISERROR(D81/J59),0,D81/J59)</f>
        <v>1.2449976268278274E-2</v>
      </c>
      <c r="E82" s="94" t="str">
        <f>IF(AND(D82&lt;0.01,D82&gt;-0.01),"","Unresolved differences of greater than + or - 1% should be explained")</f>
        <v>Unresolved differences of greater than + or - 1% should be explained</v>
      </c>
      <c r="G82" s="73"/>
      <c r="H82" s="33"/>
      <c r="I82" s="33"/>
      <c r="J82" s="33"/>
      <c r="K82" s="33"/>
      <c r="L82" s="33"/>
    </row>
    <row r="83" spans="1:19" ht="15.75" thickTop="1">
      <c r="B83" s="9"/>
      <c r="C83" s="54"/>
      <c r="D83" s="56"/>
      <c r="G83" s="73"/>
    </row>
    <row r="84" spans="1:19" ht="15">
      <c r="B84" s="9"/>
      <c r="C84" s="54"/>
      <c r="D84" s="32"/>
    </row>
    <row r="85" spans="1:19" ht="30">
      <c r="A85" s="1" t="s">
        <v>74</v>
      </c>
      <c r="B85" s="367" t="s">
        <v>137</v>
      </c>
      <c r="C85" s="55"/>
      <c r="D85" s="56"/>
    </row>
    <row r="86" spans="1:19" ht="15">
      <c r="B86" s="368"/>
      <c r="C86" s="55"/>
      <c r="D86" s="56"/>
    </row>
    <row r="87" spans="1:19" ht="75">
      <c r="B87" s="46" t="s">
        <v>25</v>
      </c>
      <c r="C87" s="46" t="s">
        <v>156</v>
      </c>
      <c r="D87" s="46" t="s">
        <v>157</v>
      </c>
      <c r="E87" s="46" t="s">
        <v>158</v>
      </c>
      <c r="F87" s="69" t="s">
        <v>130</v>
      </c>
      <c r="G87" s="46" t="s">
        <v>24</v>
      </c>
      <c r="H87" s="70" t="s">
        <v>159</v>
      </c>
      <c r="I87" s="46" t="s">
        <v>72</v>
      </c>
      <c r="J87" s="73"/>
      <c r="K87" s="73"/>
      <c r="L87" s="33"/>
      <c r="M87" s="33"/>
      <c r="N87" s="33"/>
      <c r="O87" s="33"/>
      <c r="P87" s="33"/>
      <c r="Q87" s="33"/>
      <c r="R87" s="33"/>
      <c r="S87" s="33"/>
    </row>
    <row r="88" spans="1:19">
      <c r="B88" s="369">
        <v>2016</v>
      </c>
      <c r="C88" s="97">
        <f>K59</f>
        <v>-266079.69965949841</v>
      </c>
      <c r="D88" s="97">
        <f>D65</f>
        <v>1140982.26</v>
      </c>
      <c r="E88" s="98">
        <f>SUM(D66:D78)</f>
        <v>-476476.39330520428</v>
      </c>
      <c r="F88" s="115">
        <f>SUM(D88:E88)</f>
        <v>664505.86669479567</v>
      </c>
      <c r="G88" s="99">
        <f>F88-C88</f>
        <v>930585.56635429407</v>
      </c>
      <c r="H88" s="98">
        <f>J59</f>
        <v>74745971.1007936</v>
      </c>
      <c r="I88" s="95">
        <f>IF(ISERROR(G88/H88),0,G88/H88)</f>
        <v>1.2449976268278274E-2</v>
      </c>
      <c r="J88" s="73"/>
      <c r="K88" s="73"/>
      <c r="L88" s="33"/>
      <c r="M88" s="33"/>
      <c r="N88" s="33"/>
      <c r="O88" s="33"/>
      <c r="P88" s="33"/>
      <c r="Q88" s="33"/>
      <c r="R88" s="33"/>
      <c r="S88" s="33"/>
    </row>
    <row r="89" spans="1:19">
      <c r="B89" s="369"/>
      <c r="C89" s="97"/>
      <c r="D89" s="97"/>
      <c r="E89" s="98"/>
      <c r="F89" s="115">
        <f t="shared" ref="F89:F91" si="6">SUM(D89:E89)</f>
        <v>0</v>
      </c>
      <c r="G89" s="99">
        <f>F89-C89</f>
        <v>0</v>
      </c>
      <c r="H89" s="98"/>
      <c r="I89" s="95">
        <f>IF(ISERROR(G89/H89),0,G89/H89)</f>
        <v>0</v>
      </c>
      <c r="J89" s="73"/>
      <c r="K89" s="73"/>
      <c r="L89" s="33"/>
      <c r="M89" s="33"/>
      <c r="N89" s="33"/>
      <c r="O89" s="33"/>
      <c r="P89" s="33"/>
      <c r="Q89" s="33"/>
      <c r="R89" s="33"/>
      <c r="S89" s="33"/>
    </row>
    <row r="90" spans="1:19">
      <c r="B90" s="369"/>
      <c r="C90" s="97"/>
      <c r="D90" s="97"/>
      <c r="E90" s="98"/>
      <c r="F90" s="115">
        <f t="shared" si="6"/>
        <v>0</v>
      </c>
      <c r="G90" s="99">
        <f>F90-C90</f>
        <v>0</v>
      </c>
      <c r="H90" s="98"/>
      <c r="I90" s="95">
        <f>IF(ISERROR(G90/H90),0,G90/H90)</f>
        <v>0</v>
      </c>
      <c r="J90" s="73"/>
      <c r="K90" s="73"/>
      <c r="L90" s="33"/>
      <c r="M90" s="33"/>
      <c r="N90" s="33"/>
      <c r="O90" s="33"/>
      <c r="P90" s="33"/>
      <c r="Q90" s="33"/>
      <c r="R90" s="33"/>
      <c r="S90" s="33"/>
    </row>
    <row r="91" spans="1:19" ht="15" thickBot="1">
      <c r="B91" s="369"/>
      <c r="C91" s="100"/>
      <c r="D91" s="100"/>
      <c r="E91" s="100"/>
      <c r="F91" s="115">
        <f t="shared" si="6"/>
        <v>0</v>
      </c>
      <c r="G91" s="99">
        <f>F91-C91</f>
        <v>0</v>
      </c>
      <c r="H91" s="100"/>
      <c r="I91" s="96">
        <f>IF(ISERROR(G91/H91),0,G91/H91)</f>
        <v>0</v>
      </c>
      <c r="J91" s="73"/>
      <c r="K91" s="73"/>
      <c r="L91" s="33"/>
      <c r="M91" s="33"/>
      <c r="N91" s="33"/>
      <c r="O91" s="33"/>
      <c r="P91" s="33"/>
      <c r="Q91" s="33"/>
      <c r="R91" s="33"/>
      <c r="S91" s="33"/>
    </row>
    <row r="92" spans="1:19" ht="15.75" thickBot="1">
      <c r="B92" s="370" t="s">
        <v>73</v>
      </c>
      <c r="C92" s="114">
        <f t="shared" ref="C92:H92" si="7">SUM(C88:C91)</f>
        <v>-266079.69965949841</v>
      </c>
      <c r="D92" s="114">
        <f t="shared" si="7"/>
        <v>1140982.26</v>
      </c>
      <c r="E92" s="114">
        <f t="shared" si="7"/>
        <v>-476476.39330520428</v>
      </c>
      <c r="F92" s="116">
        <f t="shared" si="7"/>
        <v>664505.86669479567</v>
      </c>
      <c r="G92" s="114">
        <f>SUM(G88:G91)</f>
        <v>930585.56635429407</v>
      </c>
      <c r="H92" s="71">
        <f t="shared" si="7"/>
        <v>74745971.1007936</v>
      </c>
      <c r="I92" s="72" t="s">
        <v>79</v>
      </c>
      <c r="J92" s="73"/>
      <c r="K92" s="73"/>
      <c r="L92" s="33"/>
      <c r="M92" s="33"/>
      <c r="N92" s="33"/>
      <c r="O92" s="33"/>
      <c r="P92" s="33"/>
      <c r="Q92" s="33"/>
      <c r="R92" s="33"/>
      <c r="S92" s="33"/>
    </row>
    <row r="93" spans="1:19">
      <c r="B93" s="358"/>
      <c r="C93" s="4"/>
      <c r="D93" s="4"/>
      <c r="E93" s="4"/>
      <c r="F93" s="4"/>
      <c r="G93" s="4"/>
      <c r="J93" s="73"/>
      <c r="K93" s="73"/>
      <c r="L93" s="33"/>
      <c r="M93" s="33"/>
      <c r="N93" s="33"/>
      <c r="O93" s="33"/>
      <c r="P93" s="33"/>
      <c r="Q93" s="33"/>
      <c r="R93" s="33"/>
      <c r="S93" s="33"/>
    </row>
    <row r="94" spans="1:19">
      <c r="J94" s="73"/>
      <c r="K94" s="73"/>
      <c r="L94" s="33"/>
      <c r="M94" s="33"/>
      <c r="N94" s="33"/>
      <c r="O94" s="33"/>
      <c r="P94" s="33"/>
      <c r="Q94" s="33"/>
      <c r="R94" s="33"/>
      <c r="S94" s="33"/>
    </row>
    <row r="95" spans="1:19" ht="15">
      <c r="B95" s="363" t="s">
        <v>37</v>
      </c>
      <c r="J95" s="73"/>
      <c r="K95" s="73"/>
    </row>
    <row r="96" spans="1:19">
      <c r="B96" s="51"/>
      <c r="C96" s="51"/>
      <c r="D96" s="51"/>
      <c r="E96" s="51"/>
      <c r="F96" s="51"/>
      <c r="G96" s="51"/>
      <c r="H96" s="51"/>
      <c r="J96" s="73"/>
      <c r="K96" s="73"/>
    </row>
    <row r="97" spans="2:11">
      <c r="B97" s="51"/>
      <c r="C97" s="51"/>
      <c r="D97" s="51"/>
      <c r="E97" s="51"/>
      <c r="F97" s="51"/>
      <c r="G97" s="51"/>
      <c r="H97" s="51"/>
      <c r="J97" s="73"/>
      <c r="K97" s="73"/>
    </row>
    <row r="98" spans="2:11">
      <c r="B98" s="51"/>
      <c r="C98" s="51"/>
      <c r="D98" s="51"/>
      <c r="E98" s="51"/>
      <c r="F98" s="51"/>
      <c r="G98" s="51"/>
      <c r="H98" s="51"/>
    </row>
    <row r="99" spans="2:11">
      <c r="B99" s="51"/>
      <c r="C99" s="51"/>
      <c r="D99" s="51"/>
      <c r="E99" s="51"/>
      <c r="F99" s="51"/>
      <c r="G99" s="51"/>
      <c r="H99" s="51"/>
    </row>
    <row r="100" spans="2:11">
      <c r="B100" s="51"/>
      <c r="C100" s="51"/>
      <c r="D100" s="51"/>
      <c r="E100" s="51"/>
      <c r="F100" s="51"/>
      <c r="G100" s="51"/>
      <c r="H100" s="51"/>
    </row>
    <row r="101" spans="2:11">
      <c r="B101" s="51"/>
      <c r="C101" s="51"/>
      <c r="D101" s="51"/>
      <c r="E101" s="51"/>
      <c r="F101" s="51"/>
      <c r="G101" s="51"/>
      <c r="H101" s="51"/>
    </row>
    <row r="102" spans="2:11">
      <c r="B102" s="51"/>
      <c r="C102" s="51"/>
      <c r="D102" s="51"/>
      <c r="E102" s="51"/>
      <c r="F102" s="51"/>
      <c r="G102" s="51"/>
      <c r="H102" s="51"/>
    </row>
    <row r="103" spans="2:11">
      <c r="B103" s="51"/>
      <c r="C103" s="51"/>
      <c r="D103" s="51"/>
      <c r="E103" s="51"/>
      <c r="F103" s="51"/>
      <c r="G103" s="51"/>
      <c r="H103" s="51"/>
    </row>
  </sheetData>
  <mergeCells count="22">
    <mergeCell ref="R45:T45"/>
    <mergeCell ref="U45:W45"/>
    <mergeCell ref="E65:I65"/>
    <mergeCell ref="E70:I70"/>
    <mergeCell ref="B21:C21"/>
    <mergeCell ref="E21:F21"/>
    <mergeCell ref="B27:H27"/>
    <mergeCell ref="O45:Q45"/>
    <mergeCell ref="E64:I64"/>
    <mergeCell ref="E66:I66"/>
    <mergeCell ref="E67:I67"/>
    <mergeCell ref="E68:I68"/>
    <mergeCell ref="E69:I69"/>
    <mergeCell ref="A65:C65"/>
    <mergeCell ref="E77:I77"/>
    <mergeCell ref="E78:I78"/>
    <mergeCell ref="E71:I71"/>
    <mergeCell ref="E72:I72"/>
    <mergeCell ref="E73:I73"/>
    <mergeCell ref="E74:I74"/>
    <mergeCell ref="E75:I75"/>
    <mergeCell ref="E76:I76"/>
  </mergeCells>
  <dataValidations count="1">
    <dataValidation type="list" sqref="C31">
      <formula1>"1st Estimate, 2nd Estimate, Actual, Other"</formula1>
    </dataValidation>
  </dataValidations>
  <pageMargins left="0.70866141732283505" right="0.70866141732283505" top="0.74803149606299202" bottom="0.74803149606299202" header="0.31496062992126" footer="0.31496062992126"/>
  <pageSetup paperSize="3" scale="70" fitToHeight="2" orientation="landscape" cellComments="asDisplayed" r:id="rId1"/>
  <rowBreaks count="1" manualBreakCount="1">
    <brk id="61" max="10"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16"/>
  <sheetViews>
    <sheetView workbookViewId="0">
      <selection activeCell="E4" sqref="E4"/>
    </sheetView>
  </sheetViews>
  <sheetFormatPr defaultRowHeight="15"/>
  <cols>
    <col min="2" max="2" width="10.140625" bestFit="1" customWidth="1"/>
    <col min="3" max="3" width="11.85546875" style="353" bestFit="1" customWidth="1"/>
    <col min="4" max="4" width="12.5703125" style="353" bestFit="1" customWidth="1"/>
    <col min="5" max="6" width="13.5703125" bestFit="1" customWidth="1"/>
  </cols>
  <sheetData>
    <row r="2" spans="1:6">
      <c r="B2" t="s">
        <v>312</v>
      </c>
      <c r="C2" s="353" t="s">
        <v>215</v>
      </c>
      <c r="D2" s="353" t="s">
        <v>215</v>
      </c>
    </row>
    <row r="3" spans="1:6">
      <c r="B3" t="s">
        <v>0</v>
      </c>
      <c r="C3" s="353" t="s">
        <v>313</v>
      </c>
      <c r="D3" s="353" t="s">
        <v>314</v>
      </c>
      <c r="F3" s="352" t="str">
        <f>'2.GA Detailed Analysis'!P13</f>
        <v>Query - Billed</v>
      </c>
    </row>
    <row r="4" spans="1:6">
      <c r="A4">
        <v>1</v>
      </c>
      <c r="B4" s="350">
        <f>'GA Analysis '!C47</f>
        <v>58743140.229999997</v>
      </c>
      <c r="C4" s="353">
        <f>+'GA Analysis '!R58</f>
        <v>0.11462</v>
      </c>
      <c r="D4" s="353">
        <f>'GA Analysis '!G47</f>
        <v>8.4229999999999999E-2</v>
      </c>
      <c r="E4" s="351">
        <f>B4*82%*C4+B4*18%*D4</f>
        <v>6411802.0074764537</v>
      </c>
      <c r="F4" s="352">
        <f>'2.GA Detailed Analysis'!P14</f>
        <v>6404410.9299999988</v>
      </c>
    </row>
    <row r="5" spans="1:6">
      <c r="A5">
        <v>2</v>
      </c>
      <c r="B5" s="350">
        <f>'GA Analysis '!C48</f>
        <v>66960959.680000007</v>
      </c>
      <c r="C5" s="353">
        <f>'GA Analysis '!G47</f>
        <v>8.4229999999999999E-2</v>
      </c>
      <c r="D5" s="353">
        <f>'GA Analysis '!G48</f>
        <v>0.10384</v>
      </c>
      <c r="F5" s="352">
        <f>'2.GA Detailed Analysis'!P15</f>
        <v>5939402.9900000012</v>
      </c>
    </row>
    <row r="6" spans="1:6">
      <c r="A6">
        <v>3</v>
      </c>
      <c r="B6" s="350">
        <f>'GA Analysis '!C49</f>
        <v>63947348.519999988</v>
      </c>
      <c r="C6" s="353">
        <f>'GA Analysis '!G48</f>
        <v>0.10384</v>
      </c>
      <c r="D6" s="353">
        <f>'GA Analysis '!G49</f>
        <v>9.0219999999999995E-2</v>
      </c>
      <c r="F6" s="352">
        <f>'2.GA Detailed Analysis'!P16</f>
        <v>6488540.7300000014</v>
      </c>
    </row>
    <row r="7" spans="1:6">
      <c r="A7">
        <v>4</v>
      </c>
      <c r="B7" s="350">
        <f>'GA Analysis '!C50</f>
        <v>61204250.079999991</v>
      </c>
      <c r="C7" s="353">
        <f>'GA Analysis '!G49</f>
        <v>9.0219999999999995E-2</v>
      </c>
      <c r="D7" s="353">
        <f>'GA Analysis '!G50</f>
        <v>0.12114999999999999</v>
      </c>
      <c r="F7" s="352">
        <f>'2.GA Detailed Analysis'!P17</f>
        <v>5618220.0499999989</v>
      </c>
    </row>
    <row r="8" spans="1:6">
      <c r="A8">
        <v>5</v>
      </c>
      <c r="B8" s="350">
        <f>'GA Analysis '!C51</f>
        <v>63740323.479999997</v>
      </c>
      <c r="C8" s="353">
        <f>'GA Analysis '!G50</f>
        <v>0.12114999999999999</v>
      </c>
      <c r="D8" s="353">
        <f>'GA Analysis '!G51</f>
        <v>0.10405</v>
      </c>
      <c r="F8" s="352">
        <f>'2.GA Detailed Analysis'!P18</f>
        <v>7453237.5300000012</v>
      </c>
    </row>
    <row r="9" spans="1:6">
      <c r="A9">
        <v>6</v>
      </c>
      <c r="B9" s="350">
        <f>'GA Analysis '!C52</f>
        <v>63441195.579999983</v>
      </c>
      <c r="C9" s="353">
        <f>'GA Analysis '!G51</f>
        <v>0.10405</v>
      </c>
      <c r="D9" s="353">
        <f>'GA Analysis '!G52</f>
        <v>0.11650000000000001</v>
      </c>
      <c r="F9" s="352">
        <f>'2.GA Detailed Analysis'!P19</f>
        <v>6719774.3799999999</v>
      </c>
    </row>
    <row r="10" spans="1:6">
      <c r="A10">
        <v>7</v>
      </c>
      <c r="B10" s="350">
        <f>'GA Analysis '!C53</f>
        <v>58315662.649999984</v>
      </c>
      <c r="C10" s="353">
        <f>'GA Analysis '!G52</f>
        <v>0.11650000000000001</v>
      </c>
      <c r="D10" s="353">
        <f>'GA Analysis '!G53</f>
        <v>7.6670000000000002E-2</v>
      </c>
      <c r="F10" s="352">
        <f>'2.GA Detailed Analysis'!P20</f>
        <v>6702633.9500000002</v>
      </c>
    </row>
    <row r="11" spans="1:6">
      <c r="A11">
        <v>8</v>
      </c>
      <c r="B11" s="350">
        <f>'GA Analysis '!C54</f>
        <v>65694759.88000001</v>
      </c>
      <c r="C11" s="353">
        <f>'GA Analysis '!G53</f>
        <v>7.6670000000000002E-2</v>
      </c>
      <c r="D11" s="353">
        <f>'GA Analysis '!G54</f>
        <v>8.5690000000000002E-2</v>
      </c>
      <c r="F11" s="352">
        <f>'2.GA Detailed Analysis'!P21</f>
        <v>5362347.8500000015</v>
      </c>
    </row>
    <row r="12" spans="1:6">
      <c r="A12">
        <v>9</v>
      </c>
      <c r="B12" s="350">
        <f>'GA Analysis '!C55</f>
        <v>66705999.039999999</v>
      </c>
      <c r="C12" s="353">
        <f>'GA Analysis '!G54</f>
        <v>8.5690000000000002E-2</v>
      </c>
      <c r="D12" s="353">
        <f>'GA Analysis '!G55</f>
        <v>7.0599999999999996E-2</v>
      </c>
      <c r="F12" s="352">
        <f>'2.GA Detailed Analysis'!P22</f>
        <v>5652296.5200000023</v>
      </c>
    </row>
    <row r="13" spans="1:6">
      <c r="A13">
        <v>10</v>
      </c>
      <c r="B13" s="350">
        <f>'GA Analysis '!C56</f>
        <v>67194964.290000007</v>
      </c>
      <c r="C13" s="353">
        <f>'GA Analysis '!G55</f>
        <v>7.0599999999999996E-2</v>
      </c>
      <c r="D13" s="353">
        <f>'GA Analysis '!G56</f>
        <v>9.7199999999999995E-2</v>
      </c>
      <c r="F13" s="352">
        <f>'2.GA Detailed Analysis'!P23</f>
        <v>4881899.16</v>
      </c>
    </row>
    <row r="14" spans="1:6">
      <c r="A14">
        <v>11</v>
      </c>
      <c r="B14" s="350">
        <f>'GA Analysis '!C57</f>
        <v>64741531.880000003</v>
      </c>
      <c r="C14" s="353">
        <f>'GA Analysis '!G56</f>
        <v>9.7199999999999995E-2</v>
      </c>
      <c r="D14" s="353">
        <f>'GA Analysis '!G57</f>
        <v>0.12271</v>
      </c>
      <c r="F14" s="352">
        <f>'2.GA Detailed Analysis'!P24</f>
        <v>6170460.9000000013</v>
      </c>
    </row>
    <row r="15" spans="1:6">
      <c r="A15">
        <v>12</v>
      </c>
      <c r="B15" s="350">
        <f>'GA Analysis '!C58</f>
        <v>63450204.320000008</v>
      </c>
      <c r="C15" s="353">
        <f>'GA Analysis '!G57</f>
        <v>0.12271</v>
      </c>
      <c r="D15" s="353">
        <f>'GA Analysis '!G58</f>
        <v>0.10594000000000001</v>
      </c>
      <c r="F15" s="352">
        <f>'2.GA Detailed Analysis'!P25</f>
        <v>7607820.2600000007</v>
      </c>
    </row>
    <row r="16" spans="1:6">
      <c r="F16" s="352">
        <f>'2.GA Detailed Analysis'!P26</f>
        <v>75001045.25000003</v>
      </c>
    </row>
  </sheetData>
  <pageMargins left="0.7" right="0.7" top="0.75" bottom="0.75" header="0.3" footer="0.3"/>
  <pageSetup orientation="portrait" horizontalDpi="0" verticalDpi="0"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4:Q20"/>
  <sheetViews>
    <sheetView workbookViewId="0">
      <selection activeCell="K12" sqref="K12"/>
    </sheetView>
  </sheetViews>
  <sheetFormatPr defaultRowHeight="15"/>
  <cols>
    <col min="8" max="8" width="11.140625" bestFit="1" customWidth="1"/>
    <col min="10" max="10" width="9.5703125" customWidth="1"/>
    <col min="11" max="11" width="13.5703125" style="128" bestFit="1" customWidth="1"/>
    <col min="12" max="12" width="8.42578125" bestFit="1" customWidth="1"/>
    <col min="13" max="13" width="11.28515625" bestFit="1" customWidth="1"/>
    <col min="14" max="14" width="8.85546875" bestFit="1" customWidth="1"/>
    <col min="15" max="15" width="12.5703125" bestFit="1" customWidth="1"/>
    <col min="16" max="16" width="13.5703125" bestFit="1" customWidth="1"/>
    <col min="17" max="17" width="13.85546875" bestFit="1" customWidth="1"/>
  </cols>
  <sheetData>
    <row r="4" spans="1:17">
      <c r="A4" t="s">
        <v>162</v>
      </c>
      <c r="K4" s="127">
        <f>'3.RPP True-up'!G57</f>
        <v>-59067.677147879731</v>
      </c>
    </row>
    <row r="6" spans="1:17">
      <c r="A6" s="393" t="s">
        <v>163</v>
      </c>
      <c r="B6" s="393"/>
      <c r="C6" s="393"/>
      <c r="D6" s="393"/>
      <c r="E6" s="393"/>
      <c r="F6" s="393"/>
      <c r="G6" s="393"/>
      <c r="H6" s="393"/>
      <c r="I6" s="393"/>
      <c r="J6" s="393"/>
      <c r="K6" s="127">
        <f>-'5.UBR Retailer Contract'!F21</f>
        <v>-127042.13993939996</v>
      </c>
    </row>
    <row r="8" spans="1:17">
      <c r="A8" s="394" t="s">
        <v>164</v>
      </c>
      <c r="B8" s="394"/>
      <c r="C8" s="394"/>
      <c r="D8" s="394"/>
      <c r="E8" s="394"/>
      <c r="F8" s="394"/>
      <c r="G8" s="394"/>
      <c r="H8" s="394"/>
      <c r="I8" s="394"/>
      <c r="J8" s="394"/>
      <c r="K8" s="128">
        <f>'2.GA Detailed Analysis'!O27</f>
        <v>331031.05959868431</v>
      </c>
    </row>
    <row r="9" spans="1:17" ht="47.25" customHeight="1">
      <c r="A9" s="395" t="s">
        <v>318</v>
      </c>
      <c r="B9" s="395"/>
      <c r="C9" s="395"/>
      <c r="D9" s="395"/>
      <c r="E9" s="395"/>
      <c r="F9" s="395"/>
      <c r="G9" s="395"/>
      <c r="H9" s="395"/>
      <c r="I9" s="395"/>
      <c r="J9" s="395"/>
      <c r="K9" s="128">
        <f>-'GA Analysis '!D68-'GA Analysis '!D69</f>
        <v>201246.42079379968</v>
      </c>
    </row>
    <row r="10" spans="1:17" ht="47.25" customHeight="1">
      <c r="A10" s="395" t="s">
        <v>319</v>
      </c>
      <c r="B10" s="395"/>
      <c r="C10" s="395"/>
      <c r="D10" s="395"/>
      <c r="E10" s="395"/>
      <c r="F10" s="395"/>
      <c r="G10" s="395"/>
      <c r="H10" s="395"/>
      <c r="I10" s="395"/>
      <c r="J10" s="395"/>
      <c r="K10" s="128">
        <f>+'GA Analysis '!D77</f>
        <v>-130308.73</v>
      </c>
    </row>
    <row r="11" spans="1:17" s="129" customFormat="1">
      <c r="A11" s="129" t="s">
        <v>165</v>
      </c>
      <c r="K11" s="130">
        <f>SUM(K2:K10)</f>
        <v>215858.93330520432</v>
      </c>
    </row>
    <row r="13" spans="1:17" ht="51">
      <c r="I13" s="131" t="s">
        <v>166</v>
      </c>
      <c r="L13" s="132" t="s">
        <v>167</v>
      </c>
      <c r="M13" s="133" t="s">
        <v>168</v>
      </c>
      <c r="N13" s="134" t="s">
        <v>169</v>
      </c>
      <c r="O13" s="135" t="s">
        <v>170</v>
      </c>
      <c r="P13" s="136"/>
      <c r="Q13" s="137"/>
    </row>
    <row r="14" spans="1:17">
      <c r="L14" s="131">
        <v>2015</v>
      </c>
      <c r="M14" s="138">
        <f>SUM([5]Query!$J$195:$J$203)-SUM([5]Query!$L$275:$L$281)+SUM([5]Query!$E$210:$E$211)</f>
        <v>55645827.809999987</v>
      </c>
      <c r="N14" s="139">
        <f>+'[1]GA Analysis'!R46</f>
        <v>0.11462</v>
      </c>
      <c r="O14" s="140">
        <f>M14*N14</f>
        <v>6378124.7835821984</v>
      </c>
      <c r="P14" s="141"/>
      <c r="Q14" s="142"/>
    </row>
    <row r="15" spans="1:17" ht="15.75" thickBot="1">
      <c r="L15" s="143">
        <v>2016</v>
      </c>
      <c r="M15" s="144">
        <f>SUM([6]Query!$M$365:$M$370)-SUM([6]Query!$R$416:$R$428)+SUM([6]Query!$H$315:$H$320)</f>
        <v>57184248.389999993</v>
      </c>
      <c r="N15" s="145">
        <f>+'[1]GA Analysis'!O46</f>
        <v>0.10594000000000001</v>
      </c>
      <c r="O15" s="146">
        <f>M15*N15</f>
        <v>6058099.2744365996</v>
      </c>
      <c r="P15" s="147"/>
      <c r="Q15" s="142"/>
    </row>
    <row r="16" spans="1:17" ht="15.75" thickTop="1">
      <c r="L16" s="131" t="s">
        <v>171</v>
      </c>
      <c r="M16" s="148"/>
      <c r="N16" s="130"/>
      <c r="O16" s="130">
        <f>O15-O14</f>
        <v>-320025.50914559886</v>
      </c>
      <c r="P16" s="141"/>
      <c r="Q16" s="141"/>
    </row>
    <row r="17" spans="12:17">
      <c r="L17" s="131"/>
      <c r="M17" s="138"/>
      <c r="N17" s="149"/>
      <c r="O17" s="150"/>
      <c r="P17" s="151"/>
      <c r="Q17" s="148"/>
    </row>
    <row r="18" spans="12:17">
      <c r="L18" s="148"/>
      <c r="M18" s="138"/>
      <c r="N18" s="149"/>
      <c r="O18" s="152"/>
      <c r="P18" s="153"/>
      <c r="Q18" s="148"/>
    </row>
    <row r="19" spans="12:17">
      <c r="L19" s="148"/>
      <c r="M19" s="148"/>
      <c r="N19" s="148"/>
      <c r="O19" s="152"/>
      <c r="P19" s="153"/>
      <c r="Q19" s="154"/>
    </row>
    <row r="20" spans="12:17">
      <c r="L20" s="148"/>
      <c r="M20" s="131"/>
      <c r="N20" s="148"/>
      <c r="O20" s="152"/>
      <c r="P20" s="155"/>
      <c r="Q20" s="156"/>
    </row>
  </sheetData>
  <mergeCells count="4">
    <mergeCell ref="A6:J6"/>
    <mergeCell ref="A8:J8"/>
    <mergeCell ref="A9:J9"/>
    <mergeCell ref="A10:J10"/>
  </mergeCells>
  <pageMargins left="0.7" right="0.7" top="0.75" bottom="0.75" header="0.3" footer="0.3"/>
  <legacy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44"/>
  <sheetViews>
    <sheetView topLeftCell="A10" workbookViewId="0">
      <selection activeCell="M31" sqref="M31"/>
    </sheetView>
  </sheetViews>
  <sheetFormatPr defaultColWidth="9.140625" defaultRowHeight="12.75"/>
  <cols>
    <col min="1" max="1" width="9.5703125" style="295" bestFit="1" customWidth="1"/>
    <col min="2" max="3" width="15.7109375" style="295" customWidth="1"/>
    <col min="4" max="6" width="13.42578125" style="295" customWidth="1"/>
    <col min="7" max="7" width="15.7109375" style="295" customWidth="1"/>
    <col min="8" max="9" width="12.7109375" style="295" customWidth="1"/>
    <col min="10" max="10" width="18.85546875" style="295" customWidth="1"/>
    <col min="11" max="13" width="15.7109375" style="295" customWidth="1"/>
    <col min="14" max="14" width="7.28515625" style="295" customWidth="1"/>
    <col min="15" max="15" width="14.28515625" style="295" bestFit="1" customWidth="1"/>
    <col min="16" max="16" width="19.5703125" style="296" customWidth="1"/>
    <col min="17" max="17" width="12.28515625" style="297" bestFit="1" customWidth="1"/>
    <col min="18" max="18" width="9.5703125" style="295" bestFit="1" customWidth="1"/>
    <col min="19" max="19" width="11.42578125" style="295" bestFit="1" customWidth="1"/>
    <col min="20" max="16384" width="9.140625" style="295"/>
  </cols>
  <sheetData>
    <row r="1" spans="1:18" s="148" customFormat="1" ht="13.5" thickBot="1">
      <c r="A1" s="148" t="s">
        <v>172</v>
      </c>
      <c r="B1" s="396" t="s">
        <v>173</v>
      </c>
      <c r="C1" s="396"/>
      <c r="D1" s="396"/>
      <c r="E1" s="396"/>
      <c r="F1" s="396"/>
      <c r="G1" s="396"/>
      <c r="H1" s="396"/>
      <c r="I1" s="396"/>
      <c r="J1" s="396"/>
      <c r="K1" s="396"/>
      <c r="L1" s="396"/>
      <c r="M1" s="396"/>
      <c r="N1" s="157"/>
      <c r="O1" s="157"/>
      <c r="P1" s="158"/>
      <c r="Q1" s="159"/>
    </row>
    <row r="2" spans="1:18" s="148" customFormat="1" ht="19.5" thickBot="1">
      <c r="B2" s="160" t="s">
        <v>174</v>
      </c>
      <c r="C2" s="161"/>
      <c r="D2" s="161"/>
      <c r="E2" s="161"/>
      <c r="F2" s="161"/>
      <c r="G2" s="161"/>
      <c r="H2" s="162"/>
      <c r="I2" s="162"/>
      <c r="J2" s="162"/>
      <c r="K2" s="162"/>
      <c r="L2" s="162"/>
      <c r="M2" s="162"/>
      <c r="N2" s="162"/>
      <c r="O2" s="162"/>
      <c r="P2" s="163"/>
      <c r="Q2" s="159"/>
    </row>
    <row r="3" spans="1:18" s="148" customFormat="1">
      <c r="B3" s="164" t="s">
        <v>175</v>
      </c>
      <c r="C3" s="165"/>
      <c r="D3" s="165"/>
      <c r="E3" s="165"/>
      <c r="F3" s="165"/>
      <c r="G3" s="165"/>
      <c r="H3" s="166"/>
      <c r="I3" s="167"/>
      <c r="J3" s="167"/>
      <c r="K3" s="167"/>
      <c r="L3" s="168"/>
      <c r="M3" s="162"/>
      <c r="N3" s="162"/>
      <c r="O3" s="162"/>
      <c r="Q3" s="159"/>
    </row>
    <row r="4" spans="1:18" s="148" customFormat="1">
      <c r="B4" s="169" t="s">
        <v>176</v>
      </c>
      <c r="C4" s="169"/>
      <c r="D4" s="169"/>
      <c r="E4" s="169"/>
      <c r="F4" s="169"/>
      <c r="G4" s="169"/>
      <c r="H4" s="170"/>
      <c r="I4" s="171"/>
      <c r="J4" s="172">
        <f>[7]Form!$G$33</f>
        <v>1668245566.6599998</v>
      </c>
      <c r="K4" s="173" t="s">
        <v>0</v>
      </c>
      <c r="L4" s="174">
        <v>1</v>
      </c>
      <c r="M4" s="162" t="s">
        <v>177</v>
      </c>
      <c r="N4" s="162"/>
      <c r="O4" s="162"/>
      <c r="P4" s="163"/>
      <c r="Q4" s="159"/>
    </row>
    <row r="5" spans="1:18" s="148" customFormat="1">
      <c r="B5" s="169" t="s">
        <v>178</v>
      </c>
      <c r="C5" s="169"/>
      <c r="D5" s="169"/>
      <c r="E5" s="169"/>
      <c r="F5" s="169"/>
      <c r="G5" s="169"/>
      <c r="H5" s="170"/>
      <c r="I5" s="171"/>
      <c r="J5" s="172">
        <f>[7]Form!$C$16</f>
        <v>499477250.51615453</v>
      </c>
      <c r="K5" s="173" t="s">
        <v>0</v>
      </c>
      <c r="L5" s="175">
        <f>J5/J4</f>
        <v>0.29940271414367348</v>
      </c>
      <c r="M5" s="162"/>
      <c r="N5" s="162"/>
      <c r="O5" s="162"/>
      <c r="P5" s="163"/>
      <c r="Q5" s="159"/>
    </row>
    <row r="6" spans="1:18" s="148" customFormat="1">
      <c r="B6" s="169" t="s">
        <v>179</v>
      </c>
      <c r="C6" s="169"/>
      <c r="D6" s="169"/>
      <c r="E6" s="169"/>
      <c r="F6" s="169"/>
      <c r="G6" s="169"/>
      <c r="H6" s="170"/>
      <c r="I6" s="171"/>
      <c r="J6" s="176">
        <f>J4-J5</f>
        <v>1168768316.1438453</v>
      </c>
      <c r="K6" s="173" t="s">
        <v>0</v>
      </c>
      <c r="L6" s="175">
        <f>J6/J4</f>
        <v>0.70059728585632652</v>
      </c>
      <c r="M6" s="162" t="s">
        <v>180</v>
      </c>
      <c r="N6" s="162"/>
      <c r="O6" s="162"/>
      <c r="P6" s="163"/>
      <c r="Q6" s="159"/>
    </row>
    <row r="7" spans="1:18" s="148" customFormat="1" ht="13.5" thickBot="1">
      <c r="B7" s="177" t="s">
        <v>181</v>
      </c>
      <c r="C7" s="177"/>
      <c r="D7" s="177"/>
      <c r="E7" s="177"/>
      <c r="F7" s="177"/>
      <c r="G7" s="177"/>
      <c r="H7" s="178"/>
      <c r="I7" s="179"/>
      <c r="J7" s="180">
        <f>'[2]2016 Cust. switch Class A to B'!$F$34+'[2]2016 Cust. switch Class A to B'!$F$35</f>
        <v>419184288.53037626</v>
      </c>
      <c r="K7" s="181" t="s">
        <v>0</v>
      </c>
      <c r="L7" s="182">
        <f>J7/J4</f>
        <v>0.25127253259819926</v>
      </c>
      <c r="M7" s="162"/>
      <c r="N7" s="162"/>
      <c r="O7" s="162"/>
      <c r="P7" s="163"/>
      <c r="Q7" s="159"/>
    </row>
    <row r="8" spans="1:18" s="148" customFormat="1" ht="13.5" thickBot="1">
      <c r="B8" s="183" t="s">
        <v>182</v>
      </c>
      <c r="C8" s="184"/>
      <c r="D8" s="184"/>
      <c r="E8" s="184"/>
      <c r="F8" s="184"/>
      <c r="G8" s="184"/>
      <c r="H8" s="185"/>
      <c r="I8" s="186"/>
      <c r="J8" s="187">
        <f>J6-J7</f>
        <v>749584027.61346912</v>
      </c>
      <c r="K8" s="188" t="s">
        <v>0</v>
      </c>
      <c r="L8" s="189">
        <f>J8/J4</f>
        <v>0.44932475325812726</v>
      </c>
      <c r="M8" s="190"/>
      <c r="N8" s="190"/>
      <c r="O8" s="190"/>
      <c r="P8" s="191"/>
      <c r="Q8" s="159"/>
    </row>
    <row r="9" spans="1:18" s="148" customFormat="1">
      <c r="B9" s="192"/>
      <c r="C9" s="192"/>
      <c r="D9" s="192"/>
      <c r="E9" s="192"/>
      <c r="F9" s="192"/>
      <c r="G9" s="192"/>
      <c r="H9" s="131"/>
      <c r="I9" s="131"/>
      <c r="J9" s="193"/>
      <c r="K9" s="131"/>
      <c r="L9" s="131"/>
      <c r="M9" s="131"/>
      <c r="N9" s="131"/>
      <c r="O9" s="131"/>
      <c r="P9" s="194"/>
      <c r="Q9" s="159"/>
    </row>
    <row r="10" spans="1:18" s="148" customFormat="1">
      <c r="B10" s="195" t="s">
        <v>183</v>
      </c>
      <c r="C10" s="196"/>
      <c r="D10" s="196"/>
      <c r="E10" s="196"/>
      <c r="F10" s="196"/>
      <c r="G10" s="197"/>
      <c r="H10" s="196"/>
      <c r="I10" s="196"/>
      <c r="J10" s="196"/>
      <c r="K10" s="196"/>
      <c r="L10" s="196"/>
      <c r="M10" s="198"/>
      <c r="N10" s="199"/>
      <c r="O10" s="199"/>
      <c r="Q10" s="159"/>
    </row>
    <row r="11" spans="1:18" s="200" customFormat="1" ht="25.5">
      <c r="B11" s="201" t="s">
        <v>184</v>
      </c>
      <c r="C11" s="201" t="s">
        <v>185</v>
      </c>
      <c r="D11" s="201" t="s">
        <v>186</v>
      </c>
      <c r="E11" s="201" t="s">
        <v>187</v>
      </c>
      <c r="F11" s="202" t="s">
        <v>188</v>
      </c>
      <c r="G11" s="203" t="s">
        <v>189</v>
      </c>
      <c r="H11" s="204" t="s">
        <v>190</v>
      </c>
      <c r="I11" s="205" t="s">
        <v>191</v>
      </c>
      <c r="J11" s="205" t="s">
        <v>192</v>
      </c>
      <c r="K11" s="201" t="s">
        <v>193</v>
      </c>
      <c r="L11" s="201" t="s">
        <v>193</v>
      </c>
      <c r="M11" s="201" t="s">
        <v>194</v>
      </c>
      <c r="N11" s="206"/>
    </row>
    <row r="12" spans="1:18" s="200" customFormat="1" ht="38.25">
      <c r="B12" s="207" t="s">
        <v>195</v>
      </c>
      <c r="C12" s="207" t="s">
        <v>196</v>
      </c>
      <c r="D12" s="207" t="s">
        <v>196</v>
      </c>
      <c r="E12" s="207" t="s">
        <v>0</v>
      </c>
      <c r="F12" s="208"/>
      <c r="G12" s="207" t="s">
        <v>197</v>
      </c>
      <c r="H12" s="209" t="s">
        <v>198</v>
      </c>
      <c r="I12" s="207" t="s">
        <v>198</v>
      </c>
      <c r="J12" s="207" t="s">
        <v>198</v>
      </c>
      <c r="K12" s="210" t="s">
        <v>199</v>
      </c>
      <c r="L12" s="210" t="s">
        <v>200</v>
      </c>
      <c r="M12" s="207" t="s">
        <v>201</v>
      </c>
      <c r="N12" s="211"/>
      <c r="O12" s="206" t="s">
        <v>202</v>
      </c>
      <c r="P12" s="212" t="s">
        <v>203</v>
      </c>
    </row>
    <row r="13" spans="1:18" s="148" customFormat="1" ht="51.75" thickBot="1">
      <c r="B13" s="213" t="s">
        <v>1</v>
      </c>
      <c r="C13" s="214" t="s">
        <v>204</v>
      </c>
      <c r="D13" s="214" t="s">
        <v>205</v>
      </c>
      <c r="E13" s="214" t="s">
        <v>206</v>
      </c>
      <c r="F13" s="215" t="s">
        <v>207</v>
      </c>
      <c r="G13" s="216" t="s">
        <v>40</v>
      </c>
      <c r="H13" s="216" t="s">
        <v>38</v>
      </c>
      <c r="I13" s="216" t="s">
        <v>53</v>
      </c>
      <c r="J13" s="216" t="s">
        <v>208</v>
      </c>
      <c r="K13" s="217" t="s">
        <v>209</v>
      </c>
      <c r="L13" s="217" t="s">
        <v>210</v>
      </c>
      <c r="M13" s="216" t="s">
        <v>211</v>
      </c>
      <c r="N13" s="218"/>
      <c r="O13" s="211" t="s">
        <v>212</v>
      </c>
      <c r="P13" s="159" t="s">
        <v>213</v>
      </c>
      <c r="Q13" s="200" t="s">
        <v>214</v>
      </c>
      <c r="R13" s="148" t="s">
        <v>215</v>
      </c>
    </row>
    <row r="14" spans="1:18" s="148" customFormat="1" ht="15">
      <c r="A14" s="219">
        <v>42370</v>
      </c>
      <c r="B14" s="220">
        <f>'[8]CIS Billed Revenue by Range gro'!$I$4964</f>
        <v>58743140.229999997</v>
      </c>
      <c r="C14" s="221">
        <f>SUM([9]Query!$J$244:$J$252)-SUM([9]Query!$L$321:$L$327)+SUM([9]Query!$E$256:$E$257)</f>
        <v>48220273.359999992</v>
      </c>
      <c r="D14" s="222">
        <f>SUM([5]Query!$J$195:$J$203)-SUM([5]Query!$L$275:$L$281)+SUM([5]Query!$E$210:$E$211)</f>
        <v>55645827.809999987</v>
      </c>
      <c r="E14" s="223">
        <f t="shared" ref="E14:E26" si="0">C14-D14</f>
        <v>-7425554.4499999955</v>
      </c>
      <c r="F14" s="221">
        <f t="shared" ref="F14:F25" si="1">B14+C14-D14</f>
        <v>51317585.780000001</v>
      </c>
      <c r="G14" s="224">
        <f>C14*H14-D14*'[1]GA Analysis'!R46</f>
        <v>-2316531.158469399</v>
      </c>
      <c r="H14" s="225">
        <f>'GA Analysis '!O47</f>
        <v>8.4229999999999999E-2</v>
      </c>
      <c r="I14" s="226">
        <f>'GA Analysis '!Q47</f>
        <v>9.1789999999999997E-2</v>
      </c>
      <c r="J14" s="227">
        <f t="shared" ref="J14:J25" si="2">+H14-I14</f>
        <v>-7.5599999999999973E-3</v>
      </c>
      <c r="K14" s="228">
        <f t="shared" ref="K14:K25" si="3">+F14*H14</f>
        <v>4322480.2502493998</v>
      </c>
      <c r="L14" s="228">
        <f t="shared" ref="L14:L25" si="4">F14*I14</f>
        <v>4710441.1987461997</v>
      </c>
      <c r="M14" s="229">
        <f>+L14-K14</f>
        <v>387960.94849679992</v>
      </c>
      <c r="N14" s="230"/>
      <c r="O14" s="231">
        <f>P14+C14*H14-D14*'GA Analysis '!R58</f>
        <v>4087879.7715305993</v>
      </c>
      <c r="P14" s="230">
        <f>'[8]CIS Billed Revenue by Range gro'!$H$4964</f>
        <v>6404410.9299999988</v>
      </c>
      <c r="Q14" s="232">
        <f>P14/B14</f>
        <v>0.10902397973490154</v>
      </c>
      <c r="R14" s="233">
        <v>8.4229999999999999E-2</v>
      </c>
    </row>
    <row r="15" spans="1:18" s="148" customFormat="1" ht="15">
      <c r="A15" s="219">
        <v>42401</v>
      </c>
      <c r="B15" s="234">
        <f>'[10]CIS Billed Revenue by Range gro'!$I$5087</f>
        <v>66960959.680000007</v>
      </c>
      <c r="C15" s="221">
        <f>SUM([11]Query!$J$244:$J$252)-SUM([11]Query!$L$323:$L$329)+SUM([11]Query!$E$258:$E$259)</f>
        <v>49525282.619999997</v>
      </c>
      <c r="D15" s="222">
        <f t="shared" ref="D15:D25" si="5">(-C14)*-1</f>
        <v>48220273.359999992</v>
      </c>
      <c r="E15" s="235">
        <f t="shared" si="0"/>
        <v>1305009.2600000054</v>
      </c>
      <c r="F15" s="221">
        <f t="shared" si="1"/>
        <v>68265968.940000027</v>
      </c>
      <c r="G15" s="236">
        <f t="shared" ref="G15:G25" si="6">C15*H15-D15*H14</f>
        <v>1081111.7221480007</v>
      </c>
      <c r="H15" s="237">
        <f>'GA Analysis '!O48</f>
        <v>0.10384</v>
      </c>
      <c r="I15" s="238">
        <f>'GA Analysis '!Q48</f>
        <v>9.851E-2</v>
      </c>
      <c r="J15" s="239">
        <f t="shared" si="2"/>
        <v>5.3300000000000014E-3</v>
      </c>
      <c r="K15" s="228">
        <f t="shared" si="3"/>
        <v>7088738.2147296034</v>
      </c>
      <c r="L15" s="228">
        <f t="shared" si="4"/>
        <v>6724880.6002794029</v>
      </c>
      <c r="M15" s="228">
        <f t="shared" ref="M15:M25" si="7">+L15-K15</f>
        <v>-363857.61445020046</v>
      </c>
      <c r="N15" s="230"/>
      <c r="O15" s="231">
        <f>P15+C15*H15-D15*H14</f>
        <v>7020514.7121480014</v>
      </c>
      <c r="P15" s="230">
        <f>'[10]CIS Billed Revenue by Range gro'!$H$5087</f>
        <v>5939402.9900000012</v>
      </c>
      <c r="Q15" s="232">
        <f t="shared" ref="Q15:Q25" si="8">P15/B15</f>
        <v>8.8699490246015547E-2</v>
      </c>
      <c r="R15" s="233">
        <v>0.10384</v>
      </c>
    </row>
    <row r="16" spans="1:18" s="148" customFormat="1" ht="15">
      <c r="A16" s="219">
        <v>42430</v>
      </c>
      <c r="B16" s="234">
        <f>'[12]CIS Billed Revenue by Range gro'!$I$4986</f>
        <v>63947348.519999988</v>
      </c>
      <c r="C16" s="221">
        <f>SUM([13]Query!$J$244:$J$252)-SUM([13]Query!$L$321:$L$327)+SUM([13]Query!$E$243:$E$244)</f>
        <v>56319242.690000005</v>
      </c>
      <c r="D16" s="222">
        <f t="shared" si="5"/>
        <v>49525282.619999997</v>
      </c>
      <c r="E16" s="235">
        <f t="shared" si="0"/>
        <v>6793960.0700000077</v>
      </c>
      <c r="F16" s="221">
        <f t="shared" si="1"/>
        <v>70741308.590000004</v>
      </c>
      <c r="G16" s="236">
        <f t="shared" si="6"/>
        <v>-61583.271769000217</v>
      </c>
      <c r="H16" s="237">
        <f>'GA Analysis '!O49</f>
        <v>9.0219999999999995E-2</v>
      </c>
      <c r="I16" s="238">
        <f>'GA Analysis '!Q49</f>
        <v>0.1061</v>
      </c>
      <c r="J16" s="239">
        <f t="shared" si="2"/>
        <v>-1.5880000000000005E-2</v>
      </c>
      <c r="K16" s="228">
        <f t="shared" si="3"/>
        <v>6382280.8609897997</v>
      </c>
      <c r="L16" s="228">
        <f t="shared" si="4"/>
        <v>7505652.841399</v>
      </c>
      <c r="M16" s="228">
        <f t="shared" si="7"/>
        <v>1123371.9804092003</v>
      </c>
      <c r="N16" s="230"/>
      <c r="O16" s="231">
        <f t="shared" ref="O16:O25" si="9">P16+C16*H16-D16*H15</f>
        <v>6426957.4582310012</v>
      </c>
      <c r="P16" s="230">
        <f>'[12]CIS Billed Revenue by Range gro'!$H$4986</f>
        <v>6488540.7300000014</v>
      </c>
      <c r="Q16" s="232">
        <f t="shared" si="8"/>
        <v>0.1014669236515829</v>
      </c>
      <c r="R16" s="233">
        <v>9.0219999999999995E-2</v>
      </c>
    </row>
    <row r="17" spans="1:22" s="148" customFormat="1" ht="15">
      <c r="A17" s="219">
        <v>42461</v>
      </c>
      <c r="B17" s="234">
        <f>'[14]CIS Billed Revenue by Range gro'!$I$4404</f>
        <v>61204250.079999991</v>
      </c>
      <c r="C17" s="221">
        <f>SUM([15]Query!$J$244:$J$252)-SUM([15]Query!$L$311:$L$317)+SUM([15]Query!$E$246:$E$247)</f>
        <v>51390282.439999998</v>
      </c>
      <c r="D17" s="222">
        <f t="shared" si="5"/>
        <v>56319242.690000005</v>
      </c>
      <c r="E17" s="235">
        <f t="shared" si="0"/>
        <v>-4928960.2500000075</v>
      </c>
      <c r="F17" s="221">
        <f t="shared" si="1"/>
        <v>56275289.829999976</v>
      </c>
      <c r="G17" s="236">
        <f t="shared" si="6"/>
        <v>1144810.6421141997</v>
      </c>
      <c r="H17" s="237">
        <f>'GA Analysis '!O50</f>
        <v>0.12114999999999999</v>
      </c>
      <c r="I17" s="238">
        <f>'GA Analysis '!Q50</f>
        <v>0.11132</v>
      </c>
      <c r="J17" s="239">
        <f t="shared" si="2"/>
        <v>9.8299999999999915E-3</v>
      </c>
      <c r="K17" s="228">
        <f t="shared" si="3"/>
        <v>6817751.3629044965</v>
      </c>
      <c r="L17" s="228">
        <f t="shared" si="4"/>
        <v>6264565.2638755972</v>
      </c>
      <c r="M17" s="228">
        <f t="shared" si="7"/>
        <v>-553186.09902889933</v>
      </c>
      <c r="N17" s="230"/>
      <c r="O17" s="231">
        <f t="shared" si="9"/>
        <v>6763030.6921141976</v>
      </c>
      <c r="P17" s="230">
        <f>'[14]CIS Billed Revenue by Range gro'!$H$4404</f>
        <v>5618220.0499999989</v>
      </c>
      <c r="Q17" s="232">
        <f t="shared" si="8"/>
        <v>9.1794606463708503E-2</v>
      </c>
      <c r="R17" s="233">
        <v>0.12114999999999999</v>
      </c>
    </row>
    <row r="18" spans="1:22" s="148" customFormat="1" ht="15">
      <c r="A18" s="219">
        <v>42491</v>
      </c>
      <c r="B18" s="234">
        <f>'[16]CIS Billed Revenue by Range gro'!$I$5112</f>
        <v>63740323.479999997</v>
      </c>
      <c r="C18" s="221">
        <f>SUM([17]Query!$M$365:$M$370)-SUM([17]Query!$R$510:$R$528)+SUM([17]Query!$H$387:$H$392)</f>
        <v>52893171.68999999</v>
      </c>
      <c r="D18" s="222">
        <f t="shared" si="5"/>
        <v>51390282.439999998</v>
      </c>
      <c r="E18" s="235">
        <f t="shared" si="0"/>
        <v>1502889.2499999925</v>
      </c>
      <c r="F18" s="221">
        <f t="shared" si="1"/>
        <v>65243212.729999989</v>
      </c>
      <c r="G18" s="236">
        <f t="shared" si="6"/>
        <v>-722398.20326150022</v>
      </c>
      <c r="H18" s="237">
        <f>'GA Analysis '!O51</f>
        <v>0.10405</v>
      </c>
      <c r="I18" s="238">
        <f>'GA Analysis '!Q51</f>
        <v>0.10749</v>
      </c>
      <c r="J18" s="239">
        <f t="shared" si="2"/>
        <v>-3.4399999999999986E-3</v>
      </c>
      <c r="K18" s="228">
        <f t="shared" si="3"/>
        <v>6788556.2845564988</v>
      </c>
      <c r="L18" s="228">
        <f t="shared" si="4"/>
        <v>7012992.9363476988</v>
      </c>
      <c r="M18" s="228">
        <f t="shared" si="7"/>
        <v>224436.65179120004</v>
      </c>
      <c r="N18" s="230"/>
      <c r="O18" s="231">
        <f t="shared" si="9"/>
        <v>6730839.3267385</v>
      </c>
      <c r="P18" s="230">
        <f>'[16]CIS Billed Revenue by Range gro'!$H$5112</f>
        <v>7453237.5300000012</v>
      </c>
      <c r="Q18" s="232">
        <f t="shared" si="8"/>
        <v>0.11693127871148359</v>
      </c>
      <c r="R18" s="233">
        <v>0.10405</v>
      </c>
    </row>
    <row r="19" spans="1:22" s="148" customFormat="1" ht="15">
      <c r="A19" s="219">
        <v>42522</v>
      </c>
      <c r="B19" s="234">
        <f>'[18]CIS Billed Revenue by Range gro'!$I$5207</f>
        <v>63441195.579999983</v>
      </c>
      <c r="C19" s="221">
        <f>SUM([19]Query!$M$365:$M$370)-SUM([19]Query!$R$556:$R$580)+SUM([19]Query!$H$432:$H$435)</f>
        <v>52091310.640000001</v>
      </c>
      <c r="D19" s="222">
        <f t="shared" si="5"/>
        <v>52893171.68999999</v>
      </c>
      <c r="E19" s="235">
        <f t="shared" si="0"/>
        <v>-801861.04999998957</v>
      </c>
      <c r="F19" s="221">
        <f t="shared" si="1"/>
        <v>62639334.529999994</v>
      </c>
      <c r="G19" s="236">
        <f t="shared" si="6"/>
        <v>565103.17521550134</v>
      </c>
      <c r="H19" s="237">
        <f>'GA Analysis '!O52</f>
        <v>0.11650000000000001</v>
      </c>
      <c r="I19" s="238">
        <f>'GA Analysis '!Q52</f>
        <v>9.5449999999999993E-2</v>
      </c>
      <c r="J19" s="239">
        <f t="shared" si="2"/>
        <v>2.1050000000000013E-2</v>
      </c>
      <c r="K19" s="228">
        <f t="shared" si="3"/>
        <v>7297482.4727449995</v>
      </c>
      <c r="L19" s="228">
        <f t="shared" si="4"/>
        <v>5978924.4808884989</v>
      </c>
      <c r="M19" s="228">
        <f t="shared" si="7"/>
        <v>-1318557.9918565005</v>
      </c>
      <c r="N19" s="230"/>
      <c r="O19" s="231">
        <f t="shared" si="9"/>
        <v>7284877.5552155012</v>
      </c>
      <c r="P19" s="230">
        <f>'[18]CIS Billed Revenue by Range gro'!$H$5207</f>
        <v>6719774.3799999999</v>
      </c>
      <c r="Q19" s="232">
        <f t="shared" si="8"/>
        <v>0.10592130741808448</v>
      </c>
      <c r="R19" s="233">
        <v>0.11650000000000001</v>
      </c>
    </row>
    <row r="20" spans="1:22" s="148" customFormat="1" ht="15">
      <c r="A20" s="219">
        <v>42552</v>
      </c>
      <c r="B20" s="234">
        <f>'[20]CIS Billed Revenue by Range gro'!$I$4115</f>
        <v>58315662.649999984</v>
      </c>
      <c r="C20" s="221">
        <f>SUM([21]Query!$M$365:$M$370)-SUM([21]Query!$R$421:$R$433)+SUM([21]Query!$H$306:$H$311)</f>
        <v>55366136.819999993</v>
      </c>
      <c r="D20" s="222">
        <f t="shared" si="5"/>
        <v>52091310.640000001</v>
      </c>
      <c r="E20" s="235">
        <f t="shared" si="0"/>
        <v>3274826.1799999923</v>
      </c>
      <c r="F20" s="221">
        <f t="shared" si="1"/>
        <v>61590488.829999968</v>
      </c>
      <c r="G20" s="236">
        <f t="shared" si="6"/>
        <v>-1823715.9795706011</v>
      </c>
      <c r="H20" s="237">
        <f>'GA Analysis '!O53</f>
        <v>7.6670000000000002E-2</v>
      </c>
      <c r="I20" s="238">
        <f>'GA Analysis '!Q53</f>
        <v>8.3059999999999995E-2</v>
      </c>
      <c r="J20" s="239">
        <f t="shared" si="2"/>
        <v>-6.3899999999999929E-3</v>
      </c>
      <c r="K20" s="228">
        <f t="shared" si="3"/>
        <v>4722142.7785960976</v>
      </c>
      <c r="L20" s="228">
        <f t="shared" si="4"/>
        <v>5115706.0022197971</v>
      </c>
      <c r="M20" s="228">
        <f t="shared" si="7"/>
        <v>393563.22362369951</v>
      </c>
      <c r="N20" s="230"/>
      <c r="O20" s="231">
        <f t="shared" si="9"/>
        <v>4878917.9704293991</v>
      </c>
      <c r="P20" s="230">
        <f>'[20]CIS Billed Revenue by Range gro'!$H$4115</f>
        <v>6702633.9500000002</v>
      </c>
      <c r="Q20" s="232">
        <f t="shared" si="8"/>
        <v>0.11493711372582684</v>
      </c>
      <c r="R20" s="233">
        <v>7.6670000000000002E-2</v>
      </c>
    </row>
    <row r="21" spans="1:22" s="148" customFormat="1" ht="15">
      <c r="A21" s="219">
        <v>42583</v>
      </c>
      <c r="B21" s="234">
        <f>'[22]CIS Billed Revenue by Range gro'!$I$4660</f>
        <v>65694759.88000001</v>
      </c>
      <c r="C21" s="221">
        <f>SUM([23]Query!$M$365:$M$370)-SUM([23]Query!$R$327:$R$335)+SUM([23]Query!$H$252:$H$257)</f>
        <v>52839624.380000003</v>
      </c>
      <c r="D21" s="222">
        <f t="shared" si="5"/>
        <v>55366136.819999993</v>
      </c>
      <c r="E21" s="235">
        <f t="shared" si="0"/>
        <v>-2526512.4399999902</v>
      </c>
      <c r="F21" s="221">
        <f t="shared" si="1"/>
        <v>63168247.440000027</v>
      </c>
      <c r="G21" s="236">
        <f t="shared" si="6"/>
        <v>282905.70313280076</v>
      </c>
      <c r="H21" s="237">
        <f>'GA Analysis '!O54</f>
        <v>8.5690000000000002E-2</v>
      </c>
      <c r="I21" s="238">
        <f>'GA Analysis '!Q54</f>
        <v>7.1029999999999996E-2</v>
      </c>
      <c r="J21" s="239">
        <f t="shared" si="2"/>
        <v>1.4660000000000006E-2</v>
      </c>
      <c r="K21" s="228">
        <f t="shared" si="3"/>
        <v>5412887.1231336026</v>
      </c>
      <c r="L21" s="228">
        <f t="shared" si="4"/>
        <v>4486840.6156632015</v>
      </c>
      <c r="M21" s="228">
        <f t="shared" si="7"/>
        <v>-926046.507470401</v>
      </c>
      <c r="N21" s="230"/>
      <c r="O21" s="231">
        <f t="shared" si="9"/>
        <v>5645253.5531328013</v>
      </c>
      <c r="P21" s="230">
        <f>'[22]CIS Billed Revenue by Range gro'!$H$4660</f>
        <v>5362347.8500000015</v>
      </c>
      <c r="Q21" s="232">
        <f t="shared" si="8"/>
        <v>8.1625199023408021E-2</v>
      </c>
      <c r="R21" s="233">
        <v>8.5690000000000002E-2</v>
      </c>
    </row>
    <row r="22" spans="1:22" s="148" customFormat="1" ht="15">
      <c r="A22" s="219">
        <v>42614</v>
      </c>
      <c r="B22" s="234">
        <f>'[24]CIS Billed Revenue by Range gro'!$I$4285</f>
        <v>66705999.039999999</v>
      </c>
      <c r="C22" s="221">
        <f>SUM([25]Query!$M$365:$M$370)-SUM([25]Query!$R$414:$R$422)+SUM([25]Query!$H$281:$H$286)</f>
        <v>56270547.780000001</v>
      </c>
      <c r="D22" s="222">
        <f t="shared" si="5"/>
        <v>52839624.380000003</v>
      </c>
      <c r="E22" s="235">
        <f t="shared" si="0"/>
        <v>3430923.3999999985</v>
      </c>
      <c r="F22" s="221">
        <f t="shared" si="1"/>
        <v>70136922.439999998</v>
      </c>
      <c r="G22" s="236">
        <f t="shared" si="6"/>
        <v>-555126.73985420074</v>
      </c>
      <c r="H22" s="237">
        <f>'GA Analysis '!O55</f>
        <v>7.0599999999999996E-2</v>
      </c>
      <c r="I22" s="238">
        <f>'GA Analysis '!Q55</f>
        <v>9.5310000000000006E-2</v>
      </c>
      <c r="J22" s="239">
        <f t="shared" si="2"/>
        <v>-2.471000000000001E-2</v>
      </c>
      <c r="K22" s="228">
        <f t="shared" si="3"/>
        <v>4951666.7242639996</v>
      </c>
      <c r="L22" s="228">
        <f t="shared" si="4"/>
        <v>6684750.0777564002</v>
      </c>
      <c r="M22" s="228">
        <f t="shared" si="7"/>
        <v>1733083.3534924006</v>
      </c>
      <c r="N22" s="230"/>
      <c r="O22" s="231">
        <f t="shared" si="9"/>
        <v>5097169.7801458007</v>
      </c>
      <c r="P22" s="230">
        <f>'[24]CIS Billed Revenue by Range gro'!$H$4285</f>
        <v>5652296.5200000023</v>
      </c>
      <c r="Q22" s="232">
        <f t="shared" si="8"/>
        <v>8.4734455691318322E-2</v>
      </c>
      <c r="R22" s="233">
        <v>7.0599999999999996E-2</v>
      </c>
    </row>
    <row r="23" spans="1:22" s="148" customFormat="1" ht="15">
      <c r="A23" s="219">
        <v>42644</v>
      </c>
      <c r="B23" s="234">
        <f>'[26]CIS Billed Revenue by Range gro'!$I$4380</f>
        <v>67194964.290000007</v>
      </c>
      <c r="C23" s="221">
        <f>SUM([27]Query!$M$365:$M$370)-SUM([27]Query!$R$415:$R$423)+SUM([27]Query!$H$267:$H$272)</f>
        <v>56697042.229999997</v>
      </c>
      <c r="D23" s="222">
        <f t="shared" si="5"/>
        <v>56270547.780000001</v>
      </c>
      <c r="E23" s="235">
        <f t="shared" si="0"/>
        <v>426494.44999999553</v>
      </c>
      <c r="F23" s="221">
        <f t="shared" si="1"/>
        <v>67621458.74000001</v>
      </c>
      <c r="G23" s="236">
        <f t="shared" si="6"/>
        <v>1538251.8314879993</v>
      </c>
      <c r="H23" s="237">
        <f>'GA Analysis '!O56</f>
        <v>9.7199999999999995E-2</v>
      </c>
      <c r="I23" s="238">
        <f>'GA Analysis '!Q56</f>
        <v>0.11226</v>
      </c>
      <c r="J23" s="239">
        <f t="shared" si="2"/>
        <v>-1.5060000000000004E-2</v>
      </c>
      <c r="K23" s="228">
        <f t="shared" si="3"/>
        <v>6572805.7895280002</v>
      </c>
      <c r="L23" s="228">
        <f t="shared" si="4"/>
        <v>7591184.9581524013</v>
      </c>
      <c r="M23" s="240">
        <f t="shared" si="7"/>
        <v>1018379.1686244011</v>
      </c>
      <c r="N23" s="241"/>
      <c r="O23" s="231">
        <f t="shared" si="9"/>
        <v>6420150.9914880004</v>
      </c>
      <c r="P23" s="230">
        <f>'[26]CIS Billed Revenue by Range gro'!$H$4380</f>
        <v>4881899.16</v>
      </c>
      <c r="Q23" s="232">
        <f t="shared" si="8"/>
        <v>7.2652753246965074E-2</v>
      </c>
      <c r="R23" s="233">
        <v>9.7199999999999995E-2</v>
      </c>
    </row>
    <row r="24" spans="1:22" s="148" customFormat="1" ht="15">
      <c r="A24" s="219">
        <v>42675</v>
      </c>
      <c r="B24" s="234">
        <f>'[28]CIS Billed Revenue by Range gro'!$I$4791</f>
        <v>64741531.880000003</v>
      </c>
      <c r="C24" s="221">
        <f>SUM([29]Query!$M$365:$M$370)-SUM([29]Query!$R$422:$R$434)+SUM([29]Query!$H$314:$H$321)</f>
        <v>52958002.010000013</v>
      </c>
      <c r="D24" s="222">
        <f t="shared" si="5"/>
        <v>56697042.229999997</v>
      </c>
      <c r="E24" s="235">
        <f t="shared" si="0"/>
        <v>-3739040.2199999839</v>
      </c>
      <c r="F24" s="221">
        <f t="shared" si="1"/>
        <v>61002491.660000019</v>
      </c>
      <c r="G24" s="236">
        <f t="shared" si="6"/>
        <v>987523.92189110257</v>
      </c>
      <c r="H24" s="237">
        <f>'GA Analysis '!O57</f>
        <v>0.12271</v>
      </c>
      <c r="I24" s="238">
        <f>'GA Analysis '!Q57</f>
        <v>0.11108999999999999</v>
      </c>
      <c r="J24" s="239">
        <f t="shared" si="2"/>
        <v>1.1620000000000005E-2</v>
      </c>
      <c r="K24" s="228">
        <f t="shared" si="3"/>
        <v>7485615.7515986022</v>
      </c>
      <c r="L24" s="228">
        <f t="shared" si="4"/>
        <v>6776766.7985094022</v>
      </c>
      <c r="M24" s="240">
        <f t="shared" si="7"/>
        <v>-708848.95308919996</v>
      </c>
      <c r="N24" s="241"/>
      <c r="O24" s="231">
        <f t="shared" si="9"/>
        <v>7157984.8218911039</v>
      </c>
      <c r="P24" s="230">
        <f>'[28]CIS Billed Revenue by Range gro'!$H$4791</f>
        <v>6170460.9000000013</v>
      </c>
      <c r="Q24" s="232">
        <f t="shared" si="8"/>
        <v>9.5309158137269603E-2</v>
      </c>
      <c r="R24" s="233">
        <v>0.12271</v>
      </c>
    </row>
    <row r="25" spans="1:22" s="148" customFormat="1" ht="15.75" thickBot="1">
      <c r="A25" s="219">
        <v>42705</v>
      </c>
      <c r="B25" s="242">
        <f>'[30]CIS Billed Revenue by Range gro'!$I$4201</f>
        <v>63450204.320000008</v>
      </c>
      <c r="C25" s="243">
        <f>SUM([6]Query!$M$365:$M$370)-SUM([6]Query!$R$416:$R$428)+SUM([6]Query!$H$315:$H$320)</f>
        <v>57184248.389999993</v>
      </c>
      <c r="D25" s="244">
        <f t="shared" si="5"/>
        <v>52958002.010000013</v>
      </c>
      <c r="E25" s="245">
        <f t="shared" si="0"/>
        <v>4226246.3799999803</v>
      </c>
      <c r="F25" s="246">
        <f t="shared" si="1"/>
        <v>67676450.699999988</v>
      </c>
      <c r="G25" s="247">
        <f t="shared" si="6"/>
        <v>-440377.15221050195</v>
      </c>
      <c r="H25" s="248">
        <f>'GA Analysis '!O58</f>
        <v>0.10594000000000001</v>
      </c>
      <c r="I25" s="249">
        <f>'GA Analysis '!Q58</f>
        <v>8.7080000000000005E-2</v>
      </c>
      <c r="J25" s="250">
        <f t="shared" si="2"/>
        <v>1.8860000000000002E-2</v>
      </c>
      <c r="K25" s="251">
        <f t="shared" si="3"/>
        <v>7169643.1871579988</v>
      </c>
      <c r="L25" s="251">
        <f t="shared" si="4"/>
        <v>5893265.3269559992</v>
      </c>
      <c r="M25" s="252">
        <f t="shared" si="7"/>
        <v>-1276377.8602019995</v>
      </c>
      <c r="N25" s="241"/>
      <c r="O25" s="231">
        <f t="shared" si="9"/>
        <v>7167443.1077894988</v>
      </c>
      <c r="P25" s="253">
        <f>'[30]CIS Billed Revenue by Range gro'!$H$4201</f>
        <v>7607820.2600000007</v>
      </c>
      <c r="Q25" s="232">
        <f t="shared" si="8"/>
        <v>0.11990221846459768</v>
      </c>
      <c r="R25" s="233">
        <v>0.10594000000000001</v>
      </c>
    </row>
    <row r="26" spans="1:22" s="148" customFormat="1" ht="15">
      <c r="B26" s="254">
        <f>SUM(B14:B25)</f>
        <v>764140339.62999988</v>
      </c>
      <c r="C26" s="254">
        <f>SUM(C14:C25)</f>
        <v>641755165.04999995</v>
      </c>
      <c r="D26" s="254">
        <f>SUM(D14:D25)</f>
        <v>640216744.46999991</v>
      </c>
      <c r="E26" s="254">
        <f t="shared" si="0"/>
        <v>1538420.5800000429</v>
      </c>
      <c r="F26" s="254">
        <f>SUM(F14:F25)</f>
        <v>765678760.2099998</v>
      </c>
      <c r="G26" s="254">
        <f>SUM(G14:G25)</f>
        <v>-320025.50914559886</v>
      </c>
      <c r="H26" s="255">
        <f>AVERAGE(H14:H25)</f>
        <v>9.8233333333333339E-2</v>
      </c>
      <c r="I26" s="255">
        <f>AVERAGE(I14:I25)</f>
        <v>9.754083333333334E-2</v>
      </c>
      <c r="J26" s="255">
        <f>AVERAGE(J14:J25)</f>
        <v>6.9250000000000095E-4</v>
      </c>
      <c r="K26" s="256">
        <f>SUM(K14:K25)</f>
        <v>75012050.800453097</v>
      </c>
      <c r="L26" s="256">
        <f>SUM(L14:L25)</f>
        <v>74745971.1007936</v>
      </c>
      <c r="M26" s="257">
        <f>L26-K26</f>
        <v>-266079.69965949655</v>
      </c>
      <c r="N26" s="258" t="s">
        <v>1</v>
      </c>
      <c r="O26" s="259">
        <f>SUM(O14:O25)</f>
        <v>74681019.740854412</v>
      </c>
      <c r="P26" s="260">
        <f>SUM(P14:P25)</f>
        <v>75001045.25000003</v>
      </c>
      <c r="Q26" s="260"/>
    </row>
    <row r="27" spans="1:22" s="148" customFormat="1" ht="14.25">
      <c r="B27" s="131"/>
      <c r="C27" s="131"/>
      <c r="D27" s="131"/>
      <c r="E27" s="192"/>
      <c r="F27" s="131"/>
      <c r="G27" s="261">
        <f>[31]Adjustments!M14*'[31]A-Loss Adj 2016'!L25-[31]Adjustments!M13*'[31]B-Loss Adj 2015'!C24</f>
        <v>-320025.50914559886</v>
      </c>
      <c r="H27" s="131"/>
      <c r="I27" s="131"/>
      <c r="J27" s="262"/>
      <c r="K27" s="131"/>
      <c r="L27" s="263" t="s">
        <v>216</v>
      </c>
      <c r="M27" s="264">
        <f>'[3]3. Continuity Schedule'!$BD$29</f>
        <v>1140982.26</v>
      </c>
      <c r="N27" s="258" t="s">
        <v>204</v>
      </c>
      <c r="O27" s="265">
        <f>-O26+K26</f>
        <v>331031.05959868431</v>
      </c>
      <c r="P27" s="266"/>
      <c r="Q27" s="159"/>
      <c r="S27" s="267"/>
    </row>
    <row r="28" spans="1:22" s="148" customFormat="1" ht="14.25">
      <c r="B28" s="268">
        <f>(B26-$J$8)/$J$8</f>
        <v>1.9419186482501821E-2</v>
      </c>
      <c r="C28" s="131"/>
      <c r="D28" s="131"/>
      <c r="E28" s="131"/>
      <c r="F28" s="268">
        <f>(F26-$J$8)/$J$8</f>
        <v>2.1471552225803422E-2</v>
      </c>
      <c r="G28" s="261">
        <f>G26-G27</f>
        <v>0</v>
      </c>
      <c r="H28" s="131"/>
      <c r="I28" s="131"/>
      <c r="J28" s="269"/>
      <c r="K28" s="131"/>
      <c r="L28" s="270" t="s">
        <v>171</v>
      </c>
      <c r="M28" s="257">
        <f>M26-M27</f>
        <v>-1407061.9596594966</v>
      </c>
      <c r="N28" s="258" t="s">
        <v>217</v>
      </c>
      <c r="Q28" s="159"/>
    </row>
    <row r="29" spans="1:22" s="148" customFormat="1">
      <c r="B29" s="131"/>
      <c r="C29" s="131"/>
      <c r="D29" s="131"/>
      <c r="E29" s="131"/>
      <c r="F29" s="131"/>
      <c r="G29" s="271">
        <f>C25*H25-[31]Adjustments!M13*'[31]B-Loss Adj 2015'!C24</f>
        <v>-320025.50914559886</v>
      </c>
      <c r="I29" s="131"/>
      <c r="J29" s="131"/>
      <c r="K29" s="272"/>
      <c r="L29" s="270" t="s">
        <v>218</v>
      </c>
      <c r="M29" s="273">
        <f>31835525*1.016*0.5%</f>
        <v>161724.467</v>
      </c>
      <c r="N29" s="274"/>
      <c r="Q29" s="159"/>
      <c r="V29" s="275"/>
    </row>
    <row r="30" spans="1:22" s="148" customFormat="1" ht="15">
      <c r="B30" s="276"/>
      <c r="C30" s="277"/>
      <c r="D30" s="277"/>
      <c r="E30" s="277"/>
      <c r="F30" s="277"/>
      <c r="G30"/>
      <c r="M30" s="274"/>
      <c r="N30" s="274"/>
      <c r="O30" s="274"/>
      <c r="P30" s="274"/>
      <c r="Q30" s="159"/>
      <c r="V30" s="158"/>
    </row>
    <row r="31" spans="1:22" s="148" customFormat="1" ht="15">
      <c r="B31" s="278"/>
      <c r="C31" s="279"/>
      <c r="D31" s="277"/>
      <c r="E31" s="277"/>
      <c r="F31" s="277"/>
      <c r="G31"/>
      <c r="K31" s="148" t="s">
        <v>219</v>
      </c>
      <c r="M31" s="274">
        <f>-'1.Adjustments'!K11</f>
        <v>-215858.93330520432</v>
      </c>
      <c r="N31" s="274"/>
      <c r="O31" s="274"/>
      <c r="P31" s="274"/>
      <c r="Q31" s="159"/>
      <c r="V31" s="158"/>
    </row>
    <row r="32" spans="1:22" s="148" customFormat="1" ht="15">
      <c r="B32" s="277"/>
      <c r="C32" s="279"/>
      <c r="D32" s="277"/>
      <c r="E32" s="277"/>
      <c r="F32" s="277"/>
      <c r="G32"/>
      <c r="L32" s="148" t="s">
        <v>171</v>
      </c>
      <c r="M32" s="274">
        <f>M28-M31</f>
        <v>-1191203.0263542922</v>
      </c>
      <c r="N32" s="274"/>
      <c r="O32" s="274"/>
      <c r="Q32" s="280"/>
      <c r="R32" s="158"/>
      <c r="S32" s="274"/>
      <c r="T32" s="274"/>
      <c r="U32" s="158"/>
      <c r="V32" s="158"/>
    </row>
    <row r="33" spans="2:22" s="148" customFormat="1" ht="15">
      <c r="B33" s="277"/>
      <c r="C33" s="281"/>
      <c r="D33" s="281"/>
      <c r="E33" s="281"/>
      <c r="F33" s="281"/>
      <c r="G33"/>
      <c r="M33" s="274"/>
      <c r="N33" s="274"/>
      <c r="O33" s="274"/>
      <c r="P33" s="274"/>
      <c r="Q33" s="282"/>
      <c r="R33" s="158"/>
      <c r="S33" s="158"/>
      <c r="T33" s="158"/>
      <c r="U33" s="158"/>
      <c r="V33" s="158"/>
    </row>
    <row r="34" spans="2:22" s="148" customFormat="1" ht="15">
      <c r="B34" s="277"/>
      <c r="C34" s="281"/>
      <c r="D34" s="277"/>
      <c r="E34" s="277"/>
      <c r="F34" s="277"/>
      <c r="G34"/>
      <c r="M34" s="274"/>
      <c r="N34" s="274"/>
      <c r="O34" s="274"/>
      <c r="P34" s="274"/>
      <c r="Q34" s="280"/>
      <c r="R34" s="283"/>
      <c r="S34" s="158"/>
      <c r="T34" s="283"/>
      <c r="U34" s="283"/>
      <c r="V34" s="158"/>
    </row>
    <row r="35" spans="2:22" s="148" customFormat="1" ht="15">
      <c r="B35" s="277"/>
      <c r="C35" s="281"/>
      <c r="D35" s="277"/>
      <c r="E35" s="277"/>
      <c r="F35" s="277"/>
      <c r="G35"/>
      <c r="M35" s="267"/>
      <c r="N35" s="267"/>
      <c r="O35" s="267"/>
      <c r="Q35" s="280"/>
      <c r="R35" s="158"/>
      <c r="S35" s="158"/>
      <c r="T35" s="158"/>
      <c r="U35" s="158"/>
      <c r="V35" s="158"/>
    </row>
    <row r="36" spans="2:22" s="148" customFormat="1">
      <c r="B36" s="131"/>
      <c r="C36" s="261"/>
      <c r="D36" s="131"/>
      <c r="E36" s="131"/>
      <c r="F36" s="131"/>
      <c r="G36" s="131"/>
      <c r="H36" s="131"/>
      <c r="I36" s="131"/>
      <c r="K36" s="153"/>
      <c r="L36" s="284"/>
      <c r="Q36" s="159"/>
      <c r="V36" s="158"/>
    </row>
    <row r="37" spans="2:22" s="148" customFormat="1">
      <c r="B37" s="131"/>
      <c r="C37" s="131"/>
      <c r="D37" s="131"/>
      <c r="E37" s="131"/>
      <c r="F37" s="131"/>
      <c r="G37" s="131"/>
      <c r="H37" s="131"/>
      <c r="I37" s="131"/>
      <c r="K37" s="153"/>
      <c r="L37" s="284"/>
      <c r="Q37" s="159"/>
      <c r="V37" s="158"/>
    </row>
    <row r="38" spans="2:22" s="148" customFormat="1" ht="14.25">
      <c r="B38" s="285" t="s">
        <v>220</v>
      </c>
      <c r="C38" s="285"/>
      <c r="D38" s="285"/>
      <c r="E38" s="285"/>
      <c r="F38" s="285"/>
      <c r="G38" s="285"/>
      <c r="H38" s="275"/>
      <c r="J38" s="275"/>
      <c r="K38" s="286">
        <f>31835525*1.016*0.5%</f>
        <v>161724.467</v>
      </c>
      <c r="L38" s="267"/>
      <c r="P38" s="158"/>
      <c r="Q38" s="159"/>
    </row>
    <row r="39" spans="2:22" s="148" customFormat="1">
      <c r="P39" s="158"/>
      <c r="Q39" s="159"/>
    </row>
    <row r="40" spans="2:22" s="148" customFormat="1" ht="18" thickBot="1">
      <c r="B40" s="287" t="s">
        <v>221</v>
      </c>
      <c r="C40" s="287"/>
      <c r="D40" s="287"/>
      <c r="E40" s="287"/>
      <c r="F40" s="287"/>
      <c r="G40" s="287"/>
      <c r="H40" s="288"/>
      <c r="I40" s="289">
        <v>100</v>
      </c>
      <c r="J40" s="288"/>
      <c r="K40" s="288"/>
      <c r="L40" s="288"/>
      <c r="M40" s="288"/>
      <c r="N40" s="288"/>
      <c r="O40" s="288"/>
      <c r="P40" s="288"/>
      <c r="Q40" s="290"/>
      <c r="R40" s="288"/>
      <c r="S40" s="288"/>
      <c r="T40" s="288"/>
      <c r="U40" s="288"/>
    </row>
    <row r="41" spans="2:22" s="148" customFormat="1" ht="15" thickBot="1">
      <c r="B41" s="291">
        <v>2016</v>
      </c>
      <c r="C41" s="291"/>
      <c r="D41" s="291"/>
      <c r="E41" s="291"/>
      <c r="F41" s="291"/>
      <c r="G41" s="291"/>
      <c r="H41" s="291" t="s">
        <v>222</v>
      </c>
      <c r="I41" s="291" t="s">
        <v>223</v>
      </c>
      <c r="J41" s="291" t="s">
        <v>224</v>
      </c>
      <c r="K41" s="291" t="s">
        <v>225</v>
      </c>
      <c r="L41" s="291" t="s">
        <v>14</v>
      </c>
      <c r="M41" s="291" t="s">
        <v>226</v>
      </c>
      <c r="N41" s="291"/>
      <c r="O41" s="291"/>
      <c r="P41" s="291" t="s">
        <v>227</v>
      </c>
      <c r="Q41" s="292" t="s">
        <v>228</v>
      </c>
      <c r="R41" s="291" t="s">
        <v>229</v>
      </c>
      <c r="S41" s="291" t="s">
        <v>230</v>
      </c>
      <c r="T41" s="291" t="s">
        <v>231</v>
      </c>
      <c r="U41" s="291" t="s">
        <v>232</v>
      </c>
    </row>
    <row r="42" spans="2:22" s="148" customFormat="1" ht="15" thickBot="1">
      <c r="B42" s="289" t="s">
        <v>161</v>
      </c>
      <c r="C42" s="289"/>
      <c r="D42" s="289"/>
      <c r="E42" s="289"/>
      <c r="F42" s="289"/>
      <c r="G42" s="289"/>
      <c r="H42" s="289" t="s">
        <v>233</v>
      </c>
      <c r="I42" s="289" t="s">
        <v>234</v>
      </c>
      <c r="J42" s="289" t="s">
        <v>235</v>
      </c>
      <c r="K42" s="289" t="s">
        <v>236</v>
      </c>
      <c r="L42" s="289" t="s">
        <v>237</v>
      </c>
      <c r="M42" s="289" t="s">
        <v>238</v>
      </c>
      <c r="N42" s="289"/>
      <c r="O42" s="289"/>
      <c r="P42" s="289" t="s">
        <v>239</v>
      </c>
      <c r="Q42" s="293" t="s">
        <v>240</v>
      </c>
      <c r="R42" s="289" t="s">
        <v>241</v>
      </c>
      <c r="S42" s="289" t="s">
        <v>242</v>
      </c>
      <c r="T42" s="289" t="s">
        <v>243</v>
      </c>
      <c r="U42" s="289" t="s">
        <v>244</v>
      </c>
    </row>
    <row r="43" spans="2:22" s="148" customFormat="1" ht="15" thickBot="1">
      <c r="B43" s="289" t="s">
        <v>245</v>
      </c>
      <c r="C43" s="289"/>
      <c r="D43" s="289"/>
      <c r="E43" s="289"/>
      <c r="F43" s="289"/>
      <c r="G43" s="289"/>
      <c r="H43" s="289" t="s">
        <v>246</v>
      </c>
      <c r="I43" s="289" t="s">
        <v>247</v>
      </c>
      <c r="J43" s="289" t="s">
        <v>248</v>
      </c>
      <c r="K43" s="289" t="s">
        <v>249</v>
      </c>
      <c r="L43" s="289" t="s">
        <v>250</v>
      </c>
      <c r="M43" s="294">
        <v>9.36</v>
      </c>
      <c r="N43" s="294"/>
      <c r="O43" s="294"/>
      <c r="P43" s="294">
        <v>8.41</v>
      </c>
      <c r="Q43" s="293">
        <v>7.05</v>
      </c>
      <c r="R43" s="289" t="s">
        <v>251</v>
      </c>
      <c r="S43" s="289" t="s">
        <v>252</v>
      </c>
      <c r="T43" s="289" t="s">
        <v>250</v>
      </c>
      <c r="U43" s="289" t="s">
        <v>253</v>
      </c>
    </row>
    <row r="44" spans="2:22" ht="15" thickBot="1">
      <c r="B44" s="289" t="s">
        <v>28</v>
      </c>
      <c r="C44" s="289"/>
      <c r="D44" s="289"/>
      <c r="E44" s="289"/>
      <c r="F44" s="289"/>
      <c r="G44" s="289"/>
      <c r="H44" s="289" t="s">
        <v>254</v>
      </c>
      <c r="I44" s="289" t="s">
        <v>255</v>
      </c>
      <c r="J44" s="289" t="s">
        <v>256</v>
      </c>
      <c r="K44" s="289" t="s">
        <v>257</v>
      </c>
      <c r="L44" s="289" t="s">
        <v>258</v>
      </c>
      <c r="M44" s="289" t="s">
        <v>259</v>
      </c>
      <c r="N44" s="289"/>
      <c r="O44" s="289"/>
      <c r="P44" s="294">
        <v>8.31</v>
      </c>
      <c r="Q44" s="293" t="s">
        <v>260</v>
      </c>
      <c r="R44" s="289" t="s">
        <v>261</v>
      </c>
      <c r="S44" s="289" t="s">
        <v>249</v>
      </c>
      <c r="T44" s="289" t="s">
        <v>262</v>
      </c>
      <c r="U44" s="294">
        <v>8.7100000000000009</v>
      </c>
    </row>
  </sheetData>
  <mergeCells count="1">
    <mergeCell ref="B1:M1"/>
  </mergeCells>
  <pageMargins left="0.7" right="0.7" top="0.75" bottom="0.75" header="0.3" footer="0.3"/>
  <pageSetup paperSize="5" scale="8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7"/>
  <sheetViews>
    <sheetView topLeftCell="A37" workbookViewId="0">
      <selection activeCell="G55" sqref="G55"/>
    </sheetView>
  </sheetViews>
  <sheetFormatPr defaultRowHeight="15"/>
  <cols>
    <col min="1" max="1" width="10.85546875" bestFit="1" customWidth="1"/>
    <col min="2" max="2" width="15.28515625" bestFit="1" customWidth="1"/>
    <col min="3" max="3" width="17.5703125" bestFit="1" customWidth="1"/>
    <col min="4" max="4" width="14.140625" bestFit="1" customWidth="1"/>
    <col min="5" max="5" width="20.7109375" bestFit="1" customWidth="1"/>
    <col min="6" max="6" width="17.42578125" bestFit="1" customWidth="1"/>
    <col min="7" max="7" width="12.7109375" bestFit="1" customWidth="1"/>
  </cols>
  <sheetData>
    <row r="1" spans="1:9" ht="30.75">
      <c r="A1" s="298">
        <v>2015</v>
      </c>
      <c r="B1" s="299" t="s">
        <v>263</v>
      </c>
      <c r="C1" s="300" t="s">
        <v>264</v>
      </c>
      <c r="D1" s="301" t="s">
        <v>265</v>
      </c>
      <c r="E1" s="302" t="s">
        <v>266</v>
      </c>
      <c r="F1" s="302" t="s">
        <v>267</v>
      </c>
      <c r="G1" s="303" t="s">
        <v>268</v>
      </c>
    </row>
    <row r="2" spans="1:9">
      <c r="A2" s="304" t="s">
        <v>10</v>
      </c>
      <c r="B2" s="305">
        <f>[32]Input!$N$19+[32]Input!$K$154</f>
        <v>41658273.200000003</v>
      </c>
      <c r="C2" s="306">
        <f>61.61/1000</f>
        <v>6.1609999999999998E-2</v>
      </c>
      <c r="D2" s="306">
        <f>50.68/1000</f>
        <v>5.0680000000000003E-2</v>
      </c>
      <c r="E2" s="307">
        <f>B2*C2</f>
        <v>2566566.2118520001</v>
      </c>
      <c r="F2" s="307">
        <f>B2*D2</f>
        <v>2111241.2857760005</v>
      </c>
      <c r="G2" s="307">
        <f>F2-E2</f>
        <v>-455324.92607599963</v>
      </c>
    </row>
    <row r="3" spans="1:9">
      <c r="A3" s="304" t="s">
        <v>11</v>
      </c>
      <c r="B3" s="305">
        <f>[33]Input!$N$19+[33]Input!$K$154</f>
        <v>53083884.099999994</v>
      </c>
      <c r="C3" s="306">
        <f>40.95/1000</f>
        <v>4.095E-2</v>
      </c>
      <c r="D3" s="306">
        <f>39.61/1000</f>
        <v>3.9609999999999999E-2</v>
      </c>
      <c r="E3" s="307">
        <f t="shared" ref="E3:E4" si="0">B3*C3</f>
        <v>2173785.0538949999</v>
      </c>
      <c r="F3" s="307">
        <f t="shared" ref="F3:F4" si="1">B3*D3</f>
        <v>2102652.6492009996</v>
      </c>
      <c r="G3" s="307">
        <f t="shared" ref="G3:G4" si="2">F3-E3</f>
        <v>-71132.404694000259</v>
      </c>
    </row>
    <row r="4" spans="1:9">
      <c r="A4" s="304" t="s">
        <v>12</v>
      </c>
      <c r="B4" s="305">
        <f>[34]Input!$N$19+[34]Input!$K$154</f>
        <v>46675335</v>
      </c>
      <c r="C4" s="306">
        <f>57.4/1000</f>
        <v>5.74E-2</v>
      </c>
      <c r="D4" s="306">
        <f>62.9/1000</f>
        <v>6.2899999999999998E-2</v>
      </c>
      <c r="E4" s="307">
        <f t="shared" si="0"/>
        <v>2679164.2289999998</v>
      </c>
      <c r="F4" s="307">
        <f t="shared" si="1"/>
        <v>2935878.5715000001</v>
      </c>
      <c r="G4" s="307">
        <f t="shared" si="2"/>
        <v>256714.34250000026</v>
      </c>
    </row>
    <row r="5" spans="1:9">
      <c r="A5" s="304" t="s">
        <v>269</v>
      </c>
      <c r="B5" s="308">
        <f>SUM(B2:B4)</f>
        <v>141417492.30000001</v>
      </c>
      <c r="C5" s="309"/>
      <c r="D5" s="309"/>
      <c r="E5" s="307">
        <f>SUM(E2:E4)</f>
        <v>7419515.4947469998</v>
      </c>
      <c r="F5" s="307">
        <f>SUM(F2:F4)</f>
        <v>7149772.5064770002</v>
      </c>
      <c r="G5" s="307">
        <f>F5-E5</f>
        <v>-269742.98826999962</v>
      </c>
    </row>
    <row r="6" spans="1:9" ht="15.75" thickBot="1">
      <c r="A6" s="277"/>
      <c r="B6" s="310"/>
      <c r="C6" s="311"/>
      <c r="D6" s="311"/>
      <c r="E6" s="312"/>
      <c r="F6" s="313"/>
      <c r="G6" s="314">
        <f>SUM(G2:G4)</f>
        <v>-269742.98826999962</v>
      </c>
      <c r="H6" t="str">
        <f>IF(G6&lt;0,$I$7,$I$8)</f>
        <v>payment to IESO</v>
      </c>
    </row>
    <row r="7" spans="1:9">
      <c r="I7" s="315" t="s">
        <v>270</v>
      </c>
    </row>
    <row r="8" spans="1:9" ht="30.75">
      <c r="A8" s="298">
        <v>2015</v>
      </c>
      <c r="B8" s="299" t="s">
        <v>263</v>
      </c>
      <c r="C8" s="300" t="s">
        <v>264</v>
      </c>
      <c r="D8" s="301" t="s">
        <v>265</v>
      </c>
      <c r="E8" s="302" t="s">
        <v>266</v>
      </c>
      <c r="F8" s="302" t="s">
        <v>267</v>
      </c>
      <c r="G8" s="303" t="s">
        <v>268</v>
      </c>
      <c r="I8" s="315" t="s">
        <v>271</v>
      </c>
    </row>
    <row r="9" spans="1:9">
      <c r="A9" s="304" t="s">
        <v>13</v>
      </c>
      <c r="B9" s="305">
        <f>[35]Input!$N$19+[35]Input!$K$154</f>
        <v>48068961.009999998</v>
      </c>
      <c r="C9" s="306">
        <f>92.68/1000</f>
        <v>9.2680000000000012E-2</v>
      </c>
      <c r="D9" s="306">
        <f>95.59/1000</f>
        <v>9.5590000000000008E-2</v>
      </c>
      <c r="E9" s="307">
        <f>B9*C9</f>
        <v>4455031.3064068006</v>
      </c>
      <c r="F9" s="307">
        <f>B9*D9</f>
        <v>4594911.9829459004</v>
      </c>
      <c r="G9" s="307">
        <f>F9-E9</f>
        <v>139880.67653909978</v>
      </c>
    </row>
    <row r="10" spans="1:9">
      <c r="A10" s="304" t="s">
        <v>14</v>
      </c>
      <c r="B10" s="305">
        <f>[36]Input!$N$19+[36]Input!$K$154</f>
        <v>32736317.48</v>
      </c>
      <c r="C10" s="306">
        <f>97.3/1000</f>
        <v>9.7299999999999998E-2</v>
      </c>
      <c r="D10" s="306">
        <f>96.68/1000</f>
        <v>9.6680000000000002E-2</v>
      </c>
      <c r="E10" s="307">
        <f t="shared" ref="E10:E11" si="3">B10*C10</f>
        <v>3185243.690804</v>
      </c>
      <c r="F10" s="307">
        <f t="shared" ref="F10:F11" si="4">B10*D10</f>
        <v>3164947.1739664003</v>
      </c>
      <c r="G10" s="307">
        <f t="shared" ref="G10:G11" si="5">F10-E10</f>
        <v>-20296.516837599687</v>
      </c>
    </row>
    <row r="11" spans="1:9">
      <c r="A11" s="304" t="s">
        <v>15</v>
      </c>
      <c r="B11" s="305">
        <f>[37]Input!$N$19+[37]Input!$K$154</f>
        <v>44120112.169999994</v>
      </c>
      <c r="C11" s="306">
        <f>97.68/1000</f>
        <v>9.7680000000000003E-2</v>
      </c>
      <c r="D11" s="306">
        <f>95.4/1000</f>
        <v>9.5400000000000013E-2</v>
      </c>
      <c r="E11" s="307">
        <f t="shared" si="3"/>
        <v>4309652.5567655992</v>
      </c>
      <c r="F11" s="307">
        <f t="shared" si="4"/>
        <v>4209058.701018</v>
      </c>
      <c r="G11" s="307">
        <f t="shared" si="5"/>
        <v>-100593.85574759915</v>
      </c>
    </row>
    <row r="12" spans="1:9">
      <c r="A12" s="304" t="s">
        <v>269</v>
      </c>
      <c r="B12" s="308">
        <f>SUM(B9:B11)</f>
        <v>124925390.66</v>
      </c>
      <c r="C12" s="309"/>
      <c r="D12" s="309"/>
      <c r="E12" s="307">
        <f>SUM(E9:E11)</f>
        <v>11949927.5539764</v>
      </c>
      <c r="F12" s="307">
        <f>SUM(F9:F11)</f>
        <v>11968917.857930301</v>
      </c>
      <c r="G12" s="307">
        <f>F12-E12</f>
        <v>18990.303953900933</v>
      </c>
    </row>
    <row r="13" spans="1:9" ht="15.75" thickBot="1">
      <c r="A13" s="277"/>
      <c r="B13" s="310"/>
      <c r="C13" s="311"/>
      <c r="D13" s="311"/>
      <c r="E13" s="312"/>
      <c r="F13" s="313"/>
      <c r="G13" s="314">
        <f>SUM(G9:G11)</f>
        <v>18990.303953900933</v>
      </c>
      <c r="H13" t="str">
        <f>IF(G13&lt;0,$I$7,$I$8)</f>
        <v>Payment from IESO</v>
      </c>
    </row>
    <row r="15" spans="1:9" ht="30.75">
      <c r="A15" s="298">
        <v>2015</v>
      </c>
      <c r="B15" s="299" t="s">
        <v>263</v>
      </c>
      <c r="C15" s="300" t="s">
        <v>264</v>
      </c>
      <c r="D15" s="301" t="s">
        <v>265</v>
      </c>
      <c r="E15" s="302" t="s">
        <v>266</v>
      </c>
      <c r="F15" s="302" t="s">
        <v>267</v>
      </c>
      <c r="G15" s="303" t="s">
        <v>268</v>
      </c>
    </row>
    <row r="16" spans="1:9">
      <c r="A16" s="304" t="s">
        <v>16</v>
      </c>
      <c r="B16" s="305">
        <f>[38]Input!$N$19+[38]Input!$K$154</f>
        <v>36617859.309999995</v>
      </c>
      <c r="C16" s="306">
        <f>[38]Input!$I$18</f>
        <v>8.4129999999999996E-2</v>
      </c>
      <c r="D16" s="306">
        <f>78.83/1000</f>
        <v>7.8829999999999997E-2</v>
      </c>
      <c r="E16" s="307">
        <f>B16*C16</f>
        <v>3080660.5037502996</v>
      </c>
      <c r="F16" s="307">
        <f>B16*D16</f>
        <v>2886585.8494072994</v>
      </c>
      <c r="G16" s="307">
        <f>F16-E16</f>
        <v>-194074.65434300015</v>
      </c>
    </row>
    <row r="17" spans="1:8">
      <c r="A17" s="304" t="s">
        <v>17</v>
      </c>
      <c r="B17" s="305">
        <f>[39]Input!$N$19+[39]Input!$K$154</f>
        <v>40088742.420000002</v>
      </c>
      <c r="C17" s="306">
        <f>[39]Input!$I$18</f>
        <v>7.354999999999999E-2</v>
      </c>
      <c r="D17" s="306">
        <f>80.1/1000</f>
        <v>8.0099999999999991E-2</v>
      </c>
      <c r="E17" s="307">
        <f t="shared" ref="E17:E18" si="6">B17*C17</f>
        <v>2948527.0049909996</v>
      </c>
      <c r="F17" s="307">
        <f t="shared" ref="F17:F18" si="7">B17*D17</f>
        <v>3211108.2678419999</v>
      </c>
      <c r="G17" s="307">
        <f t="shared" ref="G17:G18" si="8">F17-E17</f>
        <v>262581.2628510003</v>
      </c>
    </row>
    <row r="18" spans="1:8">
      <c r="A18" s="304" t="s">
        <v>18</v>
      </c>
      <c r="B18" s="305">
        <f>[40]Input!$N$19+[40]Input!$K$154</f>
        <v>43143791.849999994</v>
      </c>
      <c r="C18" s="306">
        <f>[40]Input!$I$18</f>
        <v>7.1910000000000002E-2</v>
      </c>
      <c r="D18" s="306">
        <f>67.03/1000</f>
        <v>6.7030000000000006E-2</v>
      </c>
      <c r="E18" s="307">
        <f t="shared" si="6"/>
        <v>3102470.0719334995</v>
      </c>
      <c r="F18" s="307">
        <f t="shared" si="7"/>
        <v>2891928.3677054998</v>
      </c>
      <c r="G18" s="307">
        <f t="shared" si="8"/>
        <v>-210541.70422799978</v>
      </c>
    </row>
    <row r="19" spans="1:8">
      <c r="A19" s="304" t="s">
        <v>269</v>
      </c>
      <c r="B19" s="308">
        <f>SUM(B16:B18)</f>
        <v>119850393.57999998</v>
      </c>
      <c r="C19" s="309"/>
      <c r="D19" s="309"/>
      <c r="E19" s="307">
        <f>SUM(E16:E18)</f>
        <v>9131657.5806747973</v>
      </c>
      <c r="F19" s="307">
        <f>SUM(F16:F18)</f>
        <v>8989622.4849547986</v>
      </c>
      <c r="G19" s="307">
        <f>F19-E19</f>
        <v>-142035.0957199987</v>
      </c>
    </row>
    <row r="20" spans="1:8" ht="15.75" thickBot="1">
      <c r="A20" s="277"/>
      <c r="B20" s="310"/>
      <c r="C20" s="311"/>
      <c r="D20" s="311"/>
      <c r="E20" s="312"/>
      <c r="F20" s="313"/>
      <c r="G20" s="314">
        <f>SUM(G16:G18)</f>
        <v>-142035.09571999963</v>
      </c>
      <c r="H20" t="str">
        <f>IF(G20&lt;0,$I$7,$I$8)</f>
        <v>payment to IESO</v>
      </c>
    </row>
    <row r="22" spans="1:8" ht="30.75">
      <c r="A22" s="298">
        <v>2015</v>
      </c>
      <c r="B22" s="299" t="s">
        <v>263</v>
      </c>
      <c r="C22" s="300" t="s">
        <v>264</v>
      </c>
      <c r="D22" s="301" t="s">
        <v>265</v>
      </c>
      <c r="E22" s="302" t="s">
        <v>266</v>
      </c>
      <c r="F22" s="302" t="s">
        <v>267</v>
      </c>
      <c r="G22" s="303" t="s">
        <v>268</v>
      </c>
    </row>
    <row r="23" spans="1:8">
      <c r="A23" s="304" t="s">
        <v>19</v>
      </c>
      <c r="B23" s="305">
        <f>[41]Input!$N$19+[41]Input!$K$154</f>
        <v>44373273.189999998</v>
      </c>
      <c r="C23" s="306">
        <f>[41]Input!$I$18</f>
        <v>7.1930000000000008E-2</v>
      </c>
      <c r="D23" s="306">
        <f>75.44/1000</f>
        <v>7.5439999999999993E-2</v>
      </c>
      <c r="E23" s="307">
        <f>B23*C23</f>
        <v>3191769.5405567</v>
      </c>
      <c r="F23" s="307">
        <f>B23*D23</f>
        <v>3347519.7294535995</v>
      </c>
      <c r="G23" s="307">
        <f>F23-E23</f>
        <v>155750.18889689958</v>
      </c>
    </row>
    <row r="24" spans="1:8">
      <c r="A24" s="304" t="s">
        <v>272</v>
      </c>
      <c r="B24" s="305">
        <f>[42]Input!$N$19+[42]Input!$K$154</f>
        <v>41147966.780000001</v>
      </c>
      <c r="C24" s="306">
        <f>[42]Input!$I$18</f>
        <v>0.12448000000000001</v>
      </c>
      <c r="D24" s="306">
        <f>113.2/1000</f>
        <v>0.11320000000000001</v>
      </c>
      <c r="E24" s="307">
        <f t="shared" ref="E24:E25" si="9">B24*C24</f>
        <v>5122098.9047744004</v>
      </c>
      <c r="F24" s="307">
        <f t="shared" ref="F24:F25" si="10">B24*D24</f>
        <v>4657949.8394960007</v>
      </c>
      <c r="G24" s="307">
        <f t="shared" ref="G24:G25" si="11">F24-E24</f>
        <v>-464149.06527839974</v>
      </c>
    </row>
    <row r="25" spans="1:8">
      <c r="A25" s="304" t="s">
        <v>21</v>
      </c>
      <c r="B25" s="305">
        <f>[43]Input!$N$19+[43]Input!$K$154</f>
        <v>47201238.269999996</v>
      </c>
      <c r="C25" s="306">
        <f>[43]Input!$I$18</f>
        <v>8.8090000000000002E-2</v>
      </c>
      <c r="D25" s="306">
        <f>94.71/1000</f>
        <v>9.4709999999999989E-2</v>
      </c>
      <c r="E25" s="307">
        <f t="shared" si="9"/>
        <v>4157957.0792042995</v>
      </c>
      <c r="F25" s="307">
        <f t="shared" si="10"/>
        <v>4470429.2765516993</v>
      </c>
      <c r="G25" s="307">
        <f t="shared" si="11"/>
        <v>312472.19734739978</v>
      </c>
    </row>
    <row r="26" spans="1:8">
      <c r="A26" s="304" t="s">
        <v>269</v>
      </c>
      <c r="B26" s="308">
        <f>SUM(B23:B25)</f>
        <v>132722478.23999999</v>
      </c>
      <c r="C26" s="309"/>
      <c r="D26" s="309"/>
      <c r="E26" s="307">
        <f>SUM(E23:E25)</f>
        <v>12471825.524535399</v>
      </c>
      <c r="F26" s="307">
        <f>SUM(F23:F25)</f>
        <v>12475898.8455013</v>
      </c>
      <c r="G26" s="307">
        <f>F26-E26</f>
        <v>4073.3209659010172</v>
      </c>
    </row>
    <row r="27" spans="1:8" ht="15.75" thickBot="1">
      <c r="A27" s="277"/>
      <c r="B27" s="310"/>
      <c r="C27" s="311"/>
      <c r="D27" s="311"/>
      <c r="E27" s="312"/>
      <c r="F27" s="313"/>
      <c r="G27" s="314">
        <f>SUM(G23:G25)</f>
        <v>4073.3209658996202</v>
      </c>
      <c r="H27" t="str">
        <f>IF(G27&lt;0,$I$7,$I$8)</f>
        <v>Payment from IESO</v>
      </c>
    </row>
    <row r="29" spans="1:8" ht="30.75">
      <c r="A29" s="298">
        <v>2016</v>
      </c>
      <c r="B29" s="299" t="s">
        <v>263</v>
      </c>
      <c r="C29" s="300" t="s">
        <v>264</v>
      </c>
      <c r="D29" s="301" t="s">
        <v>265</v>
      </c>
      <c r="E29" s="302" t="s">
        <v>266</v>
      </c>
      <c r="F29" s="302" t="s">
        <v>267</v>
      </c>
      <c r="G29" s="303" t="s">
        <v>268</v>
      </c>
    </row>
    <row r="30" spans="1:8">
      <c r="A30" s="304" t="s">
        <v>10</v>
      </c>
      <c r="B30" s="305">
        <f>[44]Input!$N$19+[44]Input!$K$154</f>
        <v>38668048.939999998</v>
      </c>
      <c r="C30" s="306">
        <f>[44]Input!$I$18</f>
        <v>9.214E-2</v>
      </c>
      <c r="D30" s="306">
        <f>91.79/1000</f>
        <v>9.179000000000001E-2</v>
      </c>
      <c r="E30" s="307">
        <f>B30*C30</f>
        <v>3562874.0293315998</v>
      </c>
      <c r="F30" s="307">
        <f>B30*D30</f>
        <v>3549340.2122026002</v>
      </c>
      <c r="G30" s="307">
        <f>F30-E30</f>
        <v>-13533.817128999624</v>
      </c>
    </row>
    <row r="31" spans="1:8">
      <c r="A31" s="304" t="s">
        <v>11</v>
      </c>
      <c r="B31" s="305">
        <f>[45]Input!$N$19+[45]Input!$K$154</f>
        <v>46778375.449999988</v>
      </c>
      <c r="C31" s="306">
        <f>[45]Input!$I$18</f>
        <v>9.6780000000000005E-2</v>
      </c>
      <c r="D31" s="306">
        <f>98.51/1000</f>
        <v>9.851E-2</v>
      </c>
      <c r="E31" s="307">
        <f t="shared" ref="E31:E32" si="12">B31*C31</f>
        <v>4527211.1760509992</v>
      </c>
      <c r="F31" s="307">
        <f t="shared" ref="F31:F32" si="13">B31*D31</f>
        <v>4608137.7655794993</v>
      </c>
      <c r="G31" s="307">
        <f t="shared" ref="G31:G32" si="14">F31-E31</f>
        <v>80926.589528500102</v>
      </c>
    </row>
    <row r="32" spans="1:8">
      <c r="A32" s="304" t="s">
        <v>12</v>
      </c>
      <c r="B32" s="305">
        <f>[46]Input!$N$19+[46]Input!$K$154</f>
        <v>49604207.400000006</v>
      </c>
      <c r="C32" s="306">
        <f>[46]Input!$I$18</f>
        <v>0.10299</v>
      </c>
      <c r="D32" s="306">
        <f>106.1/1000</f>
        <v>0.1061</v>
      </c>
      <c r="E32" s="307">
        <f t="shared" si="12"/>
        <v>5108737.3201260008</v>
      </c>
      <c r="F32" s="307">
        <f t="shared" si="13"/>
        <v>5263006.4051400004</v>
      </c>
      <c r="G32" s="307">
        <f t="shared" si="14"/>
        <v>154269.0850139996</v>
      </c>
    </row>
    <row r="33" spans="1:8">
      <c r="A33" s="304" t="s">
        <v>269</v>
      </c>
      <c r="B33" s="308">
        <f>SUM(B30:B32)</f>
        <v>135050631.78999999</v>
      </c>
      <c r="C33" s="309"/>
      <c r="D33" s="309"/>
      <c r="E33" s="307">
        <f>SUM(E30:E32)</f>
        <v>13198822.525508599</v>
      </c>
      <c r="F33" s="307">
        <f>SUM(F30:F32)</f>
        <v>13420484.3829221</v>
      </c>
      <c r="G33" s="307">
        <f>F33-E33</f>
        <v>221661.85741350055</v>
      </c>
    </row>
    <row r="34" spans="1:8" ht="15.75" thickBot="1">
      <c r="A34" s="277"/>
      <c r="B34" s="310"/>
      <c r="C34" s="311"/>
      <c r="D34" s="311"/>
      <c r="E34" s="312"/>
      <c r="F34" s="313"/>
      <c r="G34" s="314">
        <f>SUM(G30:G32)</f>
        <v>221661.85741350008</v>
      </c>
      <c r="H34" t="str">
        <f>IF(G34&lt;0,$I$7,$I$8)</f>
        <v>Payment from IESO</v>
      </c>
    </row>
    <row r="36" spans="1:8" ht="30.75">
      <c r="A36" s="298">
        <v>2016</v>
      </c>
      <c r="B36" s="299" t="s">
        <v>263</v>
      </c>
      <c r="C36" s="300" t="s">
        <v>264</v>
      </c>
      <c r="D36" s="301" t="s">
        <v>265</v>
      </c>
      <c r="E36" s="302" t="s">
        <v>266</v>
      </c>
      <c r="F36" s="302" t="s">
        <v>267</v>
      </c>
      <c r="G36" s="303" t="s">
        <v>268</v>
      </c>
    </row>
    <row r="37" spans="1:8">
      <c r="A37" s="304" t="s">
        <v>13</v>
      </c>
      <c r="B37" s="305">
        <f>[47]Input!$N$19+[47]Input!$K$154</f>
        <v>35380635.419999994</v>
      </c>
      <c r="C37" s="306">
        <f>[47]Input!$I$18</f>
        <v>0.11176999999999999</v>
      </c>
      <c r="D37" s="306">
        <f>111.32/1000</f>
        <v>0.11131999999999999</v>
      </c>
      <c r="E37" s="307">
        <f>B37*C37</f>
        <v>3954493.6208933992</v>
      </c>
      <c r="F37" s="307">
        <f>B37*D37</f>
        <v>3938572.3349543991</v>
      </c>
      <c r="G37" s="307">
        <f>F37-E37</f>
        <v>-15921.285939000081</v>
      </c>
    </row>
    <row r="38" spans="1:8">
      <c r="A38" s="304" t="s">
        <v>14</v>
      </c>
      <c r="B38" s="305">
        <f>[48]Input!$N$19+[48]Input!$K$154</f>
        <v>43157178.940000005</v>
      </c>
      <c r="C38" s="306">
        <f>[48]Input!$I$18</f>
        <v>0.11493</v>
      </c>
      <c r="D38" s="306">
        <f>107.49/1000</f>
        <v>0.10748999999999999</v>
      </c>
      <c r="E38" s="307">
        <f t="shared" ref="E38:E39" si="15">B38*C38</f>
        <v>4960054.5755742006</v>
      </c>
      <c r="F38" s="307">
        <f t="shared" ref="F38:F39" si="16">B38*D38</f>
        <v>4638965.1642605998</v>
      </c>
      <c r="G38" s="307">
        <f t="shared" ref="G38:G39" si="17">F38-E38</f>
        <v>-321089.41131360084</v>
      </c>
    </row>
    <row r="39" spans="1:8">
      <c r="A39" s="304" t="s">
        <v>15</v>
      </c>
      <c r="B39" s="305">
        <f>[49]Input!$N$19+[49]Input!$K$154</f>
        <v>37111774.199999996</v>
      </c>
      <c r="C39" s="306">
        <f>[49]Input!$I$18</f>
        <v>9.3599999999999989E-2</v>
      </c>
      <c r="D39" s="306">
        <f>95.45/1000</f>
        <v>9.5450000000000007E-2</v>
      </c>
      <c r="E39" s="307">
        <f t="shared" si="15"/>
        <v>3473662.065119999</v>
      </c>
      <c r="F39" s="307">
        <f t="shared" si="16"/>
        <v>3542318.8473899998</v>
      </c>
      <c r="G39" s="307">
        <f t="shared" si="17"/>
        <v>68656.782270000782</v>
      </c>
    </row>
    <row r="40" spans="1:8">
      <c r="A40" s="304" t="s">
        <v>269</v>
      </c>
      <c r="B40" s="308">
        <f>SUM(B37:B39)</f>
        <v>115649588.56</v>
      </c>
      <c r="C40" s="309"/>
      <c r="D40" s="309"/>
      <c r="E40" s="307">
        <f>SUM(E37:E39)</f>
        <v>12388210.261587599</v>
      </c>
      <c r="F40" s="307">
        <f>SUM(F37:F39)</f>
        <v>12119856.346604999</v>
      </c>
      <c r="G40" s="307">
        <f>F40-E40</f>
        <v>-268353.91498260014</v>
      </c>
    </row>
    <row r="41" spans="1:8" ht="15.75" thickBot="1">
      <c r="A41" s="277"/>
      <c r="B41" s="310"/>
      <c r="C41" s="311"/>
      <c r="D41" s="311"/>
      <c r="E41" s="312"/>
      <c r="F41" s="313"/>
      <c r="G41" s="314">
        <f>SUM(G37:G39)</f>
        <v>-268353.91498260014</v>
      </c>
      <c r="H41" t="str">
        <f>IF(G41&lt;0,$I$7,$I$8)</f>
        <v>payment to IESO</v>
      </c>
    </row>
    <row r="43" spans="1:8" ht="30.75">
      <c r="A43" s="298">
        <v>2016</v>
      </c>
      <c r="B43" s="299" t="s">
        <v>263</v>
      </c>
      <c r="C43" s="300" t="s">
        <v>264</v>
      </c>
      <c r="D43" s="301" t="s">
        <v>265</v>
      </c>
      <c r="E43" s="302" t="s">
        <v>266</v>
      </c>
      <c r="F43" s="302" t="s">
        <v>267</v>
      </c>
      <c r="G43" s="303" t="s">
        <v>268</v>
      </c>
    </row>
    <row r="44" spans="1:8">
      <c r="A44" s="304" t="s">
        <v>16</v>
      </c>
      <c r="B44" s="305">
        <f>[50]Input!$N$19+[50]Input!$K$154</f>
        <v>35487171.979999997</v>
      </c>
      <c r="C44" s="306">
        <f>[50]Input!$I$18</f>
        <v>8.412E-2</v>
      </c>
      <c r="D44" s="306">
        <f>83.06/1000</f>
        <v>8.3060000000000009E-2</v>
      </c>
      <c r="E44" s="307">
        <f>B44*C44</f>
        <v>2985180.9069575998</v>
      </c>
      <c r="F44" s="307">
        <f>B44*D44</f>
        <v>2947564.5046588001</v>
      </c>
      <c r="G44" s="307">
        <f>F44-E44</f>
        <v>-37616.402298799716</v>
      </c>
    </row>
    <row r="45" spans="1:8">
      <c r="A45" s="304" t="s">
        <v>17</v>
      </c>
      <c r="B45" s="305">
        <f>[51]Input!$N$19+[51]Input!$K$154</f>
        <v>56554635.380000003</v>
      </c>
      <c r="C45" s="306">
        <f>[51]Input!$I$18</f>
        <v>7.0499999999999993E-2</v>
      </c>
      <c r="D45" s="306">
        <f>71.03/1000</f>
        <v>7.1029999999999996E-2</v>
      </c>
      <c r="E45" s="307">
        <f t="shared" ref="E45:E46" si="18">B45*C45</f>
        <v>3987101.7942899996</v>
      </c>
      <c r="F45" s="307">
        <f t="shared" ref="F45:F46" si="19">B45*D45</f>
        <v>4017075.7510413998</v>
      </c>
      <c r="G45" s="307">
        <f t="shared" ref="G45:G46" si="20">F45-E45</f>
        <v>29973.956751400139</v>
      </c>
    </row>
    <row r="46" spans="1:8">
      <c r="A46" s="304" t="s">
        <v>18</v>
      </c>
      <c r="B46" s="305">
        <f>[52]Input!$N$19+[52]Input!$K$154</f>
        <v>47411688.789999999</v>
      </c>
      <c r="C46" s="306">
        <f>[52]Input!$I$18</f>
        <v>9.1480000000000006E-2</v>
      </c>
      <c r="D46" s="306">
        <f>95.31/1000</f>
        <v>9.5310000000000006E-2</v>
      </c>
      <c r="E46" s="307">
        <f t="shared" si="18"/>
        <v>4337221.2905092007</v>
      </c>
      <c r="F46" s="307">
        <f t="shared" si="19"/>
        <v>4518808.0585749</v>
      </c>
      <c r="G46" s="307">
        <f t="shared" si="20"/>
        <v>181586.76806569938</v>
      </c>
    </row>
    <row r="47" spans="1:8">
      <c r="A47" s="304" t="s">
        <v>269</v>
      </c>
      <c r="B47" s="308">
        <f>SUM(B44:B46)</f>
        <v>139453496.15000001</v>
      </c>
      <c r="C47" s="309"/>
      <c r="D47" s="309"/>
      <c r="E47" s="307">
        <f>SUM(E44:E46)</f>
        <v>11309503.991756801</v>
      </c>
      <c r="F47" s="307">
        <f>SUM(F44:F46)</f>
        <v>11483448.314275101</v>
      </c>
      <c r="G47" s="307">
        <f>F47-E47</f>
        <v>173944.32251830027</v>
      </c>
    </row>
    <row r="48" spans="1:8" ht="15.75" thickBot="1">
      <c r="A48" s="277"/>
      <c r="B48" s="310"/>
      <c r="C48" s="311"/>
      <c r="D48" s="311"/>
      <c r="E48" s="312"/>
      <c r="F48" s="313"/>
      <c r="G48" s="314">
        <f>SUM(G44:G46)</f>
        <v>173944.3225182998</v>
      </c>
      <c r="H48" t="str">
        <f>IF(G48&lt;0,$I$7,$I$8)</f>
        <v>Payment from IESO</v>
      </c>
    </row>
    <row r="50" spans="1:8" ht="30.75">
      <c r="A50" s="298">
        <v>2016</v>
      </c>
      <c r="B50" s="299" t="s">
        <v>263</v>
      </c>
      <c r="C50" s="300" t="s">
        <v>264</v>
      </c>
      <c r="D50" s="301" t="s">
        <v>265</v>
      </c>
      <c r="E50" s="302" t="s">
        <v>266</v>
      </c>
      <c r="F50" s="302" t="s">
        <v>267</v>
      </c>
      <c r="G50" s="303" t="s">
        <v>268</v>
      </c>
    </row>
    <row r="51" spans="1:8">
      <c r="A51" s="304" t="s">
        <v>19</v>
      </c>
      <c r="B51" s="305">
        <f>[53]Input!$N$19+[53]Input!$K$154</f>
        <v>40845801.131999992</v>
      </c>
      <c r="C51" s="306">
        <f>[53]Input!$I$18</f>
        <v>0.1178</v>
      </c>
      <c r="D51" s="306">
        <f>112.26/1000</f>
        <v>0.11226</v>
      </c>
      <c r="E51" s="307">
        <f>B51*C51</f>
        <v>4811635.3733495995</v>
      </c>
      <c r="F51" s="307">
        <f>B51*D51</f>
        <v>4585349.6350783193</v>
      </c>
      <c r="G51" s="307">
        <f>F51-E51</f>
        <v>-226285.73827128019</v>
      </c>
    </row>
    <row r="52" spans="1:8">
      <c r="A52" s="304" t="s">
        <v>272</v>
      </c>
      <c r="B52" s="305">
        <f>[54]Input!$N$19+[54]Input!$K$154</f>
        <v>37789022.370000005</v>
      </c>
      <c r="C52" s="306">
        <f>[54]Input!$I$18</f>
        <v>0.115</v>
      </c>
      <c r="D52" s="306">
        <f>111.09/1000</f>
        <v>0.11109000000000001</v>
      </c>
      <c r="E52" s="307">
        <f t="shared" ref="E52:E53" si="21">B52*C52</f>
        <v>4345737.5725500006</v>
      </c>
      <c r="F52" s="307">
        <f t="shared" ref="F52:F53" si="22">B52*D52</f>
        <v>4197982.4950833004</v>
      </c>
      <c r="G52" s="307">
        <f t="shared" ref="G52:G53" si="23">F52-E52</f>
        <v>-147755.07746670023</v>
      </c>
    </row>
    <row r="53" spans="1:8">
      <c r="A53" s="304" t="s">
        <v>21</v>
      </c>
      <c r="B53" s="305">
        <f>[55]Input!$N$19+[55]Input!$K$160</f>
        <v>38163452.100000001</v>
      </c>
      <c r="C53" s="306">
        <f>[55]Input!$I$18</f>
        <v>7.8719999999999998E-2</v>
      </c>
      <c r="D53" s="306">
        <f>87.08/1000</f>
        <v>8.7080000000000005E-2</v>
      </c>
      <c r="E53" s="307">
        <f t="shared" si="21"/>
        <v>3004226.9493120001</v>
      </c>
      <c r="F53" s="307">
        <f t="shared" si="22"/>
        <v>3323273.4088680004</v>
      </c>
      <c r="G53" s="307">
        <f t="shared" si="23"/>
        <v>319046.45955600031</v>
      </c>
    </row>
    <row r="54" spans="1:8">
      <c r="A54" s="304" t="s">
        <v>269</v>
      </c>
      <c r="B54" s="308">
        <f>SUM(B51:B53)</f>
        <v>116798275.602</v>
      </c>
      <c r="C54" s="309"/>
      <c r="D54" s="309"/>
      <c r="E54" s="307">
        <f>SUM(E51:E53)</f>
        <v>12161599.8952116</v>
      </c>
      <c r="F54" s="307">
        <f>SUM(F51:F53)</f>
        <v>12106605.539029621</v>
      </c>
      <c r="G54" s="307">
        <f>F54-E54</f>
        <v>-54994.356181979179</v>
      </c>
    </row>
    <row r="55" spans="1:8" ht="15.75" thickBot="1">
      <c r="A55" s="277"/>
      <c r="B55" s="310"/>
      <c r="C55" s="311"/>
      <c r="D55" s="311"/>
      <c r="E55" s="312"/>
      <c r="F55" s="313"/>
      <c r="G55" s="314">
        <f>SUM(G51:G53)</f>
        <v>-54994.356181980111</v>
      </c>
      <c r="H55" t="str">
        <f>IF(G55&lt;0,$I$7,$I$8)</f>
        <v>payment to IESO</v>
      </c>
    </row>
    <row r="57" spans="1:8">
      <c r="G57" s="316">
        <f>-G27+G55</f>
        <v>-59067.677147879731</v>
      </c>
      <c r="H57" t="str">
        <f>IF(G57&lt;0,$I$7,$I$8)</f>
        <v>payment to IESO</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O42"/>
  <sheetViews>
    <sheetView workbookViewId="0">
      <selection activeCell="D5" sqref="D5:D16"/>
    </sheetView>
  </sheetViews>
  <sheetFormatPr defaultColWidth="9.140625" defaultRowHeight="15"/>
  <cols>
    <col min="1" max="1" width="2" style="317" customWidth="1"/>
    <col min="2" max="2" width="10.140625" style="317" customWidth="1"/>
    <col min="3" max="3" width="18.85546875" style="317" bestFit="1" customWidth="1"/>
    <col min="4" max="4" width="18.5703125" style="317" customWidth="1"/>
    <col min="5" max="5" width="20.140625" style="317" bestFit="1" customWidth="1"/>
    <col min="6" max="6" width="20" style="317" customWidth="1"/>
    <col min="7" max="7" width="18.7109375" style="317" customWidth="1"/>
    <col min="8" max="8" width="14.28515625" style="317" bestFit="1" customWidth="1"/>
    <col min="9" max="10" width="15.5703125" style="317" customWidth="1"/>
    <col min="11" max="16384" width="9.140625" style="317"/>
  </cols>
  <sheetData>
    <row r="2" spans="2:15" ht="25.5" customHeight="1">
      <c r="B2" s="397" t="s">
        <v>273</v>
      </c>
      <c r="C2" s="397"/>
      <c r="D2" s="397"/>
      <c r="E2" s="397"/>
      <c r="F2" s="397"/>
      <c r="G2" s="397"/>
    </row>
    <row r="3" spans="2:15" ht="63">
      <c r="B3" s="398" t="s">
        <v>274</v>
      </c>
      <c r="C3" s="318" t="s">
        <v>275</v>
      </c>
      <c r="D3" s="318" t="s">
        <v>276</v>
      </c>
      <c r="E3" s="318" t="s">
        <v>277</v>
      </c>
      <c r="F3" s="318" t="s">
        <v>278</v>
      </c>
      <c r="G3" s="318" t="s">
        <v>279</v>
      </c>
      <c r="H3" s="319" t="s">
        <v>280</v>
      </c>
      <c r="I3" s="320"/>
      <c r="J3" s="320"/>
      <c r="K3" s="320"/>
      <c r="L3" s="320"/>
      <c r="M3" s="320"/>
      <c r="N3" s="320"/>
      <c r="O3" s="320"/>
    </row>
    <row r="4" spans="2:15" ht="15.75">
      <c r="B4" s="399"/>
      <c r="C4" s="318" t="s">
        <v>1</v>
      </c>
      <c r="D4" s="318" t="s">
        <v>204</v>
      </c>
      <c r="E4" s="318" t="s">
        <v>205</v>
      </c>
      <c r="F4" s="318" t="s">
        <v>281</v>
      </c>
      <c r="G4" s="318" t="s">
        <v>282</v>
      </c>
    </row>
    <row r="5" spans="2:15">
      <c r="B5" s="321">
        <v>42370</v>
      </c>
      <c r="C5" s="322">
        <f>'[56]Jan 2016_CNF-GUELPHHYDRO_ST-P-P'!$X$26</f>
        <v>9.2020185701217574E-2</v>
      </c>
      <c r="D5" s="322">
        <f>I22</f>
        <v>9.179530161323915E-2</v>
      </c>
      <c r="E5" s="322">
        <v>9.1789999999999997E-2</v>
      </c>
      <c r="F5" s="322">
        <f t="shared" ref="F5:F16" si="0">C5-E5</f>
        <v>2.3018570121757786E-4</v>
      </c>
      <c r="G5" s="322">
        <f>D5-E5</f>
        <v>5.3016132391531245E-6</v>
      </c>
    </row>
    <row r="6" spans="2:15">
      <c r="B6" s="321">
        <v>42401</v>
      </c>
      <c r="C6" s="322">
        <f>'[57]CNF-GUELPHHYDRO_ST-P-P_20160229'!$X$29</f>
        <v>9.8881172659946295E-2</v>
      </c>
      <c r="D6" s="322">
        <f t="shared" ref="D6:D16" si="1">I23</f>
        <v>9.8514453181481873E-2</v>
      </c>
      <c r="E6" s="322">
        <v>9.851E-2</v>
      </c>
      <c r="F6" s="322">
        <f t="shared" si="0"/>
        <v>3.71172659946295E-4</v>
      </c>
      <c r="G6" s="322">
        <f t="shared" ref="G6:G16" si="2">D6-E6</f>
        <v>4.4531814818726811E-6</v>
      </c>
    </row>
    <row r="7" spans="2:15">
      <c r="B7" s="321">
        <v>42430</v>
      </c>
      <c r="C7" s="322">
        <f>'[58]CNF-GUELPHHYDRO_ST-P-P_20160331'!$X$26</f>
        <v>0.10674920898216179</v>
      </c>
      <c r="D7" s="322">
        <f t="shared" si="1"/>
        <v>0.10609308915487416</v>
      </c>
      <c r="E7" s="322">
        <v>0.1061</v>
      </c>
      <c r="F7" s="322">
        <f t="shared" si="0"/>
        <v>6.4920898216179468E-4</v>
      </c>
      <c r="G7" s="322">
        <f t="shared" si="2"/>
        <v>-6.910845125843168E-6</v>
      </c>
    </row>
    <row r="8" spans="2:15">
      <c r="B8" s="321">
        <v>42461</v>
      </c>
      <c r="C8" s="322">
        <f>'[59]CNF-GUELPHHYDRO_ST-P-P_20160430'!$X$26</f>
        <v>0.11239744760358679</v>
      </c>
      <c r="D8" s="322">
        <f t="shared" si="1"/>
        <v>0.1113269189575269</v>
      </c>
      <c r="E8" s="322">
        <v>0.11132</v>
      </c>
      <c r="F8" s="322">
        <f t="shared" si="0"/>
        <v>1.0774476035867869E-3</v>
      </c>
      <c r="G8" s="322">
        <f t="shared" si="2"/>
        <v>6.9189575268996384E-6</v>
      </c>
    </row>
    <row r="9" spans="2:15">
      <c r="B9" s="321">
        <v>42491</v>
      </c>
      <c r="C9" s="322">
        <f>'[60]CNF-GUELPHHYDRO_ST-P-P_20160531'!$X$26</f>
        <v>0.10901059847286008</v>
      </c>
      <c r="D9" s="322">
        <f t="shared" si="1"/>
        <v>0.10748673519859221</v>
      </c>
      <c r="E9" s="322">
        <v>0.10749</v>
      </c>
      <c r="F9" s="322">
        <f t="shared" si="0"/>
        <v>1.5205984728600824E-3</v>
      </c>
      <c r="G9" s="322">
        <f t="shared" si="2"/>
        <v>-3.2648014077901744E-6</v>
      </c>
    </row>
    <row r="10" spans="2:15">
      <c r="B10" s="321">
        <v>42522</v>
      </c>
      <c r="C10" s="322">
        <f>'[61]CNF-GUELPHHYDRO_ST-P-P_20160630'!$X$23</f>
        <v>9.7030846134448859E-2</v>
      </c>
      <c r="D10" s="322">
        <f t="shared" si="1"/>
        <v>9.5455555642012843E-2</v>
      </c>
      <c r="E10" s="322">
        <v>9.5449999999999993E-2</v>
      </c>
      <c r="F10" s="322">
        <f t="shared" si="0"/>
        <v>1.5808461344488656E-3</v>
      </c>
      <c r="G10" s="322">
        <f t="shared" si="2"/>
        <v>5.5556420128499706E-6</v>
      </c>
    </row>
    <row r="11" spans="2:15">
      <c r="B11" s="321">
        <v>42552</v>
      </c>
      <c r="C11" s="322">
        <f>'[62]CNF-GUELPHHYDRO_ST-P-P_20160731'!$X$28</f>
        <v>8.4503900442052138E-2</v>
      </c>
      <c r="D11" s="322">
        <f t="shared" si="1"/>
        <v>8.3058822840268082E-2</v>
      </c>
      <c r="E11" s="322">
        <v>8.3059999999999995E-2</v>
      </c>
      <c r="F11" s="322">
        <f t="shared" si="0"/>
        <v>1.4439004420521429E-3</v>
      </c>
      <c r="G11" s="322">
        <f t="shared" si="2"/>
        <v>-1.1771597319132354E-6</v>
      </c>
    </row>
    <row r="12" spans="2:15">
      <c r="B12" s="321">
        <v>42583</v>
      </c>
      <c r="C12" s="322">
        <f>'[63]CNF-GUELPHHYDRO_ST-P-P_20160831'!$X$22</f>
        <v>7.2083864483660026E-2</v>
      </c>
      <c r="D12" s="322">
        <f t="shared" si="1"/>
        <v>7.1031563800019251E-2</v>
      </c>
      <c r="E12" s="322">
        <v>7.1029999999999996E-2</v>
      </c>
      <c r="F12" s="322">
        <f t="shared" si="0"/>
        <v>1.0538644836600303E-3</v>
      </c>
      <c r="G12" s="322">
        <f t="shared" si="2"/>
        <v>1.5638000192552681E-6</v>
      </c>
    </row>
    <row r="13" spans="2:15">
      <c r="B13" s="321">
        <v>42614</v>
      </c>
      <c r="C13" s="322">
        <f>'[64]CNF-GUELPHHYDRO_ST-P-P_20160930'!$X$30</f>
        <v>9.6737940988535331E-2</v>
      </c>
      <c r="D13" s="322">
        <f t="shared" si="1"/>
        <v>9.530287275227961E-2</v>
      </c>
      <c r="E13" s="322">
        <v>9.5310000000000006E-2</v>
      </c>
      <c r="F13" s="322">
        <f t="shared" si="0"/>
        <v>1.4279409885353256E-3</v>
      </c>
      <c r="G13" s="322">
        <f t="shared" si="2"/>
        <v>-7.1272477203954132E-6</v>
      </c>
    </row>
    <row r="14" spans="2:15">
      <c r="B14" s="321">
        <v>42644</v>
      </c>
      <c r="C14" s="322">
        <f>'[65]CNF-GUELPHHYDRO_ST-P-P_20161031'!$X$20</f>
        <v>0.11370472816756631</v>
      </c>
      <c r="D14" s="322">
        <f t="shared" si="1"/>
        <v>0.11226123121991324</v>
      </c>
      <c r="E14" s="322">
        <v>0.11226</v>
      </c>
      <c r="F14" s="322">
        <f t="shared" si="0"/>
        <v>1.4447281675663143E-3</v>
      </c>
      <c r="G14" s="322">
        <f t="shared" si="2"/>
        <v>1.2312199132447077E-6</v>
      </c>
    </row>
    <row r="15" spans="2:15">
      <c r="B15" s="321">
        <v>42675</v>
      </c>
      <c r="C15" s="322">
        <f>'[66]CNF-GUELPHHYDRO_ST-P-P_20161130'!$X$25</f>
        <v>0.1121163126961354</v>
      </c>
      <c r="D15" s="322">
        <f t="shared" si="1"/>
        <v>0.1110954550431961</v>
      </c>
      <c r="E15" s="322">
        <v>0.11108999999999999</v>
      </c>
      <c r="F15" s="322">
        <f t="shared" si="0"/>
        <v>1.0263126961354008E-3</v>
      </c>
      <c r="G15" s="322">
        <f t="shared" si="2"/>
        <v>5.455043196100906E-6</v>
      </c>
    </row>
    <row r="16" spans="2:15">
      <c r="B16" s="321">
        <v>42705</v>
      </c>
      <c r="C16" s="322">
        <f>'[67]CNF-GUELPHHYDRO_ST-P-P_20161231'!$X$20</f>
        <v>8.7595358220541319E-2</v>
      </c>
      <c r="D16" s="322">
        <f t="shared" si="1"/>
        <v>8.70784251552469E-2</v>
      </c>
      <c r="E16" s="322">
        <v>8.7080000000000005E-2</v>
      </c>
      <c r="F16" s="322">
        <f t="shared" si="0"/>
        <v>5.1535822054131486E-4</v>
      </c>
      <c r="G16" s="322">
        <f t="shared" si="2"/>
        <v>-1.5748447531049869E-6</v>
      </c>
    </row>
    <row r="19" spans="2:11" ht="20.25">
      <c r="B19" s="400" t="s">
        <v>283</v>
      </c>
      <c r="C19" s="400"/>
      <c r="D19" s="400"/>
      <c r="E19" s="400"/>
      <c r="F19" s="400"/>
      <c r="G19" s="400"/>
      <c r="H19" s="400"/>
      <c r="I19" s="400"/>
      <c r="J19" s="400"/>
    </row>
    <row r="20" spans="2:11" ht="78.75">
      <c r="B20" s="398" t="s">
        <v>274</v>
      </c>
      <c r="C20" s="318" t="s">
        <v>284</v>
      </c>
      <c r="D20" s="318" t="s">
        <v>285</v>
      </c>
      <c r="E20" s="318" t="s">
        <v>286</v>
      </c>
      <c r="F20" s="318" t="s">
        <v>287</v>
      </c>
      <c r="G20" s="318" t="s">
        <v>288</v>
      </c>
      <c r="H20" s="318" t="s">
        <v>289</v>
      </c>
      <c r="I20" s="318" t="s">
        <v>290</v>
      </c>
      <c r="J20" s="318" t="s">
        <v>291</v>
      </c>
    </row>
    <row r="21" spans="2:11" ht="15.75">
      <c r="B21" s="399"/>
      <c r="C21" s="323" t="s">
        <v>1</v>
      </c>
      <c r="D21" s="323" t="s">
        <v>204</v>
      </c>
      <c r="E21" s="323" t="s">
        <v>292</v>
      </c>
      <c r="F21" s="323" t="s">
        <v>4</v>
      </c>
      <c r="G21" s="323" t="s">
        <v>293</v>
      </c>
      <c r="H21" s="323" t="s">
        <v>40</v>
      </c>
      <c r="I21" s="323" t="s">
        <v>294</v>
      </c>
      <c r="J21" s="323" t="s">
        <v>295</v>
      </c>
    </row>
    <row r="22" spans="2:11">
      <c r="B22" s="321">
        <v>42370</v>
      </c>
      <c r="C22" s="324">
        <f>-'[56]Jan 2016_CNF-GUELPHHYDRO_ST-P-P'!$F$39</f>
        <v>10441315.59</v>
      </c>
      <c r="D22" s="325"/>
      <c r="E22" s="326">
        <f>C22+D22</f>
        <v>10441315.59</v>
      </c>
      <c r="F22" s="327">
        <v>10441541.789999999</v>
      </c>
      <c r="G22" s="327">
        <f>F22-E22</f>
        <v>226.19999999925494</v>
      </c>
      <c r="H22" s="328">
        <f>'[56]Jan 2016_CNF-GUELPHHYDRO_ST-P-P'!$X$39+'[56]Jan 2016_CNF-GUELPHHYDRO_ST-P-P'!$Y$39</f>
        <v>113748.107</v>
      </c>
      <c r="I22" s="322">
        <f>F22/H22/1000</f>
        <v>9.179530161323915E-2</v>
      </c>
      <c r="J22" s="322">
        <f>E22/H22/1000</f>
        <v>9.1793313008716709E-2</v>
      </c>
      <c r="K22" s="329"/>
    </row>
    <row r="23" spans="2:11">
      <c r="B23" s="321">
        <v>42401</v>
      </c>
      <c r="C23" s="324">
        <f>-'[57]CNF-GUELPHHYDRO_ST-P-P_20160229'!$F$40</f>
        <v>10470843.470000001</v>
      </c>
      <c r="D23" s="324">
        <f>-'[57]CNF-GUELPHHYDRO_ST-P-P_20160229'!$F$318</f>
        <v>-1533.44</v>
      </c>
      <c r="E23" s="326">
        <f t="shared" ref="E23:E33" si="3">C23+D23</f>
        <v>10469310.030000001</v>
      </c>
      <c r="F23" s="327">
        <v>10469839.16</v>
      </c>
      <c r="G23" s="327">
        <f t="shared" ref="G23:G33" si="4">F23-E23</f>
        <v>529.12999999895692</v>
      </c>
      <c r="H23" s="328">
        <f>'[57]CNF-GUELPHHYDRO_ST-P-P_20160229'!$X$40+'[57]CNF-GUELPHHYDRO_ST-P-P_20160229'!$Y$40</f>
        <v>106277.189</v>
      </c>
      <c r="I23" s="322">
        <f t="shared" ref="I23:I33" si="5">F23/H23/1000</f>
        <v>9.8514453181481873E-2</v>
      </c>
      <c r="J23" s="322">
        <f t="shared" ref="J23:J33" si="6">E23/H23/1000</f>
        <v>9.8509474408473491E-2</v>
      </c>
    </row>
    <row r="24" spans="2:11">
      <c r="B24" s="321">
        <v>42430</v>
      </c>
      <c r="C24" s="324">
        <f>-'[58]CNF-GUELPHHYDRO_ST-P-P_20160331'!$F$38</f>
        <v>11339067.49</v>
      </c>
      <c r="D24" s="324">
        <f>-'[58]CNF-GUELPHHYDRO_ST-P-P_20160331'!$F$303</f>
        <v>9031.4</v>
      </c>
      <c r="E24" s="326">
        <f t="shared" si="3"/>
        <v>11348098.890000001</v>
      </c>
      <c r="F24" s="327">
        <v>11348831.43</v>
      </c>
      <c r="G24" s="327">
        <f t="shared" si="4"/>
        <v>732.53999999910593</v>
      </c>
      <c r="H24" s="328">
        <f>'[58]CNF-GUELPHHYDRO_ST-P-P_20160331'!$X$38+'[58]CNF-GUELPHHYDRO_ST-P-P_20160331'!$Y$38</f>
        <v>106970.50599999999</v>
      </c>
      <c r="I24" s="322">
        <f t="shared" si="5"/>
        <v>0.10609308915487416</v>
      </c>
      <c r="J24" s="322">
        <f t="shared" si="6"/>
        <v>0.10608624109901847</v>
      </c>
    </row>
    <row r="25" spans="2:11">
      <c r="B25" s="321">
        <v>42461</v>
      </c>
      <c r="C25" s="324">
        <f>-'[59]CNF-GUELPHHYDRO_ST-P-P_20160430'!$F$39</f>
        <v>11165570.77</v>
      </c>
      <c r="D25" s="324"/>
      <c r="E25" s="326">
        <f t="shared" si="3"/>
        <v>11165570.77</v>
      </c>
      <c r="F25" s="327">
        <v>11168105.1</v>
      </c>
      <c r="G25" s="327">
        <f t="shared" si="4"/>
        <v>2534.3300000000745</v>
      </c>
      <c r="H25" s="328">
        <f>'[59]CNF-GUELPHHYDRO_ST-P-P_20160430'!$X$39+'[59]CNF-GUELPHHYDRO_ST-P-P_20160430'!$Y$39</f>
        <v>100318.10100000001</v>
      </c>
      <c r="I25" s="322">
        <f t="shared" si="5"/>
        <v>0.1113269189575269</v>
      </c>
      <c r="J25" s="322">
        <f t="shared" si="6"/>
        <v>0.1113016560191864</v>
      </c>
    </row>
    <row r="26" spans="2:11">
      <c r="B26" s="321">
        <v>42491</v>
      </c>
      <c r="C26" s="324">
        <f>-'[60]CNF-GUELPHHYDRO_ST-P-P_20160531'!$F$40</f>
        <v>10828737.93</v>
      </c>
      <c r="D26" s="324">
        <f>-'[60]CNF-GUELPHHYDRO_ST-P-P_20160531'!$F$368</f>
        <v>-12734.98</v>
      </c>
      <c r="E26" s="326">
        <f t="shared" si="3"/>
        <v>10816002.949999999</v>
      </c>
      <c r="F26" s="327">
        <v>10816900.939999999</v>
      </c>
      <c r="G26" s="327">
        <f t="shared" si="4"/>
        <v>897.99000000022352</v>
      </c>
      <c r="H26" s="328">
        <f>'[60]CNF-GUELPHHYDRO_ST-P-P_20160531'!$X$40+'[60]CNF-GUELPHHYDRO_ST-P-P_20160531'!$Y$40</f>
        <v>100634.75200000001</v>
      </c>
      <c r="I26" s="322">
        <f t="shared" si="5"/>
        <v>0.10748673519859221</v>
      </c>
      <c r="J26" s="322">
        <f t="shared" si="6"/>
        <v>0.10747781193915994</v>
      </c>
    </row>
    <row r="27" spans="2:11">
      <c r="B27" s="321">
        <v>42522</v>
      </c>
      <c r="C27" s="324">
        <f>-'[61]CNF-GUELPHHYDRO_ST-P-P_20160630'!$F$38</f>
        <v>9946320.2899999991</v>
      </c>
      <c r="D27" s="324">
        <f>-SUM('[61]CNF-GUELPHHYDRO_ST-P-P_20160630'!$F$369:$F$378)</f>
        <v>49760.570000000007</v>
      </c>
      <c r="E27" s="326">
        <f t="shared" si="3"/>
        <v>9996080.8599999994</v>
      </c>
      <c r="F27" s="327">
        <v>9998037.3300000001</v>
      </c>
      <c r="G27" s="327">
        <f t="shared" si="4"/>
        <v>1956.4700000006706</v>
      </c>
      <c r="H27" s="328">
        <f>'[61]CNF-GUELPHHYDRO_ST-P-P_20160630'!$X$38+'[61]CNF-GUELPHHYDRO_ST-P-P_20160630'!$Y$38</f>
        <v>104740.235</v>
      </c>
      <c r="I27" s="322">
        <f t="shared" si="5"/>
        <v>9.5455555642012843E-2</v>
      </c>
      <c r="J27" s="322">
        <f t="shared" si="6"/>
        <v>9.5436876382795952E-2</v>
      </c>
    </row>
    <row r="28" spans="2:11">
      <c r="B28" s="321">
        <v>42552</v>
      </c>
      <c r="C28" s="324">
        <f>-'[62]CNF-GUELPHHYDRO_ST-P-P_20160731'!$F$39</f>
        <v>9381230.9199999999</v>
      </c>
      <c r="D28" s="324">
        <f>-SUM('[62]CNF-GUELPHHYDRO_ST-P-P_20160731'!$F$369:$F$371)</f>
        <v>21124.16</v>
      </c>
      <c r="E28" s="326">
        <f t="shared" si="3"/>
        <v>9402355.0800000001</v>
      </c>
      <c r="F28" s="327">
        <v>9400925.0700000003</v>
      </c>
      <c r="G28" s="327">
        <f t="shared" si="4"/>
        <v>-1430.0099999997765</v>
      </c>
      <c r="H28" s="328">
        <f>'[62]CNF-GUELPHHYDRO_ST-P-P_20160731'!$X$39+'[62]CNF-GUELPHHYDRO_ST-P-P_20160731'!$Y$39</f>
        <v>113183.943</v>
      </c>
      <c r="I28" s="322">
        <f t="shared" si="5"/>
        <v>8.3058822840268082E-2</v>
      </c>
      <c r="J28" s="322">
        <f t="shared" si="6"/>
        <v>8.3071457229582465E-2</v>
      </c>
    </row>
    <row r="29" spans="2:11">
      <c r="B29" s="321">
        <v>42583</v>
      </c>
      <c r="C29" s="324">
        <f>-'[63]CNF-GUELPHHYDRO_ST-P-P_20160831'!$F$40</f>
        <v>8668261.8100000005</v>
      </c>
      <c r="D29" s="324">
        <f>-'[63]CNF-GUELPHHYDRO_ST-P-P_20160831'!$F$377</f>
        <v>1228.6099999999999</v>
      </c>
      <c r="E29" s="326">
        <f t="shared" si="3"/>
        <v>8669490.4199999999</v>
      </c>
      <c r="F29" s="327">
        <v>8670008.1899999995</v>
      </c>
      <c r="G29" s="327">
        <f t="shared" si="4"/>
        <v>517.76999999955297</v>
      </c>
      <c r="H29" s="328">
        <f>'[63]CNF-GUELPHHYDRO_ST-P-P_20160831'!$X$40+'[63]CNF-GUELPHHYDRO_ST-P-P_20160831'!$Y$40</f>
        <v>122058.52899999999</v>
      </c>
      <c r="I29" s="322">
        <f t="shared" si="5"/>
        <v>7.1031563800019251E-2</v>
      </c>
      <c r="J29" s="322">
        <f t="shared" si="6"/>
        <v>7.102732181869896E-2</v>
      </c>
    </row>
    <row r="30" spans="2:11">
      <c r="B30" s="321">
        <v>42614</v>
      </c>
      <c r="C30" s="324">
        <f>-'[64]CNF-GUELPHHYDRO_ST-P-P_20160930'!$F$40</f>
        <v>10185920.51</v>
      </c>
      <c r="D30" s="324">
        <f>-'[64]CNF-GUELPHHYDRO_ST-P-P_20160930'!$F$358</f>
        <v>-6360.21</v>
      </c>
      <c r="E30" s="326">
        <f>C30+D30</f>
        <v>10179560.299999999</v>
      </c>
      <c r="F30" s="327">
        <v>10183995.029999999</v>
      </c>
      <c r="G30" s="327">
        <f t="shared" si="4"/>
        <v>4434.730000000447</v>
      </c>
      <c r="H30" s="328">
        <f>'[64]CNF-GUELPHHYDRO_ST-P-P_20160930'!$X$40+'[64]CNF-GUELPHHYDRO_ST-P-P_20160930'!$Y$40</f>
        <v>106859.266</v>
      </c>
      <c r="I30" s="322">
        <f t="shared" si="5"/>
        <v>9.530287275227961E-2</v>
      </c>
      <c r="J30" s="322">
        <f t="shared" si="6"/>
        <v>9.5261372092898325E-2</v>
      </c>
    </row>
    <row r="31" spans="2:11">
      <c r="B31" s="321">
        <v>42644</v>
      </c>
      <c r="C31" s="324">
        <f>-'[65]CNF-GUELPHHYDRO_ST-P-P_20161031'!$F$38</f>
        <v>11437594.960000001</v>
      </c>
      <c r="D31" s="324"/>
      <c r="E31" s="326">
        <f t="shared" si="3"/>
        <v>11437594.960000001</v>
      </c>
      <c r="F31" s="327">
        <v>11438824.140000001</v>
      </c>
      <c r="G31" s="327">
        <f t="shared" si="4"/>
        <v>1229.179999999702</v>
      </c>
      <c r="H31" s="328">
        <f>'[65]CNF-GUELPHHYDRO_ST-P-P_20161031'!$X$38+'[65]CNF-GUELPHHYDRO_ST-P-P_20161031'!$Y$38</f>
        <v>101894.697</v>
      </c>
      <c r="I31" s="322">
        <f t="shared" si="5"/>
        <v>0.11226123121991324</v>
      </c>
      <c r="J31" s="322">
        <f t="shared" si="6"/>
        <v>0.1122491679817253</v>
      </c>
    </row>
    <row r="32" spans="2:11">
      <c r="B32" s="321">
        <v>42675</v>
      </c>
      <c r="C32" s="324">
        <f>-'[66]CNF-GUELPHHYDRO_ST-P-P_20161130'!$F$40</f>
        <v>11522517.869999999</v>
      </c>
      <c r="D32" s="324"/>
      <c r="E32" s="326">
        <f t="shared" si="3"/>
        <v>11522517.869999999</v>
      </c>
      <c r="F32" s="327">
        <v>11522145.470000001</v>
      </c>
      <c r="G32" s="327">
        <f t="shared" si="4"/>
        <v>-372.39999999850988</v>
      </c>
      <c r="H32" s="328">
        <f>'[66]CNF-GUELPHHYDRO_ST-P-P_20161130'!$X$40+'[66]CNF-GUELPHHYDRO_ST-P-P_20161130'!$Y$40</f>
        <v>103713.923</v>
      </c>
      <c r="I32" s="322">
        <f t="shared" si="5"/>
        <v>0.1110954550431961</v>
      </c>
      <c r="J32" s="322">
        <f t="shared" si="6"/>
        <v>0.11109904568936226</v>
      </c>
    </row>
    <row r="33" spans="2:10">
      <c r="B33" s="321">
        <v>42705</v>
      </c>
      <c r="C33" s="324">
        <f>-'[67]CNF-GUELPHHYDRO_ST-P-P_20161231'!$F$40</f>
        <v>9536142.2799999993</v>
      </c>
      <c r="D33" s="324">
        <f>-'[67]CNF-GUELPHHYDRO_ST-P-P_20161231'!$F$319</f>
        <v>-40.24</v>
      </c>
      <c r="E33" s="326">
        <f t="shared" si="3"/>
        <v>9536102.0399999991</v>
      </c>
      <c r="F33" s="327">
        <v>9539063.1199999992</v>
      </c>
      <c r="G33" s="327">
        <f t="shared" si="4"/>
        <v>2961.0800000000745</v>
      </c>
      <c r="H33" s="328">
        <f>'[67]CNF-GUELPHHYDRO_ST-P-P_20161231'!$X$40+'[67]CNF-GUELPHHYDRO_ST-P-P_20161231'!$Y$40</f>
        <v>109545.655</v>
      </c>
      <c r="I33" s="322">
        <f t="shared" si="5"/>
        <v>8.70784251552469E-2</v>
      </c>
      <c r="J33" s="322">
        <f t="shared" si="6"/>
        <v>8.7051394598900336E-2</v>
      </c>
    </row>
    <row r="34" spans="2:10">
      <c r="D34" s="330">
        <f>SUM(D22:D33)</f>
        <v>60475.87000000001</v>
      </c>
      <c r="E34" s="330">
        <f>SUM(E22:E33)</f>
        <v>124983999.75999999</v>
      </c>
      <c r="F34" s="330">
        <f>SUM(F22:F33)</f>
        <v>124998216.77</v>
      </c>
      <c r="G34" s="330">
        <f>SUM(G22:G33)</f>
        <v>14217.009999999776</v>
      </c>
    </row>
    <row r="35" spans="2:10">
      <c r="E35" s="330"/>
      <c r="F35" s="330"/>
      <c r="G35" s="330"/>
    </row>
    <row r="36" spans="2:10">
      <c r="B36" s="321">
        <v>42736</v>
      </c>
      <c r="C36" s="324">
        <f>-'[68]CNF-GUELPHHYDRO_ST-P-P_20170131'!$F$39</f>
        <v>9419115.4399999995</v>
      </c>
      <c r="D36" s="324"/>
      <c r="E36" s="326">
        <f>C36+D36</f>
        <v>9419115.4399999995</v>
      </c>
      <c r="F36" s="327">
        <v>9370013.8900000006</v>
      </c>
      <c r="G36" s="327">
        <f>F36-E36</f>
        <v>-49101.549999998882</v>
      </c>
      <c r="H36" s="328">
        <f>'[68]CNF-GUELPHHYDRO_ST-P-P_20170131'!$X$39+'[68]CNF-GUELPHHYDRO_ST-P-P_20170131'!$Y$39</f>
        <v>113873.689</v>
      </c>
      <c r="I36" s="322">
        <f>F36/H36/1000</f>
        <v>8.228427455265809E-2</v>
      </c>
      <c r="J36" s="322">
        <f>E36/H36/1000</f>
        <v>8.2715467661717709E-2</v>
      </c>
    </row>
    <row r="37" spans="2:10">
      <c r="B37" s="321">
        <v>42767</v>
      </c>
      <c r="C37" s="324">
        <f>-'[69]CNF-GUELPHHYDRO_ST-P-P_20170228'!$F$39</f>
        <v>8684680.2100000009</v>
      </c>
      <c r="D37" s="324"/>
      <c r="E37" s="326">
        <f t="shared" ref="E37:E41" si="7">C37+D37</f>
        <v>8684680.2100000009</v>
      </c>
      <c r="F37" s="327">
        <v>8684448</v>
      </c>
      <c r="G37" s="327">
        <f t="shared" ref="G37:G41" si="8">F37-E37</f>
        <v>-232.21000000089407</v>
      </c>
      <c r="H37" s="328">
        <f>'[69]CNF-GUELPHHYDRO_ST-P-P_20170228'!$X$39+'[69]CNF-GUELPHHYDRO_ST-P-P_20170228'!$Y$39</f>
        <v>100524.73699999999</v>
      </c>
      <c r="I37" s="322">
        <f t="shared" ref="I37:I41" si="9">F37/H37/1000</f>
        <v>8.6391153652060793E-2</v>
      </c>
      <c r="J37" s="322">
        <f t="shared" ref="J37:J41" si="10">E37/H37/1000</f>
        <v>8.639346363074793E-2</v>
      </c>
    </row>
    <row r="38" spans="2:10">
      <c r="B38" s="321">
        <v>42795</v>
      </c>
      <c r="C38" s="324">
        <f>-'[70]CNF-GUELPHHYDRO_ST-P-P_20170331'!$F$41</f>
        <v>7951786.8899999997</v>
      </c>
      <c r="D38" s="324">
        <f>-'[70]CNF-GUELPHHYDRO_ST-P-P_20170331'!$F$366</f>
        <v>-807.12</v>
      </c>
      <c r="E38" s="326">
        <f t="shared" si="7"/>
        <v>7950979.7699999996</v>
      </c>
      <c r="F38" s="327">
        <v>7951058.2699999996</v>
      </c>
      <c r="G38" s="327">
        <f t="shared" si="8"/>
        <v>78.5</v>
      </c>
      <c r="H38" s="328">
        <f>'[70]CNF-GUELPHHYDRO_ST-P-P_20170331'!$X$41+'[70]CNF-GUELPHHYDRO_ST-P-P_20170331'!$Y$41</f>
        <v>111440.16</v>
      </c>
      <c r="I38" s="322">
        <f t="shared" si="9"/>
        <v>7.1348230925009429E-2</v>
      </c>
      <c r="J38" s="322">
        <f t="shared" si="10"/>
        <v>7.1347526511088999E-2</v>
      </c>
    </row>
    <row r="39" spans="2:10">
      <c r="B39" s="321">
        <v>42826</v>
      </c>
      <c r="C39" s="324">
        <f>-'[71]CNF-GUELPHHYDRO_ST-P-P_20170430'!$F$40</f>
        <v>10196735.74</v>
      </c>
      <c r="D39" s="324">
        <f>-('[71]CNF-GUELPHHYDRO_ST-P-P_20170430'!$F$347+'[71]CNF-GUELPHHYDRO_ST-P-P_20170430'!$F$348+'[71]CNF-GUELPHHYDRO_ST-P-P_20170430'!$F$349)</f>
        <v>111666.66</v>
      </c>
      <c r="E39" s="326">
        <f t="shared" si="7"/>
        <v>10308402.4</v>
      </c>
      <c r="F39" s="327">
        <v>10308435.140000001</v>
      </c>
      <c r="G39" s="327">
        <f t="shared" si="8"/>
        <v>32.740000000223517</v>
      </c>
      <c r="H39" s="328">
        <f>'[71]CNF-GUELPHHYDRO_ST-P-P_20170430'!$X$40+'[71]CNF-GUELPHHYDRO_ST-P-P_20170430'!$Y$40</f>
        <v>95635.542000000001</v>
      </c>
      <c r="I39" s="322">
        <f t="shared" si="9"/>
        <v>0.10778874594551888</v>
      </c>
      <c r="J39" s="322">
        <f t="shared" si="10"/>
        <v>0.10778840360417469</v>
      </c>
    </row>
    <row r="40" spans="2:10">
      <c r="B40" s="321">
        <v>42856</v>
      </c>
      <c r="C40" s="324">
        <f>-'[72]CNF-GUELPHHYDRO_ST-P-P_20170531'!$F$40</f>
        <v>12205772.08</v>
      </c>
      <c r="D40" s="324">
        <f>-'[72]CNF-GUELPHHYDRO_ST-P-P_20170531'!$F$313</f>
        <v>86854.33</v>
      </c>
      <c r="E40" s="326">
        <f t="shared" si="7"/>
        <v>12292626.41</v>
      </c>
      <c r="F40" s="327">
        <v>12310432.41</v>
      </c>
      <c r="G40" s="327">
        <f t="shared" si="8"/>
        <v>17806</v>
      </c>
      <c r="H40" s="328">
        <f>'[72]CNF-GUELPHHYDRO_ST-P-P_20170531'!$X$40+'[72]CNF-GUELPHHYDRO_ST-P-P_20170531'!$Y$40</f>
        <v>100040.141</v>
      </c>
      <c r="I40" s="322">
        <f t="shared" si="9"/>
        <v>0.12305492862110221</v>
      </c>
      <c r="J40" s="322">
        <f t="shared" si="10"/>
        <v>0.12287694006748751</v>
      </c>
    </row>
    <row r="41" spans="2:10">
      <c r="B41" s="331">
        <v>42887</v>
      </c>
      <c r="C41" s="332">
        <f>-'[73]CNF-GUELPHHYDRO_ST-P-P_20170630'!$F$38</f>
        <v>14735443.560000001</v>
      </c>
      <c r="D41" s="332">
        <f>-('[73]CNF-GUELPHHYDRO_ST-P-P_20170630'!$F$350+'[73]CNF-GUELPHHYDRO_ST-P-P_20170630'!$F$351)</f>
        <v>1347940.5499999998</v>
      </c>
      <c r="E41" s="333">
        <f t="shared" si="7"/>
        <v>16083384.109999999</v>
      </c>
      <c r="F41" s="334">
        <v>16083898.42</v>
      </c>
      <c r="G41" s="334">
        <f t="shared" si="8"/>
        <v>514.31000000052154</v>
      </c>
      <c r="H41" s="335">
        <f>'[73]CNF-GUELPHHYDRO_ST-P-P_20170630'!$X$38+('[74]Class A'!$D$23/1000)</f>
        <v>104314.12134623124</v>
      </c>
      <c r="I41" s="336">
        <f t="shared" si="9"/>
        <v>0.15418716289250606</v>
      </c>
      <c r="J41" s="336">
        <f t="shared" si="10"/>
        <v>0.15418223249580268</v>
      </c>
    </row>
    <row r="42" spans="2:10">
      <c r="D42" s="337">
        <f>SUM(D36:D41)</f>
        <v>1545654.42</v>
      </c>
      <c r="E42" s="337">
        <f>SUM(E36:E41)</f>
        <v>64739188.340000004</v>
      </c>
      <c r="F42" s="337">
        <f>SUM(F36:F41)</f>
        <v>64708286.129999995</v>
      </c>
      <c r="G42" s="337">
        <f>SUM(G36:G41)</f>
        <v>-30902.209999999031</v>
      </c>
    </row>
  </sheetData>
  <mergeCells count="4">
    <mergeCell ref="B2:G2"/>
    <mergeCell ref="B3:B4"/>
    <mergeCell ref="B19:J19"/>
    <mergeCell ref="B20:B21"/>
  </mergeCells>
  <hyperlinks>
    <hyperlink ref="H3"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3"/>
  <sheetViews>
    <sheetView workbookViewId="0">
      <selection activeCell="J26" sqref="J26"/>
    </sheetView>
  </sheetViews>
  <sheetFormatPr defaultColWidth="9.140625" defaultRowHeight="15"/>
  <cols>
    <col min="1" max="1" width="9.140625" style="317"/>
    <col min="2" max="2" width="16.42578125" style="317" customWidth="1"/>
    <col min="3" max="3" width="16.7109375" style="317" customWidth="1"/>
    <col min="4" max="4" width="11.7109375" style="317" bestFit="1" customWidth="1"/>
    <col min="5" max="5" width="17" style="317" customWidth="1"/>
    <col min="6" max="6" width="15.28515625" style="317" customWidth="1"/>
    <col min="7" max="7" width="9.140625" style="317"/>
    <col min="8" max="9" width="14.28515625" style="317" bestFit="1" customWidth="1"/>
    <col min="10" max="10" width="15.5703125" style="317" bestFit="1" customWidth="1"/>
    <col min="11" max="16384" width="9.140625" style="317"/>
  </cols>
  <sheetData>
    <row r="1" spans="1:10" ht="63">
      <c r="A1" s="401" t="s">
        <v>274</v>
      </c>
      <c r="B1" s="338" t="s">
        <v>296</v>
      </c>
      <c r="C1" s="338" t="s">
        <v>297</v>
      </c>
      <c r="D1" s="338" t="s">
        <v>298</v>
      </c>
      <c r="E1" s="338" t="s">
        <v>299</v>
      </c>
      <c r="F1" s="338" t="s">
        <v>171</v>
      </c>
    </row>
    <row r="2" spans="1:10" ht="30.75">
      <c r="A2" s="401"/>
      <c r="B2" s="339" t="s">
        <v>1</v>
      </c>
      <c r="C2" s="339" t="s">
        <v>204</v>
      </c>
      <c r="D2" s="339" t="s">
        <v>205</v>
      </c>
      <c r="E2" s="339" t="s">
        <v>300</v>
      </c>
      <c r="F2" s="339" t="s">
        <v>301</v>
      </c>
      <c r="H2" s="340" t="s">
        <v>302</v>
      </c>
      <c r="I2" s="340" t="s">
        <v>303</v>
      </c>
      <c r="J2" s="340" t="s">
        <v>304</v>
      </c>
    </row>
    <row r="3" spans="1:10">
      <c r="A3" s="321">
        <v>42339</v>
      </c>
      <c r="B3" s="324">
        <f>SUM([5]Query!$D$210:$D$211)</f>
        <v>266201.39999999997</v>
      </c>
      <c r="C3" s="328">
        <f>SUM([5]Query!$E$210:$E$211)</f>
        <v>3099819.36</v>
      </c>
      <c r="D3" s="325">
        <f>+'[1]GA Analysis'!R46</f>
        <v>0.11462</v>
      </c>
      <c r="E3" s="324">
        <f>C3*D3</f>
        <v>355301.29504319996</v>
      </c>
      <c r="F3" s="326">
        <f>B3-E3</f>
        <v>-89099.895043199998</v>
      </c>
      <c r="H3" s="330">
        <f>B15-B3</f>
        <v>88313.43</v>
      </c>
      <c r="I3" s="330">
        <f>E15-E3</f>
        <v>-38728.709939399967</v>
      </c>
      <c r="J3" s="330">
        <f>H3-I3</f>
        <v>127042.13993939996</v>
      </c>
    </row>
    <row r="4" spans="1:10">
      <c r="A4" s="321">
        <v>42370</v>
      </c>
      <c r="B4" s="324">
        <f>[9]Query!$D$256+[9]Query!$D$257</f>
        <v>306190.91000000003</v>
      </c>
      <c r="C4" s="328">
        <f>[9]Query!$E$256+[9]Query!$E$257</f>
        <v>2855976.55</v>
      </c>
      <c r="D4" s="325">
        <f>'[1]GA Analysis'!O35</f>
        <v>8.4229999999999999E-2</v>
      </c>
      <c r="E4" s="324">
        <f>C4*D4</f>
        <v>240558.90480649998</v>
      </c>
      <c r="F4" s="326">
        <f>B4-E4</f>
        <v>65632.005193500052</v>
      </c>
    </row>
    <row r="5" spans="1:10">
      <c r="A5" s="321">
        <v>42401</v>
      </c>
      <c r="B5" s="324">
        <f>[11]Query!$D$258+[11]Query!$D$259</f>
        <v>259289.81</v>
      </c>
      <c r="C5" s="328">
        <f>[11]Query!$E$258+[11]Query!$E$259</f>
        <v>2920915.65</v>
      </c>
      <c r="D5" s="325">
        <f>'[1]GA Analysis'!O36</f>
        <v>0.10384</v>
      </c>
      <c r="E5" s="324">
        <f t="shared" ref="E5:E15" si="0">C5*D5</f>
        <v>303307.88109599997</v>
      </c>
      <c r="F5" s="326">
        <f t="shared" ref="F5:F15" si="1">B5-E5</f>
        <v>-44018.071095999971</v>
      </c>
    </row>
    <row r="6" spans="1:10">
      <c r="A6" s="321">
        <v>42430</v>
      </c>
      <c r="B6" s="324">
        <f>[13]Query!$D$243+[13]Query!$D$244</f>
        <v>312200.57</v>
      </c>
      <c r="C6" s="328">
        <f>[13]Query!$E$243+[13]Query!$E$244</f>
        <v>3108500.77</v>
      </c>
      <c r="D6" s="325">
        <f>'[1]GA Analysis'!O37</f>
        <v>9.0219999999999995E-2</v>
      </c>
      <c r="E6" s="324">
        <f t="shared" si="0"/>
        <v>280448.93946939998</v>
      </c>
      <c r="F6" s="326">
        <f t="shared" si="1"/>
        <v>31751.630530600029</v>
      </c>
    </row>
    <row r="7" spans="1:10">
      <c r="A7" s="321">
        <v>42461</v>
      </c>
      <c r="B7" s="324">
        <f>[15]Query!$D$246+[15]Query!$D$247</f>
        <v>239084.12</v>
      </c>
      <c r="C7" s="328">
        <f>[15]Query!$E$246+[15]Query!$E$247</f>
        <v>2442653.23</v>
      </c>
      <c r="D7" s="325">
        <f>'[1]GA Analysis'!O38</f>
        <v>0.12114999999999999</v>
      </c>
      <c r="E7" s="324">
        <f t="shared" si="0"/>
        <v>295927.4388145</v>
      </c>
      <c r="F7" s="326">
        <f t="shared" si="1"/>
        <v>-56843.318814500002</v>
      </c>
    </row>
    <row r="8" spans="1:10">
      <c r="A8" s="321">
        <v>42491</v>
      </c>
      <c r="B8" s="324">
        <f>SUM([17]Query!$G$387:$G$392)</f>
        <v>274187.14999999997</v>
      </c>
      <c r="C8" s="328">
        <f>SUM([17]Query!$H$387:$H$392)</f>
        <v>2354201.2999999998</v>
      </c>
      <c r="D8" s="325">
        <f>'[1]GA Analysis'!O39</f>
        <v>0.10405</v>
      </c>
      <c r="E8" s="324">
        <f t="shared" si="0"/>
        <v>244954.645265</v>
      </c>
      <c r="F8" s="326">
        <f t="shared" si="1"/>
        <v>29232.504734999966</v>
      </c>
    </row>
    <row r="9" spans="1:10">
      <c r="A9" s="321">
        <v>42522</v>
      </c>
      <c r="B9" s="324">
        <f>SUM([19]Query!$G$432:$G$435)</f>
        <v>257381.19</v>
      </c>
      <c r="C9" s="328">
        <f>SUM([19]Query!$H$432:$H$435)</f>
        <v>2393032.8099999996</v>
      </c>
      <c r="D9" s="325">
        <f>'[1]GA Analysis'!O40</f>
        <v>0.11650000000000001</v>
      </c>
      <c r="E9" s="324">
        <f t="shared" si="0"/>
        <v>278788.32236499997</v>
      </c>
      <c r="F9" s="326">
        <f t="shared" si="1"/>
        <v>-21407.132364999969</v>
      </c>
    </row>
    <row r="10" spans="1:10">
      <c r="A10" s="321">
        <v>42552</v>
      </c>
      <c r="B10" s="324">
        <f>SUM([21]Query!$G$306:$G$311)</f>
        <v>249840.78</v>
      </c>
      <c r="C10" s="328">
        <f>SUM([21]Query!$H$306:$H$311)</f>
        <v>2392270.5799999996</v>
      </c>
      <c r="D10" s="325">
        <f>'[1]GA Analysis'!O41</f>
        <v>7.6670000000000002E-2</v>
      </c>
      <c r="E10" s="324">
        <f t="shared" si="0"/>
        <v>183415.38536859996</v>
      </c>
      <c r="F10" s="326">
        <f t="shared" si="1"/>
        <v>66425.394631400035</v>
      </c>
    </row>
    <row r="11" spans="1:10">
      <c r="A11" s="321">
        <v>42583</v>
      </c>
      <c r="B11" s="324">
        <f>SUM([23]Query!$G$252:$G$257)</f>
        <v>218695.63</v>
      </c>
      <c r="C11" s="328">
        <f>SUM([23]Query!$H$252:$H$257)</f>
        <v>2754083.21</v>
      </c>
      <c r="D11" s="325">
        <f>'[1]GA Analysis'!O42</f>
        <v>8.5690000000000002E-2</v>
      </c>
      <c r="E11" s="324">
        <f t="shared" si="0"/>
        <v>235997.39026489999</v>
      </c>
      <c r="F11" s="326">
        <f t="shared" si="1"/>
        <v>-17301.760264899989</v>
      </c>
    </row>
    <row r="12" spans="1:10">
      <c r="A12" s="321">
        <v>42614</v>
      </c>
      <c r="B12" s="324">
        <f>SUM([25]Query!$G$281:$G$286)</f>
        <v>202659.37999999998</v>
      </c>
      <c r="C12" s="328">
        <f>SUM([25]Query!$H$281:$H$286)</f>
        <v>2477033.4700000007</v>
      </c>
      <c r="D12" s="325">
        <f>'[1]GA Analysis'!O43</f>
        <v>7.0599999999999996E-2</v>
      </c>
      <c r="E12" s="324">
        <f t="shared" si="0"/>
        <v>174878.56298200003</v>
      </c>
      <c r="F12" s="326">
        <f t="shared" si="1"/>
        <v>27780.817017999943</v>
      </c>
    </row>
    <row r="13" spans="1:10">
      <c r="A13" s="321">
        <v>42644</v>
      </c>
      <c r="B13" s="324">
        <f>SUM([27]Query!$G$267:$G$272)</f>
        <v>191416.83</v>
      </c>
      <c r="C13" s="328">
        <f>SUM([27]Query!$H$267:$H$272)</f>
        <v>2472764.7599999998</v>
      </c>
      <c r="D13" s="325">
        <f>'[1]GA Analysis'!O44</f>
        <v>9.7199999999999995E-2</v>
      </c>
      <c r="E13" s="324">
        <f t="shared" si="0"/>
        <v>240352.73467199996</v>
      </c>
      <c r="F13" s="326">
        <f t="shared" si="1"/>
        <v>-48935.904671999975</v>
      </c>
    </row>
    <row r="14" spans="1:10">
      <c r="A14" s="321">
        <v>42675</v>
      </c>
      <c r="B14" s="324">
        <f>SUM([29]Query!$G$314:$G$321)</f>
        <v>262814.51999999996</v>
      </c>
      <c r="C14" s="328">
        <f>SUM([29]Query!$H$314:$H$321)</f>
        <v>2550576.1799999997</v>
      </c>
      <c r="D14" s="325">
        <f>'[1]GA Analysis'!O45</f>
        <v>0.12271</v>
      </c>
      <c r="E14" s="324">
        <f t="shared" si="0"/>
        <v>312981.20304779994</v>
      </c>
      <c r="F14" s="326">
        <f t="shared" si="1"/>
        <v>-50166.683047799976</v>
      </c>
    </row>
    <row r="15" spans="1:10">
      <c r="A15" s="321">
        <v>42705</v>
      </c>
      <c r="B15" s="324">
        <f>SUM([6]Query!$G$315:$G$320)</f>
        <v>354514.82999999996</v>
      </c>
      <c r="C15" s="328">
        <f>SUM([6]Query!$H$315:$H$320)</f>
        <v>2988225.27</v>
      </c>
      <c r="D15" s="325">
        <f>'[1]GA Analysis'!O46</f>
        <v>0.10594000000000001</v>
      </c>
      <c r="E15" s="324">
        <f t="shared" si="0"/>
        <v>316572.5851038</v>
      </c>
      <c r="F15" s="326">
        <f t="shared" si="1"/>
        <v>37942.244896199962</v>
      </c>
    </row>
    <row r="16" spans="1:10" ht="15.75">
      <c r="A16" s="317" t="s">
        <v>269</v>
      </c>
      <c r="F16" s="341">
        <f>SUM(F3:F15)</f>
        <v>-69008.168298699893</v>
      </c>
    </row>
    <row r="19" spans="5:6">
      <c r="E19" s="317" t="s">
        <v>305</v>
      </c>
      <c r="F19" s="330">
        <f>F15</f>
        <v>37942.244896199962</v>
      </c>
    </row>
    <row r="20" spans="5:6">
      <c r="E20" s="317" t="s">
        <v>306</v>
      </c>
      <c r="F20" s="342">
        <f>F3</f>
        <v>-89099.895043199998</v>
      </c>
    </row>
    <row r="21" spans="5:6">
      <c r="F21" s="343">
        <f>F19-F20</f>
        <v>127042.13993939996</v>
      </c>
    </row>
    <row r="22" spans="5:6">
      <c r="F22" s="344"/>
    </row>
    <row r="23" spans="5:6">
      <c r="F23" s="330"/>
    </row>
  </sheetData>
  <mergeCells count="1">
    <mergeCell ref="A1:A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2</vt:i4>
      </vt:variant>
    </vt:vector>
  </HeadingPairs>
  <TitlesOfParts>
    <vt:vector size="10" baseType="lpstr">
      <vt:lpstr>Instructions</vt:lpstr>
      <vt:lpstr>GA Analysis </vt:lpstr>
      <vt:lpstr>Test</vt:lpstr>
      <vt:lpstr>1.Adjustments</vt:lpstr>
      <vt:lpstr>2.GA Detailed Analysis</vt:lpstr>
      <vt:lpstr>3.RPP True-up</vt:lpstr>
      <vt:lpstr>4.IESO Invoice Analysis</vt:lpstr>
      <vt:lpstr>5.UBR Retailer Contract</vt:lpstr>
      <vt:lpstr>'GA Analysis '!Print_Area</vt:lpstr>
      <vt:lpstr>Instructions!Print_Area</vt:lpstr>
    </vt:vector>
  </TitlesOfParts>
  <Company>OEB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Donna Kwan</dc:creator>
  <cp:lastModifiedBy>Cristina Birceanu</cp:lastModifiedBy>
  <cp:lastPrinted>2017-11-17T14:08:50Z</cp:lastPrinted>
  <dcterms:created xsi:type="dcterms:W3CDTF">2017-05-01T19:29:01Z</dcterms:created>
  <dcterms:modified xsi:type="dcterms:W3CDTF">2017-11-30T15:34:03Z</dcterms:modified>
</cp:coreProperties>
</file>