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5. TESI UTILITIES\Center Wellington\CWH 2018 CoS\2018 CoS\Settlement Conf\Draft Agreement Dec 6\"/>
    </mc:Choice>
  </mc:AlternateContent>
  <bookViews>
    <workbookView xWindow="0" yWindow="0" windowWidth="28380" windowHeight="1269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4" l="1"/>
  <c r="K27" i="4" l="1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7" i="4" s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K121" i="4"/>
  <c r="L121" i="4"/>
  <c r="H121" i="4"/>
  <c r="I64" i="4"/>
  <c r="K64" i="4"/>
  <c r="L64" i="4"/>
  <c r="H64" i="4"/>
  <c r="I78" i="4"/>
  <c r="K78" i="4"/>
  <c r="L78" i="4"/>
  <c r="H78" i="4"/>
  <c r="I86" i="4"/>
  <c r="K86" i="4"/>
  <c r="L86" i="4"/>
  <c r="H86" i="4"/>
  <c r="H91" i="4"/>
  <c r="I91" i="4"/>
  <c r="K91" i="4"/>
  <c r="L91" i="4"/>
  <c r="I109" i="4"/>
  <c r="K109" i="4"/>
  <c r="L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I115" i="4"/>
  <c r="H115" i="4"/>
  <c r="H35" i="4" s="1"/>
  <c r="K115" i="4"/>
  <c r="K29" i="4" s="1"/>
  <c r="L115" i="4"/>
  <c r="L29" i="4" s="1"/>
  <c r="I35" i="4" l="1"/>
  <c r="G256" i="1"/>
  <c r="H145" i="1" l="1"/>
  <c r="H118" i="4"/>
  <c r="I118" i="4"/>
  <c r="K118" i="4"/>
  <c r="L118" i="4"/>
  <c r="H119" i="4"/>
  <c r="I119" i="4"/>
  <c r="K119" i="4"/>
  <c r="L119" i="4"/>
  <c r="H120" i="4"/>
  <c r="I120" i="4"/>
  <c r="K120" i="4"/>
  <c r="L120" i="4"/>
  <c r="G22" i="4"/>
  <c r="G21" i="4"/>
  <c r="H21" i="4" s="1"/>
  <c r="I21" i="4" s="1"/>
  <c r="J21" i="4" s="1"/>
  <c r="G20" i="4"/>
  <c r="H20" i="4" s="1"/>
  <c r="I20" i="4" s="1"/>
  <c r="J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J122" i="4" l="1"/>
  <c r="I122" i="4"/>
  <c r="I29" i="4" s="1"/>
  <c r="H122" i="4"/>
  <c r="H22" i="4"/>
  <c r="H110" i="1" s="1"/>
  <c r="I22" i="4"/>
  <c r="H16" i="4"/>
  <c r="H142" i="1" s="1"/>
  <c r="J16" i="4"/>
  <c r="I16" i="4"/>
  <c r="H135" i="1"/>
  <c r="G37" i="4"/>
  <c r="G36" i="4"/>
  <c r="I145" i="1"/>
  <c r="H98" i="1"/>
  <c r="H93" i="1"/>
  <c r="H115" i="1" s="1"/>
  <c r="H97" i="1"/>
  <c r="H155" i="1" s="1"/>
  <c r="H134" i="1"/>
  <c r="H112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J37" i="4" l="1"/>
  <c r="I37" i="4"/>
  <c r="I27" i="4" s="1"/>
  <c r="H37" i="4"/>
  <c r="H27" i="4" s="1"/>
  <c r="H99" i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6" i="1"/>
  <c r="H210" i="1"/>
  <c r="H247" i="1"/>
  <c r="J139" i="1"/>
  <c r="H156" i="1"/>
  <c r="H220" i="1" s="1"/>
  <c r="I143" i="1"/>
  <c r="H154" i="1"/>
  <c r="H208" i="1" s="1"/>
  <c r="H215" i="1" s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56" i="1" l="1"/>
  <c r="CL126" i="1"/>
  <c r="G10" i="5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43" i="1"/>
  <c r="I179" i="1"/>
  <c r="H226" i="1"/>
  <c r="I162" i="1"/>
  <c r="H230" i="1"/>
  <c r="I166" i="1"/>
  <c r="H227" i="1"/>
  <c r="I163" i="1"/>
  <c r="I174" i="1"/>
  <c r="J178" i="1"/>
  <c r="H236" i="1"/>
  <c r="I172" i="1"/>
  <c r="I175" i="1"/>
  <c r="J170" i="1"/>
  <c r="H241" i="1"/>
  <c r="I177" i="1"/>
  <c r="H240" i="1"/>
  <c r="I176" i="1"/>
  <c r="I168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J241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8" i="1" l="1"/>
  <c r="J130" i="1" s="1"/>
  <c r="I98" i="1"/>
  <c r="I130" i="1" s="1"/>
  <c r="I131" i="1" s="1"/>
  <c r="I154" i="1" l="1"/>
  <c r="I208" i="1" s="1"/>
  <c r="J131" i="1"/>
  <c r="K131" i="1" l="1"/>
  <c r="J154" i="1"/>
  <c r="J208" i="1" s="1"/>
  <c r="I215" i="1"/>
  <c r="I236" i="1" s="1"/>
  <c r="I212" i="1"/>
  <c r="I233" i="1" s="1"/>
  <c r="I229" i="1"/>
  <c r="J212" i="1" l="1"/>
  <c r="J233" i="1" s="1"/>
  <c r="J215" i="1"/>
  <c r="J236" i="1" s="1"/>
  <c r="J229" i="1"/>
  <c r="K154" i="1"/>
  <c r="K208" i="1" s="1"/>
  <c r="L131" i="1"/>
  <c r="M131" i="1" l="1"/>
  <c r="M154" i="1" s="1"/>
  <c r="M208" i="1" s="1"/>
  <c r="L154" i="1"/>
  <c r="L208" i="1" s="1"/>
  <c r="K215" i="1"/>
  <c r="K236" i="1" s="1"/>
  <c r="K219" i="1"/>
  <c r="K240" i="1" s="1"/>
  <c r="K212" i="1"/>
  <c r="K233" i="1" s="1"/>
  <c r="K217" i="1"/>
  <c r="K238" i="1" s="1"/>
  <c r="K229" i="1"/>
  <c r="M219" i="1" l="1"/>
  <c r="M240" i="1" s="1"/>
  <c r="M217" i="1"/>
  <c r="M238" i="1" s="1"/>
  <c r="M212" i="1"/>
  <c r="M233" i="1" s="1"/>
  <c r="M215" i="1"/>
  <c r="M236" i="1" s="1"/>
  <c r="M229" i="1"/>
  <c r="L217" i="1"/>
  <c r="L238" i="1" s="1"/>
  <c r="L212" i="1"/>
  <c r="L233" i="1" s="1"/>
  <c r="L215" i="1"/>
  <c r="L236" i="1" s="1"/>
  <c r="L219" i="1"/>
  <c r="L240" i="1" s="1"/>
  <c r="L229" i="1"/>
  <c r="I96" i="1" l="1"/>
  <c r="J96" i="1"/>
  <c r="H96" i="1"/>
  <c r="H128" i="1" l="1"/>
  <c r="H153" i="1"/>
  <c r="H207" i="1" s="1"/>
  <c r="J153" i="1"/>
  <c r="J207" i="1" s="1"/>
  <c r="J128" i="1"/>
  <c r="J157" i="1" s="1"/>
  <c r="J221" i="1" s="1"/>
  <c r="J242" i="1" s="1"/>
  <c r="I128" i="1"/>
  <c r="I157" i="1" s="1"/>
  <c r="I221" i="1" s="1"/>
  <c r="I242" i="1" s="1"/>
  <c r="I153" i="1"/>
  <c r="I207" i="1" s="1"/>
  <c r="H157" i="1" l="1"/>
  <c r="H221" i="1" s="1"/>
  <c r="H242" i="1" s="1"/>
  <c r="CL125" i="1"/>
  <c r="J228" i="1"/>
  <c r="J211" i="1"/>
  <c r="J232" i="1" s="1"/>
  <c r="J214" i="1"/>
  <c r="J235" i="1" s="1"/>
  <c r="J217" i="1"/>
  <c r="J238" i="1" s="1"/>
  <c r="I217" i="1"/>
  <c r="I238" i="1" s="1"/>
  <c r="I211" i="1"/>
  <c r="I232" i="1" s="1"/>
  <c r="I214" i="1"/>
  <c r="I235" i="1" s="1"/>
  <c r="I228" i="1"/>
  <c r="H214" i="1"/>
  <c r="H235" i="1" s="1"/>
  <c r="H218" i="1"/>
  <c r="H239" i="1" s="1"/>
  <c r="H211" i="1"/>
  <c r="H232" i="1" s="1"/>
  <c r="H217" i="1"/>
  <c r="H238" i="1" s="1"/>
  <c r="H228" i="1"/>
  <c r="H245" i="1" l="1"/>
  <c r="H246" i="1" s="1"/>
  <c r="H248" i="1" s="1"/>
  <c r="H257" i="1" s="1"/>
  <c r="G12" i="5" s="1"/>
  <c r="H261" i="1" l="1"/>
  <c r="H258" i="1"/>
  <c r="H259" i="1" s="1"/>
  <c r="G16" i="5"/>
  <c r="G14" i="5"/>
  <c r="G22" i="5" l="1"/>
  <c r="I97" i="1" l="1"/>
  <c r="I155" i="1" l="1"/>
  <c r="I209" i="1" s="1"/>
  <c r="I129" i="1"/>
  <c r="I213" i="1" l="1"/>
  <c r="I234" i="1" s="1"/>
  <c r="I219" i="1"/>
  <c r="I240" i="1" s="1"/>
  <c r="I216" i="1"/>
  <c r="I237" i="1" s="1"/>
  <c r="I230" i="1"/>
  <c r="I218" i="1"/>
  <c r="I239" i="1" s="1"/>
  <c r="I245" i="1" l="1"/>
  <c r="I246" i="1" s="1"/>
  <c r="I248" i="1" s="1"/>
  <c r="I257" i="1" s="1"/>
  <c r="H12" i="5" l="1"/>
  <c r="I258" i="1"/>
  <c r="I259" i="1" s="1"/>
  <c r="I261" i="1"/>
  <c r="H14" i="5" l="1"/>
  <c r="H16" i="5"/>
  <c r="H22" i="5" l="1"/>
  <c r="H18" i="5"/>
  <c r="H24" i="5" s="1"/>
  <c r="J97" i="1" l="1"/>
  <c r="J129" i="1" l="1"/>
  <c r="J155" i="1"/>
  <c r="J209" i="1" s="1"/>
  <c r="J213" i="1" l="1"/>
  <c r="J234" i="1" s="1"/>
  <c r="J216" i="1"/>
  <c r="J237" i="1" s="1"/>
  <c r="J230" i="1"/>
  <c r="J219" i="1"/>
  <c r="J240" i="1" s="1"/>
  <c r="J218" i="1"/>
  <c r="J239" i="1" s="1"/>
  <c r="J245" i="1" l="1"/>
  <c r="J246" i="1" s="1"/>
  <c r="J248" i="1" s="1"/>
  <c r="J257" i="1" s="1"/>
  <c r="I12" i="5" l="1"/>
  <c r="J91" i="4" l="1"/>
  <c r="J120" i="4"/>
  <c r="J119" i="4"/>
  <c r="J86" i="4" l="1"/>
  <c r="J64" i="4"/>
  <c r="J78" i="4"/>
  <c r="J121" i="4"/>
  <c r="J118" i="4"/>
  <c r="J109" i="4" l="1"/>
  <c r="J115" i="4" s="1"/>
  <c r="J35" i="4" l="1"/>
  <c r="J27" i="4" s="1"/>
  <c r="J31" i="4" s="1"/>
  <c r="J89" i="1" s="1"/>
  <c r="J107" i="1" s="1"/>
  <c r="J121" i="1" s="1"/>
  <c r="J29" i="4"/>
  <c r="J256" i="1" l="1"/>
  <c r="I10" i="5"/>
  <c r="I14" i="5" s="1"/>
  <c r="I16" i="5" s="1"/>
  <c r="I18" i="5" l="1"/>
  <c r="I22" i="5"/>
  <c r="J261" i="1"/>
  <c r="J258" i="1"/>
  <c r="J259" i="1" s="1"/>
</calcChain>
</file>

<file path=xl/sharedStrings.xml><?xml version="1.0" encoding="utf-8"?>
<sst xmlns="http://schemas.openxmlformats.org/spreadsheetml/2006/main" count="523" uniqueCount="281">
  <si>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</si>
  <si>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</si>
  <si>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</si>
  <si>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</si>
  <si>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</si>
  <si>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</si>
  <si>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</si>
  <si>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</si>
  <si>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</si>
  <si>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</si>
  <si>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</si>
  <si>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</si>
  <si>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</si>
  <si>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</si>
  <si>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</si>
  <si>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</si>
  <si>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</si>
  <si>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</si>
  <si>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</si>
  <si>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</si>
  <si>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</si>
  <si>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</si>
  <si>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</si>
  <si>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</si>
  <si>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</si>
  <si>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</si>
  <si>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</si>
  <si>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</si>
  <si>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</si>
  <si>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</si>
  <si>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</si>
  <si>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</si>
  <si>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</si>
  <si>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</si>
  <si>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</si>
  <si>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</si>
  <si>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</si>
  <si>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</si>
  <si>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</si>
  <si>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</si>
  <si>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</si>
  <si>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</si>
  <si>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</si>
  <si>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</si>
  <si>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</si>
  <si>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</si>
  <si>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</si>
  <si>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</si>
  <si>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</si>
  <si>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</si>
  <si>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</si>
  <si>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</si>
  <si>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</si>
  <si>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</si>
  <si>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</si>
  <si>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</si>
  <si>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</si>
  <si>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</si>
  <si>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</si>
  <si>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</si>
  <si>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</si>
  <si>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</si>
  <si>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</si>
  <si>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</si>
  <si>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</si>
  <si>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</si>
  <si>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</si>
  <si>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</si>
  <si>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</si>
  <si>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</si>
  <si>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</si>
  <si>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</si>
  <si>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</si>
  <si>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</si>
  <si>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</si>
  <si>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</si>
  <si>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</si>
  <si>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</si>
  <si>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</si>
  <si>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</si>
  <si>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</si>
  <si>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</si>
  <si>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</si>
  <si>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</si>
  <si>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</si>
  <si>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</si>
  <si>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</si>
  <si>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</si>
  <si>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</si>
  <si>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</si>
  <si>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</si>
  <si>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</si>
  <si>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</si>
  <si>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</si>
  <si>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</si>
  <si>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</si>
  <si>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</si>
  <si>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</si>
  <si>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</si>
  <si>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</si>
  <si>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</si>
  <si>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</si>
  <si>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</si>
  <si>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</si>
  <si>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</si>
  <si>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</si>
  <si>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</si>
  <si>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</si>
  <si>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</si>
  <si>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</si>
  <si>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</si>
  <si>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</si>
  <si>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</si>
  <si>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</si>
  <si>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</si>
  <si>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</si>
  <si>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</si>
  <si>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</si>
  <si>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</si>
  <si>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</si>
  <si>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</si>
  <si>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</si>
  <si>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</si>
  <si>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</si>
  <si>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</si>
  <si>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</si>
  <si>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</si>
  <si>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</si>
  <si>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</si>
  <si>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</si>
  <si>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</si>
  <si>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</si>
  <si>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</si>
  <si>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</si>
  <si>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</si>
  <si>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</si>
  <si>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</si>
  <si>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</si>
  <si>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</si>
  <si>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</si>
  <si>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</si>
  <si>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</si>
  <si>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</si>
  <si>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</si>
  <si>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</si>
  <si>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</si>
  <si>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</si>
  <si>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</si>
  <si>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</si>
  <si>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</si>
  <si>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</si>
  <si>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</si>
  <si>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</si>
  <si>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</si>
  <si>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</si>
  <si>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</si>
  <si>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</si>
  <si>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</si>
  <si>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</si>
  <si>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</si>
  <si>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</si>
  <si>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</si>
  <si>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</si>
  <si>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</si>
  <si>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</si>
  <si>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</si>
  <si>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</si>
  <si>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</si>
  <si>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</si>
  <si>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</si>
  <si>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</si>
  <si>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</si>
  <si>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</si>
  <si>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</si>
  <si>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</si>
  <si>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</si>
  <si>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</si>
  <si>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</si>
  <si>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</si>
  <si>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</si>
  <si>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</si>
  <si>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</si>
  <si>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</si>
  <si>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</si>
  <si>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</si>
  <si>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</si>
  <si>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</si>
  <si>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</si>
  <si>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</si>
  <si>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</si>
  <si>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</si>
  <si>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</si>
  <si>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</si>
  <si>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</si>
  <si>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</si>
  <si>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</si>
  <si>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</si>
  <si>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</si>
  <si>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</si>
  <si>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</si>
  <si>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</si>
  <si>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</si>
  <si>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</si>
  <si>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</si>
  <si>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</si>
  <si>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</si>
  <si>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</si>
  <si>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</si>
  <si>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</si>
  <si>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</si>
  <si>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</si>
  <si>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</si>
  <si>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</si>
  <si>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</si>
  <si>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</si>
  <si>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</si>
  <si>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</si>
  <si>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</si>
  <si>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</si>
  <si>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</si>
  <si>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</si>
  <si>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</si>
  <si>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</si>
  <si>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</si>
  <si>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</si>
  <si>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</si>
  <si>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</si>
  <si>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</si>
  <si>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</si>
  <si>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</si>
  <si>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</si>
  <si>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</si>
  <si>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</si>
  <si>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</si>
  <si>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</si>
  <si>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</si>
  <si>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</si>
  <si>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</si>
  <si>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</si>
  <si>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</si>
  <si>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</si>
  <si>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</si>
  <si>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</si>
  <si>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</si>
  <si>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</si>
  <si>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</si>
  <si>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</si>
  <si>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</si>
  <si>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</si>
  <si>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</si>
  <si>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</si>
  <si>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</si>
  <si>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</si>
  <si>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</si>
  <si>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</si>
  <si>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</si>
  <si>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</si>
  <si>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</si>
  <si>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</si>
  <si>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</si>
  <si>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</si>
  <si>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</si>
  <si>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</si>
  <si>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</si>
  <si>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</si>
  <si>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</si>
  <si>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</si>
  <si>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</si>
  <si>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</si>
  <si>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</si>
  <si>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</si>
  <si>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</si>
  <si>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</si>
  <si>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</si>
  <si>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</si>
  <si>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</si>
  <si>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</si>
  <si>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</si>
  <si>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Cost per customer</t>
  </si>
  <si>
    <t>Cost per KM line</t>
  </si>
  <si>
    <t>Used for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</si>
</sst>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4" fontId="16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6" fillId="6" borderId="13" xfId="0" applyFont="1" applyFill="1" applyBorder="1"/>
    <xf numFmtId="0" fontId="0" fillId="6" borderId="0" xfId="0" applyFill="1" applyBorder="1"/>
    <xf numFmtId="0" fontId="0" fillId="0" borderId="15" xfId="0" applyBorder="1"/>
    <xf numFmtId="0" fontId="0" fillId="0" borderId="17" xfId="0" applyBorder="1"/>
    <xf numFmtId="44" fontId="0" fillId="6" borderId="14" xfId="4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7" fontId="6" fillId="0" borderId="13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0" borderId="14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30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O124"/>
  <sheetViews>
    <sheetView tabSelected="1" topLeftCell="D73" zoomScaleNormal="100" workbookViewId="0">
      <selection activeCell="H79" sqref="H79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30" t="s">
        <v>191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5" ht="19.5" customHeight="1" x14ac:dyDescent="0.25">
      <c r="C3" s="231" t="str">
        <f>IF(F5="Click to Choose an LDC","",F5)</f>
        <v>Centre Wellington Hydro Ltd.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213</v>
      </c>
      <c r="G5" s="14" t="s">
        <v>175</v>
      </c>
      <c r="H5" s="14" t="s">
        <v>176</v>
      </c>
      <c r="I5" s="14" t="s">
        <v>174</v>
      </c>
      <c r="J5" s="232" t="s">
        <v>177</v>
      </c>
      <c r="K5" s="232"/>
      <c r="L5" s="232"/>
      <c r="M5" s="232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33"/>
      <c r="I8" s="233"/>
      <c r="J8" s="233"/>
      <c r="K8" s="233"/>
      <c r="L8" s="233"/>
      <c r="M8" s="233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1884000.9</v>
      </c>
      <c r="H9" s="125">
        <v>2132796.9699999997</v>
      </c>
      <c r="I9" s="125">
        <v>1277600</v>
      </c>
      <c r="J9" s="125">
        <v>1000000</v>
      </c>
      <c r="K9" s="125">
        <v>750600</v>
      </c>
      <c r="L9" s="125">
        <v>973600</v>
      </c>
      <c r="M9" s="125">
        <v>720000</v>
      </c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32714.01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6757</v>
      </c>
      <c r="H13" s="125">
        <v>6911.5414404781222</v>
      </c>
      <c r="I13" s="125">
        <v>6843.6259921260244</v>
      </c>
      <c r="J13" s="125">
        <v>6911.5414404781222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139446467.25</v>
      </c>
      <c r="H14" s="125">
        <v>138233652</v>
      </c>
      <c r="I14" s="125">
        <v>146918511.24504298</v>
      </c>
      <c r="J14" s="125">
        <v>144456071.39831477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28656</v>
      </c>
      <c r="H15" s="125">
        <v>0</v>
      </c>
      <c r="I15" s="125">
        <v>0</v>
      </c>
      <c r="J15" s="125">
        <v>0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151</v>
      </c>
      <c r="H16" s="125">
        <f>G16</f>
        <v>151</v>
      </c>
      <c r="I16" s="125">
        <f>G16</f>
        <v>151</v>
      </c>
      <c r="J16" s="125">
        <f>G16</f>
        <v>151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0.11025303976339139</v>
      </c>
      <c r="H17" s="119">
        <v>0.01</v>
      </c>
      <c r="I17" s="119">
        <v>0.01</v>
      </c>
      <c r="J17" s="119">
        <v>0.01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33"/>
      <c r="I19" s="233"/>
      <c r="J19" s="233"/>
      <c r="K19" s="233"/>
      <c r="L19" s="233"/>
      <c r="M19" s="233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0">G20</f>
        <v>2.5639327969446551E-2</v>
      </c>
      <c r="I20" s="124">
        <f t="shared" si="0"/>
        <v>2.5639327969446551E-2</v>
      </c>
      <c r="J20" s="124">
        <f t="shared" si="0"/>
        <v>2.5639327969446551E-2</v>
      </c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 t="shared" si="0"/>
        <v>1.574491305654421E-2</v>
      </c>
      <c r="I21" s="124">
        <f t="shared" si="0"/>
        <v>1.574491305654421E-2</v>
      </c>
      <c r="J21" s="124">
        <f t="shared" si="0"/>
        <v>1.574491305654421E-2</v>
      </c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f>G22</f>
        <v>6.5054666666666677E-2</v>
      </c>
      <c r="I22" s="124">
        <f>G22</f>
        <v>6.5054666666666677E-2</v>
      </c>
      <c r="J22" s="124">
        <v>5.9538338952381684E-2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2106951.86</v>
      </c>
      <c r="H27" s="51">
        <f t="shared" ref="H27:M27" si="1">H35-H36+H37</f>
        <v>2186605</v>
      </c>
      <c r="I27" s="51">
        <f t="shared" si="1"/>
        <v>2336978</v>
      </c>
      <c r="J27" s="51">
        <f t="shared" si="1"/>
        <v>2389878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2">G115-G121+G122</f>
        <v>2106951.86</v>
      </c>
      <c r="H29" s="51">
        <f t="shared" si="2"/>
        <v>2186605</v>
      </c>
      <c r="I29" s="51">
        <f t="shared" si="2"/>
        <v>2336978</v>
      </c>
      <c r="J29" s="51">
        <f t="shared" si="2"/>
        <v>2389878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2106951.86</v>
      </c>
      <c r="H31" s="51">
        <f t="shared" si="3"/>
        <v>2186605</v>
      </c>
      <c r="I31" s="51">
        <f t="shared" si="3"/>
        <v>2336978</v>
      </c>
      <c r="J31" s="51">
        <f t="shared" si="3"/>
        <v>2389878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9" t="s">
        <v>183</v>
      </c>
      <c r="I34" s="229"/>
      <c r="J34" s="229"/>
      <c r="K34" s="229"/>
      <c r="L34" s="229"/>
      <c r="M34" s="229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2055673.8599999999</v>
      </c>
      <c r="H35" s="120">
        <f>H115</f>
        <v>2135327</v>
      </c>
      <c r="I35" s="120">
        <f>I115</f>
        <v>2285700</v>
      </c>
      <c r="J35" s="120">
        <f>J115</f>
        <v>2338600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51278</v>
      </c>
      <c r="H37" s="125">
        <f>G37</f>
        <v>51278</v>
      </c>
      <c r="I37" s="125">
        <f>G37</f>
        <v>51278</v>
      </c>
      <c r="J37" s="120">
        <f>G37</f>
        <v>51278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107595.38</v>
      </c>
      <c r="H44" s="142">
        <v>71727.41</v>
      </c>
      <c r="I44" s="142">
        <v>79500</v>
      </c>
      <c r="J44" s="142">
        <v>84900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24975.95</v>
      </c>
      <c r="H45" s="142">
        <v>15500.36</v>
      </c>
      <c r="I45" s="142">
        <v>11700</v>
      </c>
      <c r="J45" s="142">
        <v>12100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67863.289999999994</v>
      </c>
      <c r="H46" s="142">
        <v>75720.899999999994</v>
      </c>
      <c r="I46" s="142">
        <v>78400</v>
      </c>
      <c r="J46" s="142">
        <v>77800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v>0</v>
      </c>
      <c r="I47" s="142">
        <v>0</v>
      </c>
      <c r="J47" s="142">
        <v>0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v>0</v>
      </c>
      <c r="I48" s="142">
        <v>0</v>
      </c>
      <c r="J48" s="142">
        <v>0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101.9</v>
      </c>
      <c r="H49" s="142">
        <v>1305.17</v>
      </c>
      <c r="I49" s="142">
        <v>900</v>
      </c>
      <c r="J49" s="142">
        <v>1000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15978.47</v>
      </c>
      <c r="H50" s="142">
        <v>12483.68</v>
      </c>
      <c r="I50" s="142">
        <v>32800</v>
      </c>
      <c r="J50" s="142">
        <v>12000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-26.33</v>
      </c>
      <c r="H51" s="142">
        <v>2346.7800000000002</v>
      </c>
      <c r="I51" s="142">
        <v>12900</v>
      </c>
      <c r="J51" s="142">
        <v>13300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10230.18</v>
      </c>
      <c r="H52" s="142">
        <v>5198.53</v>
      </c>
      <c r="I52" s="142">
        <v>13300</v>
      </c>
      <c r="J52" s="142">
        <v>13300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>
        <v>0</v>
      </c>
      <c r="I53" s="142">
        <v>2500</v>
      </c>
      <c r="J53" s="142">
        <v>2500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>
        <v>0</v>
      </c>
      <c r="I54" s="142">
        <v>2500</v>
      </c>
      <c r="J54" s="142">
        <v>2500</v>
      </c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0</v>
      </c>
      <c r="I55" s="142">
        <v>0</v>
      </c>
      <c r="J55" s="142">
        <v>0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1441.85</v>
      </c>
      <c r="H56" s="142">
        <v>4555.24</v>
      </c>
      <c r="I56" s="142">
        <v>12300</v>
      </c>
      <c r="J56" s="142">
        <v>12500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33526.61</v>
      </c>
      <c r="H57" s="142">
        <v>59018.69</v>
      </c>
      <c r="I57" s="142">
        <v>57000</v>
      </c>
      <c r="J57" s="142">
        <v>73400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v>0</v>
      </c>
      <c r="I58" s="142">
        <v>0</v>
      </c>
      <c r="J58" s="142"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>
        <v>0</v>
      </c>
      <c r="I59" s="142">
        <v>0</v>
      </c>
      <c r="J59" s="142">
        <v>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54618.14</v>
      </c>
      <c r="H60" s="142">
        <v>58407.31</v>
      </c>
      <c r="I60" s="142">
        <v>58000</v>
      </c>
      <c r="J60" s="142">
        <v>55800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v>0</v>
      </c>
      <c r="I61" s="142">
        <v>0</v>
      </c>
      <c r="J61" s="142">
        <v>0</v>
      </c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6172.31</v>
      </c>
      <c r="H62" s="142">
        <v>6304.25</v>
      </c>
      <c r="I62" s="142">
        <v>6300</v>
      </c>
      <c r="J62" s="142">
        <v>6400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v>0</v>
      </c>
      <c r="I63" s="142">
        <v>0</v>
      </c>
      <c r="J63" s="142"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322477.75</v>
      </c>
      <c r="H64" s="81">
        <f>SUM(H44:H63)</f>
        <v>312568.31999999995</v>
      </c>
      <c r="I64" s="81">
        <f t="shared" ref="I64:M64" si="4">SUM(I44:I63)</f>
        <v>368100</v>
      </c>
      <c r="J64" s="81">
        <f t="shared" si="4"/>
        <v>367500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43284.33</v>
      </c>
      <c r="H65" s="142">
        <v>26845.09</v>
      </c>
      <c r="I65" s="142">
        <v>36500</v>
      </c>
      <c r="J65" s="142">
        <v>40500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>
        <v>0</v>
      </c>
      <c r="I66" s="142">
        <v>0</v>
      </c>
      <c r="J66" s="142">
        <v>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2"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12225.62</v>
      </c>
      <c r="H68" s="142">
        <v>5735.53</v>
      </c>
      <c r="I68" s="142">
        <v>12300</v>
      </c>
      <c r="J68" s="142">
        <v>24300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13107.17</v>
      </c>
      <c r="H69" s="142">
        <v>26822.22</v>
      </c>
      <c r="I69" s="142">
        <v>21400</v>
      </c>
      <c r="J69" s="142">
        <v>22600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11728.62</v>
      </c>
      <c r="H70" s="142">
        <v>41708.68</v>
      </c>
      <c r="I70" s="142">
        <v>10800</v>
      </c>
      <c r="J70" s="142">
        <v>8600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27419.25</v>
      </c>
      <c r="H71" s="142">
        <v>52958.98</v>
      </c>
      <c r="I71" s="142">
        <v>28800</v>
      </c>
      <c r="J71" s="142">
        <v>31100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62947.87</v>
      </c>
      <c r="H72" s="142">
        <v>66114.570000000007</v>
      </c>
      <c r="I72" s="142">
        <v>69900</v>
      </c>
      <c r="J72" s="142">
        <v>54000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1406.16</v>
      </c>
      <c r="H73" s="142">
        <v>3227.96</v>
      </c>
      <c r="I73" s="142">
        <v>1400</v>
      </c>
      <c r="J73" s="142">
        <v>1400</v>
      </c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3477.39</v>
      </c>
      <c r="H74" s="142">
        <v>2503.14</v>
      </c>
      <c r="I74" s="142">
        <v>3200</v>
      </c>
      <c r="J74" s="142">
        <v>3400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90045.51</v>
      </c>
      <c r="H75" s="142">
        <v>114268.19</v>
      </c>
      <c r="I75" s="142">
        <v>116100</v>
      </c>
      <c r="J75" s="142">
        <v>90500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42219.92</v>
      </c>
      <c r="H76" s="142">
        <v>14202.1</v>
      </c>
      <c r="I76" s="142">
        <v>42700</v>
      </c>
      <c r="J76" s="142">
        <v>42400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2530.71</v>
      </c>
      <c r="H77" s="142">
        <v>0</v>
      </c>
      <c r="I77" s="142">
        <v>0</v>
      </c>
      <c r="J77" s="142">
        <v>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310392.55000000005</v>
      </c>
      <c r="H78" s="81">
        <f>SUM(H65:H77)</f>
        <v>354386.45999999996</v>
      </c>
      <c r="I78" s="81">
        <f t="shared" ref="I78:M78" si="5">SUM(I65:I77)</f>
        <v>343100</v>
      </c>
      <c r="J78" s="81">
        <f>SUM(J65:J77)</f>
        <v>318800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37473.160000000003</v>
      </c>
      <c r="H79" s="142">
        <v>57885.78</v>
      </c>
      <c r="I79" s="142">
        <v>47300</v>
      </c>
      <c r="J79" s="142">
        <v>55900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103048.34</v>
      </c>
      <c r="H80" s="142">
        <v>106918.86</v>
      </c>
      <c r="I80" s="142">
        <v>110900</v>
      </c>
      <c r="J80" s="142">
        <v>114400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200099.41</v>
      </c>
      <c r="H81" s="142">
        <v>210220.11</v>
      </c>
      <c r="I81" s="142">
        <v>226400</v>
      </c>
      <c r="J81" s="142">
        <v>250900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104579.83</v>
      </c>
      <c r="H82" s="142">
        <v>84530.3</v>
      </c>
      <c r="I82" s="142">
        <v>96600</v>
      </c>
      <c r="J82" s="142">
        <v>93200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-3.4</v>
      </c>
      <c r="H83" s="142">
        <v>0.55000000000000004</v>
      </c>
      <c r="I83" s="142">
        <v>0</v>
      </c>
      <c r="J83" s="142">
        <v>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>
        <v>0</v>
      </c>
      <c r="I84" s="142">
        <v>0</v>
      </c>
      <c r="J84" s="142">
        <v>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>
        <v>0</v>
      </c>
      <c r="I85" s="142">
        <v>0</v>
      </c>
      <c r="J85" s="142">
        <v>0</v>
      </c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445197.34</v>
      </c>
      <c r="H86" s="81">
        <f>SUM(H79:H85)</f>
        <v>459555.6</v>
      </c>
      <c r="I86" s="81">
        <f t="shared" ref="I86:M86" si="6">SUM(I79:I85)</f>
        <v>481200</v>
      </c>
      <c r="J86" s="81">
        <f t="shared" si="6"/>
        <v>514400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11925.16</v>
      </c>
      <c r="H88" s="142">
        <v>31323.69</v>
      </c>
      <c r="I88" s="142">
        <v>29800</v>
      </c>
      <c r="J88" s="142">
        <v>25300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7990.22</v>
      </c>
      <c r="H90" s="142">
        <v>13519.8</v>
      </c>
      <c r="I90" s="142">
        <v>8500</v>
      </c>
      <c r="J90" s="143">
        <v>9400</v>
      </c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19915.38</v>
      </c>
      <c r="H91" s="81">
        <f>SUM(H87:H90)</f>
        <v>44843.49</v>
      </c>
      <c r="I91" s="81">
        <f t="shared" ref="I91:M91" si="7">SUM(I87:I90)</f>
        <v>38300</v>
      </c>
      <c r="J91" s="81">
        <f t="shared" si="7"/>
        <v>34700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0</v>
      </c>
      <c r="H92" s="142">
        <v>0</v>
      </c>
      <c r="I92" s="142">
        <v>0</v>
      </c>
      <c r="J92" s="142">
        <v>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364886.57</v>
      </c>
      <c r="H93" s="142">
        <v>360770.12</v>
      </c>
      <c r="I93" s="142">
        <v>368200</v>
      </c>
      <c r="J93" s="142">
        <v>380700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215288.65</v>
      </c>
      <c r="H94" s="142">
        <v>208942.81</v>
      </c>
      <c r="I94" s="142">
        <v>228200</v>
      </c>
      <c r="J94" s="142">
        <v>234000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58173.23</v>
      </c>
      <c r="H95" s="142">
        <v>67518.28</v>
      </c>
      <c r="I95" s="142">
        <v>62000</v>
      </c>
      <c r="J95" s="142">
        <v>60400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2"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42200.02</v>
      </c>
      <c r="H97" s="142">
        <v>53214.51</v>
      </c>
      <c r="I97" s="142">
        <v>49700</v>
      </c>
      <c r="J97" s="142">
        <v>50300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32743.73</v>
      </c>
      <c r="H98" s="142">
        <v>42093.93</v>
      </c>
      <c r="I98" s="142">
        <v>42100</v>
      </c>
      <c r="J98" s="142">
        <v>45000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14641.81</v>
      </c>
      <c r="H99" s="142">
        <v>0</v>
      </c>
      <c r="I99" s="142">
        <v>0</v>
      </c>
      <c r="J99" s="142">
        <v>0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v>16744.34</v>
      </c>
      <c r="I100" s="142">
        <v>24100</v>
      </c>
      <c r="J100" s="142">
        <v>18400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v>16744.34</v>
      </c>
      <c r="I101" s="142">
        <v>24100</v>
      </c>
      <c r="J101" s="142">
        <v>18400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v>0</v>
      </c>
      <c r="I102" s="142">
        <v>0</v>
      </c>
      <c r="J102" s="142"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93458.96</v>
      </c>
      <c r="H103" s="142">
        <v>77609.94</v>
      </c>
      <c r="I103" s="142">
        <v>121700</v>
      </c>
      <c r="J103" s="142">
        <v>158400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98005.64</v>
      </c>
      <c r="H104" s="142">
        <v>87624.95</v>
      </c>
      <c r="I104" s="142">
        <v>97600</v>
      </c>
      <c r="J104" s="142">
        <v>100400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2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v>0</v>
      </c>
      <c r="I106" s="142">
        <v>0</v>
      </c>
      <c r="J106" s="142"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22729.07</v>
      </c>
      <c r="H107" s="142">
        <v>22486.639999999999</v>
      </c>
      <c r="I107" s="142">
        <v>26900</v>
      </c>
      <c r="J107" s="142">
        <v>26700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10043.280000000001</v>
      </c>
      <c r="H108" s="142">
        <v>10223.27</v>
      </c>
      <c r="I108" s="142">
        <v>10400</v>
      </c>
      <c r="J108" s="142">
        <v>10500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952170.96</v>
      </c>
      <c r="H109" s="81">
        <f>SUM(H92:H108)</f>
        <v>963973.13</v>
      </c>
      <c r="I109" s="81">
        <f t="shared" ref="I109:M109" si="8">SUM(I92:I108)</f>
        <v>1055000</v>
      </c>
      <c r="J109" s="81">
        <f t="shared" si="8"/>
        <v>1103200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5519.88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5519.88</v>
      </c>
      <c r="H112" s="81">
        <f>H110+H111</f>
        <v>0</v>
      </c>
      <c r="I112" s="81">
        <f t="shared" ref="I112:M112" si="9">I110+I111</f>
        <v>0</v>
      </c>
      <c r="J112" s="81">
        <f t="shared" si="9"/>
        <v>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2055673.8599999999</v>
      </c>
      <c r="H115" s="81">
        <f>H114+H112+H109+H91+H86+H78+H64</f>
        <v>2135327</v>
      </c>
      <c r="I115" s="81">
        <f t="shared" ref="I115:M115" si="11">I114+I112+I109+I91+I86+I78+I64</f>
        <v>2285700</v>
      </c>
      <c r="J115" s="81">
        <f t="shared" si="11"/>
        <v>2338600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2">H47</f>
        <v>0</v>
      </c>
      <c r="I118" s="58">
        <f t="shared" si="12"/>
        <v>0</v>
      </c>
      <c r="J118" s="58">
        <f t="shared" si="12"/>
        <v>0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4">H48</f>
        <v>0</v>
      </c>
      <c r="I119" s="58">
        <f t="shared" si="14"/>
        <v>0</v>
      </c>
      <c r="J119" s="58">
        <f t="shared" si="14"/>
        <v>0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8">I47+I48+I67</f>
        <v>0</v>
      </c>
      <c r="J121" s="110">
        <f t="shared" si="18"/>
        <v>0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51278</v>
      </c>
      <c r="H122" s="176">
        <f>G122</f>
        <v>51278</v>
      </c>
      <c r="I122" s="176">
        <f>G122</f>
        <v>51278</v>
      </c>
      <c r="J122" s="176">
        <f>G122</f>
        <v>51278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P274"/>
  <sheetViews>
    <sheetView zoomScale="70" zoomScaleNormal="70" workbookViewId="0">
      <pane ySplit="5" topLeftCell="A107" activePane="bottomLeft" state="frozen"/>
      <selection activeCell="G33" sqref="G33"/>
      <selection pane="bottomLeft" activeCell="H113" sqref="H113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89" width="9.140625" customWidth="1"/>
    <col min="90" max="90" width="11.28515625" bestFit="1" customWidth="1"/>
    <col min="91" max="93" width="9.140625" customWidth="1"/>
  </cols>
  <sheetData>
    <row r="1" spans="1:94" ht="24" thickBot="1" x14ac:dyDescent="0.4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38" t="s">
        <v>1</v>
      </c>
      <c r="C3" s="238"/>
      <c r="D3" s="101"/>
      <c r="E3" s="102" t="str">
        <f>'Model Inputs'!F5</f>
        <v>Centre Wellington Hydro Ltd.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9"/>
      <c r="G4" s="240"/>
      <c r="H4" s="241" t="s">
        <v>2</v>
      </c>
      <c r="I4" s="242"/>
      <c r="J4" s="242"/>
      <c r="K4" s="242"/>
      <c r="L4" s="242"/>
      <c r="M4" s="24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37" t="s">
        <v>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107595.38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24975.95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67863.289999999994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101.9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15978.47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-26.33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10230.18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1441.85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33526.61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54618.14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6172.31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322477.75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43284.33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12225.62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13107.17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11728.62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27419.25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62947.87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1406.16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3477.39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90045.51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42219.92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2530.71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310392.55000000005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37473.160000000003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103048.34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200099.41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104579.83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-3.4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445197.34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11925.16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7990.22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19915.38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0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364886.57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215288.65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58173.23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42200.02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32743.73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14641.81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93458.96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98005.64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22729.07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10043.280000000001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952170.96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5519.88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5519.88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2055673.8599999999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51278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2106951.86</v>
      </c>
      <c r="H89" s="186">
        <f>'Model Inputs'!H31</f>
        <v>2186605</v>
      </c>
      <c r="I89" s="187">
        <f>'Model Inputs'!I31</f>
        <v>2336978</v>
      </c>
      <c r="J89" s="187">
        <f>'Model Inputs'!J31</f>
        <v>2389878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1884000.9</v>
      </c>
      <c r="H92" s="186">
        <f>'Model Inputs'!H9</f>
        <v>2132796.9699999997</v>
      </c>
      <c r="I92" s="187">
        <f>'Model Inputs'!I9</f>
        <v>1277600</v>
      </c>
      <c r="J92" s="187">
        <f>'Model Inputs'!J9</f>
        <v>1000000</v>
      </c>
      <c r="K92" s="187">
        <f>'Model Inputs'!K9</f>
        <v>750600</v>
      </c>
      <c r="L92" s="187">
        <f>'Model Inputs'!L9</f>
        <v>973600</v>
      </c>
      <c r="M92" s="188">
        <f>'Model Inputs'!M9</f>
        <v>720000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32714.01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6757</v>
      </c>
      <c r="H96" s="186">
        <f>'Model Inputs'!H13</f>
        <v>6911.5414404781222</v>
      </c>
      <c r="I96" s="187">
        <f>'Model Inputs'!I13</f>
        <v>6843.6259921260244</v>
      </c>
      <c r="J96" s="187">
        <f>'Model Inputs'!J13</f>
        <v>6911.5414404781222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139446467.25</v>
      </c>
      <c r="H97" s="186">
        <f>'Model Inputs'!H14</f>
        <v>138233652</v>
      </c>
      <c r="I97" s="187">
        <f>'Model Inputs'!I14</f>
        <v>146918511.24504298</v>
      </c>
      <c r="J97" s="187">
        <f>'Model Inputs'!J14</f>
        <v>144456071.39831477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28656</v>
      </c>
      <c r="H98" s="186">
        <f>'Model Inputs'!H15</f>
        <v>0</v>
      </c>
      <c r="I98" s="187">
        <f>'Model Inputs'!I15</f>
        <v>0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151</v>
      </c>
      <c r="H99" s="186">
        <f>'Model Inputs'!H16</f>
        <v>151</v>
      </c>
      <c r="I99" s="187">
        <f>'Model Inputs'!I16</f>
        <v>151</v>
      </c>
      <c r="J99" s="187">
        <f>'Model Inputs'!J16</f>
        <v>151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37" t="s">
        <v>93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2106951.86</v>
      </c>
      <c r="H107" s="29">
        <f t="shared" ref="H107:K107" si="4">H89</f>
        <v>2186605</v>
      </c>
      <c r="I107" s="29">
        <f t="shared" si="4"/>
        <v>2336978</v>
      </c>
      <c r="J107" s="29">
        <f t="shared" si="4"/>
        <v>2389878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6.5054666666666677E-2</v>
      </c>
      <c r="I110" s="202">
        <f>'Model Inputs'!I22</f>
        <v>6.5054666666666677E-2</v>
      </c>
      <c r="J110" s="202">
        <f>'Model Inputs'!J22</f>
        <v>5.9538338952381684E-2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171.00798788639747</v>
      </c>
      <c r="K112" s="205">
        <f>J112*EXP('Model Inputs'!K21)</f>
        <v>171.00798788639747</v>
      </c>
      <c r="L112" s="205">
        <f>K112*EXP('Model Inputs'!L21)</f>
        <v>171.00798788639747</v>
      </c>
      <c r="M112" s="206">
        <f>L112*EXP('Model Inputs'!M21)</f>
        <v>171.00798788639747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18.217550546821649</v>
      </c>
      <c r="I113" s="29">
        <f t="shared" si="7"/>
        <v>18.506654280427806</v>
      </c>
      <c r="J113" s="29">
        <f t="shared" si="7"/>
        <v>17.871746276393495</v>
      </c>
      <c r="K113" s="29">
        <f t="shared" si="7"/>
        <v>7.8492666439856444</v>
      </c>
      <c r="L113" s="29">
        <f t="shared" si="7"/>
        <v>7.8492666439856444</v>
      </c>
      <c r="M113" s="29">
        <f t="shared" si="7"/>
        <v>7.8492666439856444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1884000.9</v>
      </c>
      <c r="H114" s="207">
        <f>H92</f>
        <v>2132796.9699999997</v>
      </c>
      <c r="I114" s="208">
        <f t="shared" ref="I114:L114" si="8">I92</f>
        <v>1277600</v>
      </c>
      <c r="J114" s="208">
        <f t="shared" si="8"/>
        <v>1000000</v>
      </c>
      <c r="K114" s="208">
        <f t="shared" si="8"/>
        <v>750600</v>
      </c>
      <c r="L114" s="208">
        <f t="shared" si="8"/>
        <v>973600</v>
      </c>
      <c r="M114" s="209">
        <f t="shared" ref="M114" si="9">M92</f>
        <v>720000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32714.01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11349.35328979989</v>
      </c>
      <c r="H116" s="8">
        <f t="shared" ref="H116:K116" si="12">(H114-H115)/H112</f>
        <v>12870.901768954514</v>
      </c>
      <c r="I116" s="8">
        <f t="shared" si="12"/>
        <v>7589.557139093763</v>
      </c>
      <c r="J116" s="8">
        <f t="shared" si="12"/>
        <v>5847.6800549475574</v>
      </c>
      <c r="K116" s="8">
        <f t="shared" si="12"/>
        <v>4389.2686492436369</v>
      </c>
      <c r="L116" s="8">
        <f t="shared" ref="L116:M116" si="13">(L114-L115)/L112</f>
        <v>5693.301301496942</v>
      </c>
      <c r="M116" s="8">
        <f t="shared" si="13"/>
        <v>4210.329639562241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5650.7904618818839</v>
      </c>
      <c r="H117" s="25">
        <f t="shared" ref="H117:M117" si="14">H111*G118</f>
        <v>5912.3544956833202</v>
      </c>
      <c r="I117" s="25">
        <f t="shared" si="14"/>
        <v>6231.7518155264688</v>
      </c>
      <c r="J117" s="25">
        <f t="shared" si="14"/>
        <v>6294.0750798782074</v>
      </c>
      <c r="K117" s="25">
        <f t="shared" si="14"/>
        <v>6273.5855482338911</v>
      </c>
      <c r="L117" s="25">
        <f t="shared" si="14"/>
        <v>6187.0954025702385</v>
      </c>
      <c r="M117" s="25">
        <f t="shared" si="14"/>
        <v>6164.4302533309747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128809.4661368915</v>
      </c>
      <c r="H118" s="25">
        <f t="shared" ref="H118:M118" si="15">G118+H116-H117</f>
        <v>135768.0134101627</v>
      </c>
      <c r="I118" s="25">
        <f t="shared" si="15"/>
        <v>137125.81873373</v>
      </c>
      <c r="J118" s="25">
        <f t="shared" si="15"/>
        <v>136679.42370879935</v>
      </c>
      <c r="K118" s="25">
        <f t="shared" si="15"/>
        <v>134795.10680980911</v>
      </c>
      <c r="L118" s="25">
        <f t="shared" si="15"/>
        <v>134301.31270873582</v>
      </c>
      <c r="M118" s="25">
        <f t="shared" si="15"/>
        <v>132347.21209496708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2309342.2673896877</v>
      </c>
      <c r="H119" s="25">
        <f t="shared" ref="H119:K119" si="16">H113*H118</f>
        <v>2473360.6469411985</v>
      </c>
      <c r="I119" s="25">
        <f t="shared" si="16"/>
        <v>2537740.1202257518</v>
      </c>
      <c r="J119" s="25">
        <f t="shared" si="16"/>
        <v>2442699.9817273435</v>
      </c>
      <c r="K119" s="25">
        <f t="shared" si="16"/>
        <v>1058042.7356547168</v>
      </c>
      <c r="L119" s="25">
        <f t="shared" ref="L119:M119" si="17">L113*L118</f>
        <v>1054166.8140881653</v>
      </c>
      <c r="M119" s="25">
        <f t="shared" si="17"/>
        <v>1038828.5573215185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ht="13.5" thickBot="1" x14ac:dyDescent="0.2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4416294.127389688</v>
      </c>
      <c r="H121" s="25">
        <f t="shared" ref="H121:K121" si="18">H107+H119</f>
        <v>4659965.646941198</v>
      </c>
      <c r="I121" s="25">
        <f t="shared" si="18"/>
        <v>4874718.1202257518</v>
      </c>
      <c r="J121" s="25">
        <f t="shared" si="18"/>
        <v>4832577.9817273431</v>
      </c>
      <c r="K121" s="25">
        <f t="shared" si="18"/>
        <v>1058042.7356547168</v>
      </c>
      <c r="L121" s="25">
        <f t="shared" ref="L121:M121" si="19">L107+L119</f>
        <v>1054166.8140881653</v>
      </c>
      <c r="M121" s="25">
        <f t="shared" si="19"/>
        <v>1038828.5573215185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CJ122" s="221"/>
      <c r="CK122" s="73"/>
      <c r="CL122" s="222"/>
    </row>
    <row r="123" spans="1:90" s="3" customFormat="1" ht="13.5" thickBot="1" x14ac:dyDescent="0.25">
      <c r="A123" s="237" t="s">
        <v>108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234" t="s">
        <v>280</v>
      </c>
      <c r="CK123" s="235"/>
      <c r="CL123" s="236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  <c r="CJ124" s="74"/>
      <c r="CK124" s="26"/>
      <c r="CL124" s="223"/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  <c r="CJ125" s="224" t="s">
        <v>278</v>
      </c>
      <c r="CK125" s="225"/>
      <c r="CL125" s="228">
        <f>H121/H128</f>
        <v>674.22957484558378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  <c r="CJ126" s="224" t="s">
        <v>279</v>
      </c>
      <c r="CK126" s="225"/>
      <c r="CL126" s="228">
        <f>H121/H142</f>
        <v>30860.699648617207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  <c r="CJ127" s="74"/>
      <c r="CK127" s="26"/>
      <c r="CL127" s="223"/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6757</v>
      </c>
      <c r="H128" s="8">
        <f t="shared" ref="H128:K130" si="20">H96</f>
        <v>6911.5414404781222</v>
      </c>
      <c r="I128" s="8">
        <f t="shared" si="20"/>
        <v>6843.6259921260244</v>
      </c>
      <c r="J128" s="8">
        <f t="shared" si="20"/>
        <v>6911.5414404781222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  <c r="CJ128" s="74"/>
      <c r="CK128" s="26"/>
      <c r="CL128" s="223"/>
    </row>
    <row r="129" spans="1:90" ht="13.5" thickBot="1" x14ac:dyDescent="0.2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139446467.25</v>
      </c>
      <c r="H129" s="39">
        <f t="shared" si="20"/>
        <v>138233652</v>
      </c>
      <c r="I129" s="39">
        <f t="shared" si="20"/>
        <v>146918511.24504298</v>
      </c>
      <c r="J129" s="39">
        <f t="shared" si="20"/>
        <v>144456071.39831477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  <c r="CJ129" s="226"/>
      <c r="CK129" s="75"/>
      <c r="CL129" s="227"/>
    </row>
    <row r="130" spans="1:90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28656</v>
      </c>
      <c r="H130" s="8">
        <f t="shared" si="20"/>
        <v>0</v>
      </c>
      <c r="I130" s="8">
        <f t="shared" si="20"/>
        <v>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90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39945</v>
      </c>
      <c r="H131" s="8">
        <f t="shared" ref="H131:M131" si="24">MAX(G131,H130)</f>
        <v>39945</v>
      </c>
      <c r="I131" s="8">
        <f t="shared" si="24"/>
        <v>39945</v>
      </c>
      <c r="J131" s="8">
        <f t="shared" si="24"/>
        <v>39945</v>
      </c>
      <c r="K131" s="8">
        <f t="shared" si="24"/>
        <v>39945</v>
      </c>
      <c r="L131" s="8">
        <f t="shared" si="24"/>
        <v>39945</v>
      </c>
      <c r="M131" s="8">
        <f t="shared" si="24"/>
        <v>39945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90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90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90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120.79821124012295</v>
      </c>
      <c r="K134" s="214">
        <f>J134*EXP('Model Inputs'!K21)</f>
        <v>120.79821124012295</v>
      </c>
      <c r="L134" s="214">
        <f>K134*EXP('Model Inputs'!L21)</f>
        <v>120.79821124012295</v>
      </c>
      <c r="M134" s="215">
        <f>L134*EXP('Model Inputs'!M21)</f>
        <v>120.79821124012295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90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90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2.2671003495575846E-2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90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126.45318898924809</v>
      </c>
      <c r="H137" s="29">
        <f t="shared" ref="H137:M137" si="26">G137*EXP(H136)</f>
        <v>129.35275350674215</v>
      </c>
      <c r="I137" s="29">
        <f t="shared" si="26"/>
        <v>132.31880487568148</v>
      </c>
      <c r="J137" s="29">
        <f t="shared" si="26"/>
        <v>135.35286763583352</v>
      </c>
      <c r="K137" s="29">
        <f t="shared" si="26"/>
        <v>135.35286763583352</v>
      </c>
      <c r="L137" s="29">
        <f t="shared" si="26"/>
        <v>135.35286763583352</v>
      </c>
      <c r="M137" s="29">
        <f t="shared" si="26"/>
        <v>135.35286763583352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90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90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18.217550546821649</v>
      </c>
      <c r="I139" s="29">
        <f t="shared" si="27"/>
        <v>18.506654280427806</v>
      </c>
      <c r="J139" s="29">
        <f t="shared" si="27"/>
        <v>17.871746276393495</v>
      </c>
      <c r="K139" s="29">
        <f t="shared" si="27"/>
        <v>7.8492666439856444</v>
      </c>
      <c r="L139" s="29">
        <f t="shared" ref="L139:M139" si="28">L113</f>
        <v>7.8492666439856444</v>
      </c>
      <c r="M139" s="29">
        <f t="shared" si="28"/>
        <v>7.8492666439856444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90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90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90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151</v>
      </c>
      <c r="H142" s="42">
        <f>'Model Inputs'!H16</f>
        <v>151</v>
      </c>
      <c r="I142" s="42">
        <f>'Model Inputs'!I16</f>
        <v>151</v>
      </c>
      <c r="J142" s="42">
        <f>'Model Inputs'!J16</f>
        <v>151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90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146</v>
      </c>
      <c r="H143" s="41">
        <f>(G143*14+H142)/15</f>
        <v>146.33333333333334</v>
      </c>
      <c r="I143" s="41">
        <f>(H143*15+I142)/16</f>
        <v>146.625</v>
      </c>
      <c r="J143" s="41">
        <f>(I143*16+J142)/17</f>
        <v>146.88235294117646</v>
      </c>
      <c r="K143" s="41">
        <f>(J143*17+K142)/18</f>
        <v>138.72222222222223</v>
      </c>
      <c r="L143" s="41">
        <f>(K143*17+L142)/18</f>
        <v>131.01543209876544</v>
      </c>
      <c r="M143" s="41">
        <f>(L143*17+M142)/18</f>
        <v>123.73679698216736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90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6086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0.11025303976339139</v>
      </c>
      <c r="H145" s="30">
        <f>'Model Inputs'!H17</f>
        <v>0.01</v>
      </c>
      <c r="I145" s="30">
        <f>'Model Inputs'!I17</f>
        <v>0.01</v>
      </c>
      <c r="J145" s="30">
        <f>'Model Inputs'!J17</f>
        <v>0.01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0.14177861776611947</v>
      </c>
      <c r="H152" s="44">
        <f t="shared" ref="H152:K152" si="31">H113/H137</f>
        <v>0.14083620219087264</v>
      </c>
      <c r="I152" s="44">
        <f t="shared" si="31"/>
        <v>0.13986412813972668</v>
      </c>
      <c r="J152" s="44">
        <f t="shared" si="31"/>
        <v>0.13203817982251675</v>
      </c>
      <c r="K152" s="44">
        <f t="shared" si="31"/>
        <v>5.799113665699402E-2</v>
      </c>
      <c r="L152" s="44">
        <f t="shared" ref="L152:M152" si="32">L113/L137</f>
        <v>5.799113665699402E-2</v>
      </c>
      <c r="M152" s="44">
        <f t="shared" si="32"/>
        <v>5.799113665699402E-2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6757</v>
      </c>
      <c r="H153" s="25">
        <f t="shared" ref="H153:K153" si="33">H96</f>
        <v>6911.5414404781222</v>
      </c>
      <c r="I153" s="25">
        <f t="shared" si="33"/>
        <v>6843.6259921260244</v>
      </c>
      <c r="J153" s="25">
        <f t="shared" si="33"/>
        <v>6911.5414404781222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39945</v>
      </c>
      <c r="H154" s="25">
        <f t="shared" ref="H154:K154" si="35">H131</f>
        <v>39945</v>
      </c>
      <c r="I154" s="25">
        <f t="shared" si="35"/>
        <v>39945</v>
      </c>
      <c r="J154" s="25">
        <f t="shared" si="35"/>
        <v>39945</v>
      </c>
      <c r="K154" s="25">
        <f t="shared" si="35"/>
        <v>39945</v>
      </c>
      <c r="L154" s="25">
        <f t="shared" ref="L154:M154" si="36">L131</f>
        <v>39945</v>
      </c>
      <c r="M154" s="25">
        <f t="shared" si="36"/>
        <v>39945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139446467.25</v>
      </c>
      <c r="H155" s="39">
        <f t="shared" ref="H155:K155" si="37">H97</f>
        <v>138233652</v>
      </c>
      <c r="I155" s="39">
        <f t="shared" si="37"/>
        <v>146918511.24504298</v>
      </c>
      <c r="J155" s="39">
        <f t="shared" si="37"/>
        <v>144456071.39831477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146</v>
      </c>
      <c r="H156" s="45">
        <f t="shared" ref="H156:K156" si="39">H143</f>
        <v>146.33333333333334</v>
      </c>
      <c r="I156" s="45">
        <f t="shared" si="39"/>
        <v>146.625</v>
      </c>
      <c r="J156" s="45">
        <f t="shared" si="39"/>
        <v>146.88235294117646</v>
      </c>
      <c r="K156" s="45">
        <f t="shared" si="39"/>
        <v>138.72222222222223</v>
      </c>
      <c r="L156" s="45">
        <f t="shared" ref="L156:M156" si="40">L143</f>
        <v>131.01543209876544</v>
      </c>
      <c r="M156" s="45">
        <f t="shared" si="40"/>
        <v>123.73679698216736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0.11025303976339139</v>
      </c>
      <c r="H157" s="31">
        <f t="shared" ref="H157:L157" si="41">H145</f>
        <v>0.01</v>
      </c>
      <c r="I157" s="31">
        <f t="shared" si="41"/>
        <v>0.01</v>
      </c>
      <c r="J157" s="31">
        <f t="shared" si="41"/>
        <v>0.01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12.81331330994302</v>
      </c>
      <c r="H162" s="49">
        <f t="shared" ref="H162:M179" si="45">G162</f>
        <v>12.81331330994302</v>
      </c>
      <c r="I162" s="49">
        <f t="shared" si="45"/>
        <v>12.81331330994302</v>
      </c>
      <c r="J162" s="49">
        <f t="shared" si="45"/>
        <v>12.81331330994302</v>
      </c>
      <c r="K162" s="49">
        <f t="shared" si="45"/>
        <v>12.81331330994302</v>
      </c>
      <c r="L162" s="49">
        <f t="shared" si="45"/>
        <v>12.81331330994302</v>
      </c>
      <c r="M162" s="49">
        <f t="shared" si="45"/>
        <v>12.81331330994302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0.62722193683244376</v>
      </c>
      <c r="H163" s="49">
        <f t="shared" si="45"/>
        <v>0.62722193683244376</v>
      </c>
      <c r="I163" s="49">
        <f t="shared" si="45"/>
        <v>0.62722193683244376</v>
      </c>
      <c r="J163" s="49">
        <f t="shared" si="45"/>
        <v>0.62722193683244376</v>
      </c>
      <c r="K163" s="49">
        <f t="shared" si="45"/>
        <v>0.62722193683244376</v>
      </c>
      <c r="L163" s="49">
        <f t="shared" si="45"/>
        <v>0.62722193683244376</v>
      </c>
      <c r="M163" s="49">
        <f t="shared" si="45"/>
        <v>0.62722193683244376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0.44755158910340032</v>
      </c>
      <c r="H164" s="49">
        <f t="shared" si="45"/>
        <v>0.44755158910340032</v>
      </c>
      <c r="I164" s="49">
        <f t="shared" si="45"/>
        <v>0.44755158910340032</v>
      </c>
      <c r="J164" s="49">
        <f t="shared" si="45"/>
        <v>0.44755158910340032</v>
      </c>
      <c r="K164" s="49">
        <f t="shared" si="45"/>
        <v>0.44755158910340032</v>
      </c>
      <c r="L164" s="49">
        <f t="shared" si="45"/>
        <v>0.44755158910340032</v>
      </c>
      <c r="M164" s="49">
        <f t="shared" si="45"/>
        <v>0.44755158910340032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0.15481466094418173</v>
      </c>
      <c r="H165" s="49">
        <f t="shared" si="45"/>
        <v>0.15481466094418173</v>
      </c>
      <c r="I165" s="49">
        <f t="shared" si="45"/>
        <v>0.15481466094418173</v>
      </c>
      <c r="J165" s="49">
        <f t="shared" si="45"/>
        <v>0.15481466094418173</v>
      </c>
      <c r="K165" s="49">
        <f t="shared" si="45"/>
        <v>0.15481466094418173</v>
      </c>
      <c r="L165" s="49">
        <f t="shared" si="45"/>
        <v>0.15481466094418173</v>
      </c>
      <c r="M165" s="49">
        <f t="shared" si="45"/>
        <v>0.15481466094418173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0.10977007445625103</v>
      </c>
      <c r="H166" s="49">
        <f t="shared" si="45"/>
        <v>0.10977007445625103</v>
      </c>
      <c r="I166" s="49">
        <f t="shared" si="45"/>
        <v>0.10977007445625103</v>
      </c>
      <c r="J166" s="49">
        <f t="shared" si="45"/>
        <v>0.10977007445625103</v>
      </c>
      <c r="K166" s="49">
        <f t="shared" si="45"/>
        <v>0.10977007445625103</v>
      </c>
      <c r="L166" s="49">
        <f t="shared" si="45"/>
        <v>0.10977007445625103</v>
      </c>
      <c r="M166" s="49">
        <f t="shared" si="45"/>
        <v>0.10977007445625103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0.12487470386764654</v>
      </c>
      <c r="H167" s="49">
        <f t="shared" si="45"/>
        <v>0.12487470386764654</v>
      </c>
      <c r="I167" s="49">
        <f t="shared" si="45"/>
        <v>0.12487470386764654</v>
      </c>
      <c r="J167" s="49">
        <f t="shared" si="45"/>
        <v>0.12487470386764654</v>
      </c>
      <c r="K167" s="49">
        <f t="shared" si="45"/>
        <v>0.12487470386764654</v>
      </c>
      <c r="L167" s="49">
        <f t="shared" si="45"/>
        <v>0.12487470386764654</v>
      </c>
      <c r="M167" s="49">
        <f t="shared" si="45"/>
        <v>0.12487470386764654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-0.39556858220062985</v>
      </c>
      <c r="H168" s="49">
        <f t="shared" si="45"/>
        <v>-0.39556858220062985</v>
      </c>
      <c r="I168" s="49">
        <f t="shared" si="45"/>
        <v>-0.39556858220062985</v>
      </c>
      <c r="J168" s="49">
        <f t="shared" si="45"/>
        <v>-0.39556858220062985</v>
      </c>
      <c r="K168" s="49">
        <f t="shared" si="45"/>
        <v>-0.39556858220062985</v>
      </c>
      <c r="L168" s="49">
        <f t="shared" si="45"/>
        <v>-0.39556858220062985</v>
      </c>
      <c r="M168" s="49">
        <f t="shared" si="45"/>
        <v>-0.39556858220062985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0.25152891820417489</v>
      </c>
      <c r="H169" s="49">
        <f t="shared" si="45"/>
        <v>0.25152891820417489</v>
      </c>
      <c r="I169" s="49">
        <f t="shared" si="45"/>
        <v>0.25152891820417489</v>
      </c>
      <c r="J169" s="49">
        <f t="shared" si="45"/>
        <v>0.25152891820417489</v>
      </c>
      <c r="K169" s="49">
        <f t="shared" si="45"/>
        <v>0.25152891820417489</v>
      </c>
      <c r="L169" s="49">
        <f t="shared" si="45"/>
        <v>0.25152891820417489</v>
      </c>
      <c r="M169" s="49">
        <f t="shared" si="45"/>
        <v>0.25152891820417489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0.17826995710647331</v>
      </c>
      <c r="H170" s="49">
        <f t="shared" si="45"/>
        <v>0.17826995710647331</v>
      </c>
      <c r="I170" s="49">
        <f t="shared" si="45"/>
        <v>0.17826995710647331</v>
      </c>
      <c r="J170" s="49">
        <f t="shared" si="45"/>
        <v>0.17826995710647331</v>
      </c>
      <c r="K170" s="49">
        <f t="shared" si="45"/>
        <v>0.17826995710647331</v>
      </c>
      <c r="L170" s="49">
        <f t="shared" si="45"/>
        <v>0.17826995710647331</v>
      </c>
      <c r="M170" s="49">
        <f t="shared" si="45"/>
        <v>0.17826995710647331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5.3512745703827136E-2</v>
      </c>
      <c r="H171" s="49">
        <f t="shared" si="45"/>
        <v>5.3512745703827136E-2</v>
      </c>
      <c r="I171" s="49">
        <f t="shared" si="45"/>
        <v>5.3512745703827136E-2</v>
      </c>
      <c r="J171" s="49">
        <f t="shared" si="45"/>
        <v>5.3512745703827136E-2</v>
      </c>
      <c r="K171" s="49">
        <f t="shared" si="45"/>
        <v>5.3512745703827136E-2</v>
      </c>
      <c r="L171" s="49">
        <f t="shared" si="45"/>
        <v>5.3512745703827136E-2</v>
      </c>
      <c r="M171" s="49">
        <f t="shared" si="45"/>
        <v>5.3512745703827136E-2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9.2589979425976576E-3</v>
      </c>
      <c r="H172" s="49">
        <f t="shared" si="45"/>
        <v>9.2589979425976576E-3</v>
      </c>
      <c r="I172" s="49">
        <f t="shared" si="45"/>
        <v>9.2589979425976576E-3</v>
      </c>
      <c r="J172" s="49">
        <f t="shared" si="45"/>
        <v>9.2589979425976576E-3</v>
      </c>
      <c r="K172" s="49">
        <f t="shared" si="45"/>
        <v>9.2589979425976576E-3</v>
      </c>
      <c r="L172" s="49">
        <f t="shared" si="45"/>
        <v>9.2589979425976576E-3</v>
      </c>
      <c r="M172" s="49">
        <f t="shared" si="45"/>
        <v>9.2589979425976576E-3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8.5376572339093681E-4</v>
      </c>
      <c r="H173" s="49">
        <f t="shared" si="45"/>
        <v>8.5376572339093681E-4</v>
      </c>
      <c r="I173" s="49">
        <f t="shared" si="45"/>
        <v>8.5376572339093681E-4</v>
      </c>
      <c r="J173" s="49">
        <f t="shared" si="45"/>
        <v>8.5376572339093681E-4</v>
      </c>
      <c r="K173" s="49">
        <f t="shared" si="45"/>
        <v>8.5376572339093681E-4</v>
      </c>
      <c r="L173" s="49">
        <f t="shared" si="45"/>
        <v>8.5376572339093681E-4</v>
      </c>
      <c r="M173" s="49">
        <f t="shared" si="45"/>
        <v>8.5376572339093681E-4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0.12466894617253094</v>
      </c>
      <c r="H174" s="49">
        <f t="shared" si="45"/>
        <v>0.12466894617253094</v>
      </c>
      <c r="I174" s="49">
        <f t="shared" si="45"/>
        <v>0.12466894617253094</v>
      </c>
      <c r="J174" s="49">
        <f t="shared" si="45"/>
        <v>0.12466894617253094</v>
      </c>
      <c r="K174" s="49">
        <f t="shared" si="45"/>
        <v>0.12466894617253094</v>
      </c>
      <c r="L174" s="49">
        <f t="shared" si="45"/>
        <v>0.12466894617253094</v>
      </c>
      <c r="M174" s="49">
        <f t="shared" si="45"/>
        <v>0.12466894617253094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0.10565182817113133</v>
      </c>
      <c r="H175" s="49">
        <f t="shared" si="45"/>
        <v>0.10565182817113133</v>
      </c>
      <c r="I175" s="49">
        <f t="shared" si="45"/>
        <v>0.10565182817113133</v>
      </c>
      <c r="J175" s="49">
        <f t="shared" si="45"/>
        <v>0.10565182817113133</v>
      </c>
      <c r="K175" s="49">
        <f t="shared" si="45"/>
        <v>0.10565182817113133</v>
      </c>
      <c r="L175" s="49">
        <f t="shared" si="45"/>
        <v>0.10565182817113133</v>
      </c>
      <c r="M175" s="49">
        <f t="shared" si="45"/>
        <v>0.10565182817113133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-0.24875118665730625</v>
      </c>
      <c r="H176" s="49">
        <f t="shared" si="45"/>
        <v>-0.24875118665730625</v>
      </c>
      <c r="I176" s="49">
        <f t="shared" si="45"/>
        <v>-0.24875118665730625</v>
      </c>
      <c r="J176" s="49">
        <f t="shared" si="45"/>
        <v>-0.24875118665730625</v>
      </c>
      <c r="K176" s="49">
        <f t="shared" si="45"/>
        <v>-0.24875118665730625</v>
      </c>
      <c r="L176" s="49">
        <f t="shared" si="45"/>
        <v>-0.24875118665730625</v>
      </c>
      <c r="M176" s="49">
        <f t="shared" si="45"/>
        <v>-0.24875118665730625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0.28370267151158091</v>
      </c>
      <c r="H177" s="49">
        <f t="shared" si="45"/>
        <v>0.28370267151158091</v>
      </c>
      <c r="I177" s="49">
        <f t="shared" si="45"/>
        <v>0.28370267151158091</v>
      </c>
      <c r="J177" s="49">
        <f t="shared" si="45"/>
        <v>0.28370267151158091</v>
      </c>
      <c r="K177" s="49">
        <f t="shared" si="45"/>
        <v>0.28370267151158091</v>
      </c>
      <c r="L177" s="49">
        <f t="shared" si="45"/>
        <v>0.28370267151158091</v>
      </c>
      <c r="M177" s="49">
        <f t="shared" si="45"/>
        <v>0.28370267151158091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1.7042358123801227E-2</v>
      </c>
      <c r="H178" s="49">
        <f t="shared" si="45"/>
        <v>1.7042358123801227E-2</v>
      </c>
      <c r="I178" s="49">
        <f t="shared" si="45"/>
        <v>1.7042358123801227E-2</v>
      </c>
      <c r="J178" s="49">
        <f t="shared" si="45"/>
        <v>1.7042358123801227E-2</v>
      </c>
      <c r="K178" s="49">
        <f t="shared" si="45"/>
        <v>1.7042358123801227E-2</v>
      </c>
      <c r="L178" s="49">
        <f t="shared" si="45"/>
        <v>1.7042358123801227E-2</v>
      </c>
      <c r="M178" s="49">
        <f t="shared" si="45"/>
        <v>1.7042358123801227E-2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1.7168498267042372E-2</v>
      </c>
      <c r="H179" s="49">
        <f t="shared" si="45"/>
        <v>1.7168498267042372E-2</v>
      </c>
      <c r="I179" s="49">
        <f t="shared" si="45"/>
        <v>1.7168498267042372E-2</v>
      </c>
      <c r="J179" s="49">
        <f t="shared" si="45"/>
        <v>1.7168498267042372E-2</v>
      </c>
      <c r="K179" s="49">
        <f t="shared" si="45"/>
        <v>1.7168498267042372E-2</v>
      </c>
      <c r="L179" s="49">
        <f t="shared" si="45"/>
        <v>1.7168498267042372E-2</v>
      </c>
      <c r="M179" s="49">
        <f t="shared" si="45"/>
        <v>1.7168498267042372E-2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-0.14803567138845372</v>
      </c>
      <c r="H206" s="48">
        <f t="shared" ref="H206:K209" si="49">LN(H152/H184)</f>
        <v>-0.1547049541143603</v>
      </c>
      <c r="I206" s="48">
        <f t="shared" si="49"/>
        <v>-0.16163104455339208</v>
      </c>
      <c r="J206" s="48">
        <f t="shared" si="49"/>
        <v>-0.21921136077817308</v>
      </c>
      <c r="K206" s="48">
        <f t="shared" si="49"/>
        <v>-1.0420123000119781</v>
      </c>
      <c r="L206" s="48">
        <f t="shared" ref="L206:M206" si="50">LN(L152/L184)</f>
        <v>-1.0420123000119781</v>
      </c>
      <c r="M206" s="48">
        <f t="shared" si="50"/>
        <v>-1.0420123000119781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-2.2392367160990712</v>
      </c>
      <c r="H207" s="48">
        <f t="shared" si="49"/>
        <v>-2.2166230338915365</v>
      </c>
      <c r="I207" s="48">
        <f t="shared" si="49"/>
        <v>-2.2264980136884978</v>
      </c>
      <c r="J207" s="48">
        <f t="shared" si="49"/>
        <v>-2.2166230338915365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-2.1564147945557934</v>
      </c>
      <c r="H208" s="48">
        <f t="shared" si="49"/>
        <v>-2.1564147945557934</v>
      </c>
      <c r="I208" s="48">
        <f t="shared" si="49"/>
        <v>-2.1564147945557934</v>
      </c>
      <c r="J208" s="48">
        <f t="shared" si="49"/>
        <v>-2.1564147945557934</v>
      </c>
      <c r="K208" s="48">
        <f t="shared" si="49"/>
        <v>-2.1564147945557934</v>
      </c>
      <c r="L208" s="48">
        <f t="shared" ref="L208:M208" si="52">LN(L154/L186)</f>
        <v>-2.1564147945557934</v>
      </c>
      <c r="M208" s="48">
        <f t="shared" si="52"/>
        <v>-2.1564147945557934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-2.4588557166100724</v>
      </c>
      <c r="H209" s="48">
        <f t="shared" si="49"/>
        <v>-2.467591113047328</v>
      </c>
      <c r="I209" s="48">
        <f t="shared" si="49"/>
        <v>-2.4066584091090499</v>
      </c>
      <c r="J209" s="48">
        <f t="shared" si="49"/>
        <v>-2.4235610397398806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1.0957280001715128E-2</v>
      </c>
      <c r="H210" s="48">
        <f t="shared" ref="H210:K213" si="54">H206*H206/2</f>
        <v>1.1966811413763163E-2</v>
      </c>
      <c r="I210" s="48">
        <f t="shared" si="54"/>
        <v>1.3062297281710308E-2</v>
      </c>
      <c r="J210" s="48">
        <f t="shared" si="54"/>
        <v>2.4026810347109177E-2</v>
      </c>
      <c r="K210" s="48">
        <f t="shared" si="54"/>
        <v>0.54289481668812634</v>
      </c>
      <c r="L210" s="48">
        <f t="shared" ref="L210:M210" si="55">L206*L206/2</f>
        <v>0.54289481668812634</v>
      </c>
      <c r="M210" s="48">
        <f t="shared" si="55"/>
        <v>0.54289481668812634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2.5070905353630759</v>
      </c>
      <c r="H211" s="48">
        <f t="shared" si="54"/>
        <v>2.45670883718926</v>
      </c>
      <c r="I211" s="48">
        <f t="shared" si="54"/>
        <v>2.4786467024794128</v>
      </c>
      <c r="J211" s="48">
        <f t="shared" si="54"/>
        <v>2.45670883718926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2.3250623830895525</v>
      </c>
      <c r="H212" s="48">
        <f t="shared" si="54"/>
        <v>2.3250623830895525</v>
      </c>
      <c r="I212" s="48">
        <f t="shared" si="54"/>
        <v>2.3250623830895525</v>
      </c>
      <c r="J212" s="48">
        <f t="shared" si="54"/>
        <v>2.3250623830895525</v>
      </c>
      <c r="K212" s="48">
        <f t="shared" si="54"/>
        <v>2.3250623830895525</v>
      </c>
      <c r="L212" s="48">
        <f t="shared" ref="L212:M212" si="57">L208*L208/2</f>
        <v>2.3250623830895525</v>
      </c>
      <c r="M212" s="48">
        <f t="shared" si="57"/>
        <v>2.3250623830895525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3.0229857175530164</v>
      </c>
      <c r="H213" s="48">
        <f t="shared" si="54"/>
        <v>3.0445029505950756</v>
      </c>
      <c r="I213" s="48">
        <f t="shared" si="54"/>
        <v>2.8960023490676514</v>
      </c>
      <c r="J213" s="48">
        <f t="shared" si="54"/>
        <v>2.9368240566725254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0.33148691066540231</v>
      </c>
      <c r="H214" s="48">
        <f t="shared" ref="H214:K214" si="59">H206*H207</f>
        <v>0.34292256474702426</v>
      </c>
      <c r="I214" s="48">
        <f t="shared" si="59"/>
        <v>0.35987119964852454</v>
      </c>
      <c r="J214" s="48">
        <f t="shared" si="59"/>
        <v>0.48590895159160619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0.31922631190406137</v>
      </c>
      <c r="H215" s="48">
        <f t="shared" ref="H215:K215" si="61">H206*H208</f>
        <v>0.33360805184328174</v>
      </c>
      <c r="I215" s="48">
        <f t="shared" si="61"/>
        <v>0.34854357573444128</v>
      </c>
      <c r="J215" s="48">
        <f t="shared" si="61"/>
        <v>0.47271062151676002</v>
      </c>
      <c r="K215" s="48">
        <f t="shared" si="61"/>
        <v>2.2470107398549395</v>
      </c>
      <c r="L215" s="48">
        <f t="shared" ref="L215:M215" si="62">L206*L208</f>
        <v>2.2470107398549395</v>
      </c>
      <c r="M215" s="48">
        <f t="shared" si="62"/>
        <v>2.2470107398549395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0.36399835685570958</v>
      </c>
      <c r="H216" s="48">
        <f t="shared" ref="H216:K216" si="63">H206*H209</f>
        <v>0.38174856991699013</v>
      </c>
      <c r="I216" s="48">
        <f t="shared" si="63"/>
        <v>0.38899071254750056</v>
      </c>
      <c r="J216" s="48">
        <f t="shared" si="63"/>
        <v>0.5312721134503432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4.8287231831085684</v>
      </c>
      <c r="H217" s="48">
        <f t="shared" ref="H217:K217" si="65">H207*H208</f>
        <v>4.779958704236857</v>
      </c>
      <c r="I217" s="48">
        <f t="shared" si="65"/>
        <v>4.8012532567669641</v>
      </c>
      <c r="J217" s="48">
        <f t="shared" si="65"/>
        <v>4.779958704236857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5.5059600002233671</v>
      </c>
      <c r="H218" s="48">
        <f t="shared" ref="H218:K218" si="67">H207*H209</f>
        <v>5.469719299406762</v>
      </c>
      <c r="I218" s="48">
        <f t="shared" si="67"/>
        <v>5.3584201675080196</v>
      </c>
      <c r="J218" s="48">
        <f t="shared" si="67"/>
        <v>5.3721212247295407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5.3023128449760479</v>
      </c>
      <c r="H219" s="48">
        <f t="shared" ref="H219:K219" si="69">H208*H209</f>
        <v>5.3211499830896551</v>
      </c>
      <c r="I219" s="48">
        <f t="shared" si="69"/>
        <v>5.1897537988448645</v>
      </c>
      <c r="J219" s="48">
        <f t="shared" si="69"/>
        <v>5.2262028816040997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-2.9258086853272145</v>
      </c>
      <c r="H220" s="48">
        <f t="shared" ref="H220:K220" si="71">LN(H156/H198)</f>
        <v>-2.9235281826284893</v>
      </c>
      <c r="I220" s="48">
        <f t="shared" si="71"/>
        <v>-2.9215370000619112</v>
      </c>
      <c r="J220" s="48">
        <f t="shared" si="71"/>
        <v>-2.9197833608119939</v>
      </c>
      <c r="K220" s="48">
        <f t="shared" si="71"/>
        <v>-2.9769417746519422</v>
      </c>
      <c r="L220" s="48">
        <f t="shared" ref="L220:M220" si="72">LN(L156/L198)</f>
        <v>-3.034100188491891</v>
      </c>
      <c r="M220" s="48">
        <f t="shared" si="72"/>
        <v>-3.0912586023318394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0.85733312413212592</v>
      </c>
      <c r="H221" s="31">
        <f t="shared" ref="H221:K221" si="73">H157/H199</f>
        <v>7.7760497667185083E-2</v>
      </c>
      <c r="I221" s="31">
        <f t="shared" si="73"/>
        <v>7.7760497667185083E-2</v>
      </c>
      <c r="J221" s="31">
        <f t="shared" si="73"/>
        <v>7.7760497667185083E-2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12.81331330994302</v>
      </c>
      <c r="H226" s="50">
        <f t="shared" ref="H226:K241" si="78">H162*H205</f>
        <v>12.81331330994302</v>
      </c>
      <c r="I226" s="50">
        <f t="shared" si="78"/>
        <v>12.81331330994302</v>
      </c>
      <c r="J226" s="50">
        <f t="shared" si="78"/>
        <v>12.81331330994302</v>
      </c>
      <c r="K226" s="50">
        <f t="shared" si="78"/>
        <v>12.81331330994302</v>
      </c>
      <c r="L226" s="50">
        <f t="shared" ref="L226:M226" si="79">L162*L205</f>
        <v>12.81331330994302</v>
      </c>
      <c r="M226" s="50">
        <f t="shared" si="79"/>
        <v>12.81331330994302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-9.2851220528557127E-2</v>
      </c>
      <c r="H227" s="50">
        <f t="shared" si="78"/>
        <v>-9.7034340957183413E-2</v>
      </c>
      <c r="I227" s="50">
        <f t="shared" si="78"/>
        <v>-0.10137853681702959</v>
      </c>
      <c r="J227" s="50">
        <f t="shared" si="78"/>
        <v>-0.13749417428296132</v>
      </c>
      <c r="K227" s="50">
        <f t="shared" si="78"/>
        <v>-0.65357297301674233</v>
      </c>
      <c r="L227" s="50">
        <f t="shared" ref="L227:M227" si="80">L163*L206</f>
        <v>-0.65357297301674233</v>
      </c>
      <c r="M227" s="50">
        <f t="shared" si="80"/>
        <v>-0.65357297301674233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-1.002173950668819</v>
      </c>
      <c r="H228" s="50">
        <f t="shared" si="78"/>
        <v>-0.99205316126135756</v>
      </c>
      <c r="I228" s="50">
        <f t="shared" si="78"/>
        <v>-0.99647272416185151</v>
      </c>
      <c r="J228" s="50">
        <f t="shared" si="78"/>
        <v>-0.99205316126135756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-0.33384462527417247</v>
      </c>
      <c r="H229" s="50">
        <f t="shared" si="78"/>
        <v>-0.33384462527417247</v>
      </c>
      <c r="I229" s="50">
        <f t="shared" si="78"/>
        <v>-0.33384462527417247</v>
      </c>
      <c r="J229" s="50">
        <f t="shared" si="78"/>
        <v>-0.33384462527417247</v>
      </c>
      <c r="K229" s="50">
        <f t="shared" si="78"/>
        <v>-0.33384462527417247</v>
      </c>
      <c r="L229" s="50">
        <f t="shared" ref="L229:M229" si="82">L165*L208</f>
        <v>-0.33384462527417247</v>
      </c>
      <c r="M229" s="50">
        <f t="shared" si="82"/>
        <v>-0.33384462527417247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-0.26990877508946615</v>
      </c>
      <c r="H230" s="50">
        <f t="shared" si="78"/>
        <v>-0.27086766020678854</v>
      </c>
      <c r="I230" s="50">
        <f t="shared" si="78"/>
        <v>-0.26417907275866309</v>
      </c>
      <c r="J230" s="50">
        <f t="shared" si="78"/>
        <v>-0.26603447578151584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1.3682870954090621E-3</v>
      </c>
      <c r="H231" s="50">
        <f t="shared" si="78"/>
        <v>1.4943520315336477E-3</v>
      </c>
      <c r="I231" s="50">
        <f t="shared" si="78"/>
        <v>1.6311505048847391E-3</v>
      </c>
      <c r="J231" s="50">
        <f t="shared" si="78"/>
        <v>3.0003408269793645E-3</v>
      </c>
      <c r="K231" s="50">
        <f t="shared" si="78"/>
        <v>6.7793829465210023E-2</v>
      </c>
      <c r="L231" s="50">
        <f t="shared" ref="L231:M231" si="84">L167*L210</f>
        <v>6.7793829465210023E-2</v>
      </c>
      <c r="M231" s="50">
        <f t="shared" si="84"/>
        <v>6.7793829465210023E-2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-0.99172624852218993</v>
      </c>
      <c r="H232" s="50">
        <f t="shared" si="78"/>
        <v>-0.9717968316067136</v>
      </c>
      <c r="I232" s="50">
        <f t="shared" si="78"/>
        <v>-0.98047476187604765</v>
      </c>
      <c r="J232" s="50">
        <f t="shared" si="78"/>
        <v>-0.9717968316067136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0.58482042597573602</v>
      </c>
      <c r="H233" s="50">
        <f t="shared" si="78"/>
        <v>0.58482042597573602</v>
      </c>
      <c r="I233" s="50">
        <f t="shared" si="78"/>
        <v>0.58482042597573602</v>
      </c>
      <c r="J233" s="50">
        <f t="shared" si="78"/>
        <v>0.58482042597573602</v>
      </c>
      <c r="K233" s="50">
        <f t="shared" si="78"/>
        <v>0.58482042597573602</v>
      </c>
      <c r="L233" s="50">
        <f t="shared" ref="L233:M233" si="86">L169*L212</f>
        <v>0.58482042597573602</v>
      </c>
      <c r="M233" s="50">
        <f t="shared" si="86"/>
        <v>0.58482042597573602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0.53890753420165771</v>
      </c>
      <c r="H234" s="50">
        <f t="shared" si="78"/>
        <v>0.54274341041311558</v>
      </c>
      <c r="I234" s="50">
        <f t="shared" si="78"/>
        <v>0.51627021454853617</v>
      </c>
      <c r="J234" s="50">
        <f t="shared" si="78"/>
        <v>0.52354749861227001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1.7738774754584938E-2</v>
      </c>
      <c r="H235" s="50">
        <f t="shared" si="78"/>
        <v>1.8350728003411705E-2</v>
      </c>
      <c r="I235" s="50">
        <f t="shared" si="78"/>
        <v>1.9257695992922701E-2</v>
      </c>
      <c r="J235" s="50">
        <f t="shared" si="78"/>
        <v>2.6002322161734873E-2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2.9557157651427424E-3</v>
      </c>
      <c r="H236" s="50">
        <f t="shared" si="78"/>
        <v>3.0888762656509582E-3</v>
      </c>
      <c r="I236" s="50">
        <f t="shared" si="78"/>
        <v>3.2271642506308228E-3</v>
      </c>
      <c r="J236" s="50">
        <f t="shared" si="78"/>
        <v>4.3768266720677412E-3</v>
      </c>
      <c r="K236" s="50">
        <f t="shared" si="78"/>
        <v>2.0805067817311725E-2</v>
      </c>
      <c r="L236" s="50">
        <f t="shared" ref="L236:M236" si="89">L172*L215</f>
        <v>2.0805067817311725E-2</v>
      </c>
      <c r="M236" s="50">
        <f t="shared" si="89"/>
        <v>2.0805067817311725E-2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3.1076932045402727E-4</v>
      </c>
      <c r="H237" s="50">
        <f t="shared" si="78"/>
        <v>3.2592384394863471E-4</v>
      </c>
      <c r="I237" s="50">
        <f t="shared" si="78"/>
        <v>3.321069370904728E-4</v>
      </c>
      <c r="J237" s="50">
        <f t="shared" si="78"/>
        <v>4.5358192025736412E-4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0.60199183059701433</v>
      </c>
      <c r="H238" s="50">
        <f t="shared" si="78"/>
        <v>0.59591241440542542</v>
      </c>
      <c r="I238" s="50">
        <f t="shared" si="78"/>
        <v>0.59856718382856955</v>
      </c>
      <c r="J238" s="50">
        <f t="shared" si="78"/>
        <v>0.59591241440542542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0.58171473986072142</v>
      </c>
      <c r="H239" s="50">
        <f t="shared" si="78"/>
        <v>0.57788584356524408</v>
      </c>
      <c r="I239" s="50">
        <f t="shared" si="78"/>
        <v>0.56612688680628209</v>
      </c>
      <c r="J239" s="50">
        <f t="shared" si="78"/>
        <v>0.56757442854961304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-1.3189566122160694</v>
      </c>
      <c r="H240" s="50">
        <f t="shared" si="78"/>
        <v>-1.3236423726750568</v>
      </c>
      <c r="I240" s="50">
        <f t="shared" si="78"/>
        <v>-1.290957415921923</v>
      </c>
      <c r="J240" s="50">
        <f t="shared" si="78"/>
        <v>-1.3000241685108531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-0.83005974035911712</v>
      </c>
      <c r="H241" s="50">
        <f t="shared" si="78"/>
        <v>-0.8294127556510994</v>
      </c>
      <c r="I241" s="50">
        <f t="shared" si="78"/>
        <v>-0.82884785183749388</v>
      </c>
      <c r="J241" s="50">
        <f t="shared" si="78"/>
        <v>-0.82835033969742478</v>
      </c>
      <c r="K241" s="50">
        <f t="shared" si="78"/>
        <v>-0.84456633440318263</v>
      </c>
      <c r="L241" s="50">
        <f t="shared" ref="L241:M241" si="94">L177*L220</f>
        <v>-0.8607823291089407</v>
      </c>
      <c r="M241" s="50">
        <f t="shared" si="94"/>
        <v>-0.87699832381469855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1.4610978132857022E-2</v>
      </c>
      <c r="H242" s="50">
        <f t="shared" ref="H242:K243" si="95">H178*H221</f>
        <v>1.325222249129178E-3</v>
      </c>
      <c r="I242" s="50">
        <f t="shared" si="95"/>
        <v>1.325222249129178E-3</v>
      </c>
      <c r="J242" s="50">
        <f t="shared" si="95"/>
        <v>1.325222249129178E-3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0.15451648440338134</v>
      </c>
      <c r="H243" s="50">
        <f t="shared" si="95"/>
        <v>0.1716849826704237</v>
      </c>
      <c r="I243" s="50">
        <f t="shared" si="95"/>
        <v>0.18885348093746609</v>
      </c>
      <c r="J243" s="50">
        <f t="shared" si="95"/>
        <v>0.20602197920450846</v>
      </c>
      <c r="K243" s="50">
        <f t="shared" si="95"/>
        <v>0.22319047747155082</v>
      </c>
      <c r="L243" s="50">
        <f t="shared" ref="L243:M243" si="97">L179*L222</f>
        <v>0.24035897573859322</v>
      </c>
      <c r="M243" s="50">
        <f t="shared" si="97"/>
        <v>0.25752747400563558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10.472727677391589</v>
      </c>
      <c r="H245" s="44">
        <f t="shared" ref="H245:K245" si="98">SUM(H226:H243)</f>
        <v>10.492293741734267</v>
      </c>
      <c r="I245" s="44">
        <f t="shared" si="98"/>
        <v>10.497569853327084</v>
      </c>
      <c r="J245" s="44">
        <f t="shared" si="98"/>
        <v>10.496750574105743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35338.477992618151</v>
      </c>
      <c r="H246" s="8">
        <f t="shared" ref="H246:K246" si="100">EXP(H245)</f>
        <v>36036.721590752903</v>
      </c>
      <c r="I246" s="8">
        <f t="shared" si="100"/>
        <v>36227.357822086262</v>
      </c>
      <c r="J246" s="8">
        <f t="shared" si="100"/>
        <v>36197.689655494236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126.45318898924809</v>
      </c>
      <c r="H247" s="21">
        <f t="shared" ref="H247:K247" si="102">H137</f>
        <v>129.35275350674215</v>
      </c>
      <c r="I247" s="21">
        <f t="shared" si="102"/>
        <v>132.31880487568148</v>
      </c>
      <c r="J247" s="21">
        <f t="shared" si="102"/>
        <v>135.35286763583352</v>
      </c>
      <c r="K247" s="21">
        <f t="shared" si="102"/>
        <v>135.35286763583352</v>
      </c>
      <c r="L247" s="21">
        <f t="shared" ref="L247:M247" si="103">L137</f>
        <v>135.35286763583352</v>
      </c>
      <c r="M247" s="21">
        <f t="shared" si="103"/>
        <v>135.35286763583352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4468663.2361929277</v>
      </c>
      <c r="H248" s="8">
        <f t="shared" ref="H248:K248" si="104">H246*H247</f>
        <v>4661449.1651197532</v>
      </c>
      <c r="I248" s="8">
        <f t="shared" si="104"/>
        <v>4793560.6908221254</v>
      </c>
      <c r="J248" s="8">
        <f t="shared" si="104"/>
        <v>4899461.0966630913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37" t="s">
        <v>151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4416294.127389688</v>
      </c>
      <c r="H256" s="60">
        <f t="shared" ref="H256:K256" si="107">H121</f>
        <v>4659965.646941198</v>
      </c>
      <c r="I256" s="60">
        <f t="shared" si="107"/>
        <v>4874718.1202257518</v>
      </c>
      <c r="J256" s="60">
        <f t="shared" si="107"/>
        <v>4832577.9817273431</v>
      </c>
      <c r="K256" s="60">
        <f t="shared" si="107"/>
        <v>1058042.7356547168</v>
      </c>
      <c r="L256" s="60">
        <f t="shared" ref="L256:M256" si="108">L121</f>
        <v>1054166.8140881653</v>
      </c>
      <c r="M256" s="60">
        <f t="shared" si="108"/>
        <v>1038828.5573215185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4468663.2361929277</v>
      </c>
      <c r="H257" s="60">
        <f t="shared" ref="H257:K257" si="110">H248</f>
        <v>4661449.1651197532</v>
      </c>
      <c r="I257" s="60">
        <f t="shared" si="110"/>
        <v>4793560.6908221254</v>
      </c>
      <c r="J257" s="60">
        <f t="shared" si="110"/>
        <v>4899461.0966630913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-52369.108803239651</v>
      </c>
      <c r="H258" s="25">
        <f t="shared" ref="H258:K258" si="113">H256-H257</f>
        <v>-1483.5181785551831</v>
      </c>
      <c r="I258" s="25">
        <f t="shared" si="113"/>
        <v>81157.42940362636</v>
      </c>
      <c r="J258" s="25">
        <f t="shared" si="113"/>
        <v>-66883.114935748279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-1.1719188946503709E-2</v>
      </c>
      <c r="H259" s="61">
        <f t="shared" ref="H259:K259" si="116">H258/H257</f>
        <v>-3.1825257039289653E-4</v>
      </c>
      <c r="I259" s="61">
        <f t="shared" si="116"/>
        <v>1.6930510457291686E-2</v>
      </c>
      <c r="J259" s="61">
        <f t="shared" si="116"/>
        <v>-1.365111664654319E-2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-1.178839990354383E-2</v>
      </c>
      <c r="H261" s="64">
        <f t="shared" ref="H261:K261" si="118">LN(H256/H257)</f>
        <v>-3.1830322348941429E-4</v>
      </c>
      <c r="I261" s="64">
        <f t="shared" si="118"/>
        <v>1.6788786764696164E-2</v>
      </c>
      <c r="J261" s="64">
        <f t="shared" si="118"/>
        <v>-1.3745149892604171E-2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9">
    <mergeCell ref="CJ123:CL123"/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0866141732283472" right="0.70866141732283472" top="0.74803149606299213" bottom="0.74803149606299213" header="0.31496062992125984" footer="0.31496062992125984"/>
  <pageSetup scale="19" orientation="landscape" r:id="rId1"/>
  <headerFoot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Q29"/>
  <sheetViews>
    <sheetView workbookViewId="0">
      <selection activeCell="I20" sqref="I2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0" t="s">
        <v>168</v>
      </c>
      <c r="D2" s="230"/>
      <c r="E2" s="230"/>
      <c r="F2" s="230"/>
      <c r="G2" s="230"/>
      <c r="H2" s="230"/>
      <c r="I2" s="230"/>
      <c r="J2" s="230"/>
      <c r="K2" s="230"/>
    </row>
    <row r="3" spans="3:17" s="92" customFormat="1" ht="23.25" customHeight="1" x14ac:dyDescent="0.25">
      <c r="C3" s="243" t="str">
        <f>'Model Inputs'!F5</f>
        <v>Centre Wellington Hydro Ltd.</v>
      </c>
      <c r="D3" s="243"/>
      <c r="E3" s="243"/>
      <c r="F3" s="243"/>
      <c r="G3" s="243"/>
      <c r="H3" s="243"/>
      <c r="I3" s="243"/>
      <c r="J3" s="243"/>
      <c r="K3" s="243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4416294.127389688</v>
      </c>
      <c r="G10" s="86">
        <f>'Benchmarking Calculations'!H121</f>
        <v>4659965.646941198</v>
      </c>
      <c r="H10" s="86">
        <f>'Benchmarking Calculations'!I121</f>
        <v>4874718.1202257518</v>
      </c>
      <c r="I10" s="91">
        <f>IF(ISNUMBER(I12),'Benchmarking Calculations'!J121,"na")</f>
        <v>4832577.9817273431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4468663.2361929277</v>
      </c>
      <c r="G12" s="86">
        <f>'Benchmarking Calculations'!H257</f>
        <v>4661449.1651197532</v>
      </c>
      <c r="H12" s="86">
        <f>'Benchmarking Calculations'!I257</f>
        <v>4793560.6908221254</v>
      </c>
      <c r="I12" s="91">
        <f>IF(ISNUMBER('Benchmarking Calculations'!J257),'Benchmarking Calculations'!J257,"na")</f>
        <v>4899461.0966630913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-52369.108803239651</v>
      </c>
      <c r="G14" s="86">
        <f t="shared" si="0"/>
        <v>-1483.5181785551831</v>
      </c>
      <c r="H14" s="86">
        <f t="shared" si="0"/>
        <v>81157.42940362636</v>
      </c>
      <c r="I14" s="91">
        <f>IF(ISNUMBER(I12),I10-I12,"na")</f>
        <v>-66883.114935748279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-1.178839990354383E-2</v>
      </c>
      <c r="G16" s="167">
        <f t="shared" ref="G16:H16" si="2">LN(G10/G12)</f>
        <v>-3.1830322348941429E-4</v>
      </c>
      <c r="H16" s="167">
        <f t="shared" si="2"/>
        <v>1.6788786764696164E-2</v>
      </c>
      <c r="I16" s="148">
        <f>IF(ISNUMBER(I14),LN(I10/I12),"na")</f>
        <v>-1.3745149892604171E-2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1.5606945458876396E-3</v>
      </c>
      <c r="I18" s="66">
        <f>IF(ISNUMBER(I16),AVERAGE(G16:I16),"na")</f>
        <v>9.0844454953419322E-4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3</v>
      </c>
      <c r="G22" s="149">
        <f t="shared" ref="G22" si="5">IF(G16&lt;-0.25,1,IF(G16&lt;-0.1,2,IF(G16&lt;0.1,3,IF(G16&lt;0.25,4,5))))</f>
        <v>3</v>
      </c>
      <c r="H22" s="149">
        <f>IF($H$16&lt;-0.25,1,IF($H$16&lt;-0.1,2,IF($H$16&lt;0.1,3,IF($H$16&lt;0.25,4,5))))</f>
        <v>3</v>
      </c>
      <c r="I22" s="149">
        <f>IF(ISNUMBER(I16),IF(I16&lt;-0.25,1,IF(I16&lt;-0.1,2,IF(I16&lt;0.1,3,IF(I16&lt;0.25,4,5)))),"na")</f>
        <v>3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Manuela Ris-Schofield</cp:lastModifiedBy>
  <cp:lastPrinted>2017-04-21T15:16:59Z</cp:lastPrinted>
  <dcterms:created xsi:type="dcterms:W3CDTF">2016-07-20T15:58:10Z</dcterms:created>
  <dcterms:modified xsi:type="dcterms:W3CDTF">2017-12-06T17:57:21Z</dcterms:modified>
</cp:coreProperties>
</file>