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T:\5. TESI UTILITIES\Center Wellington\CWH 2018 CoS\2018 CoS\Settlement Conf\Draft Agreement Dec 6\"/>
    </mc:Choice>
  </mc:AlternateContent>
  <bookViews>
    <workbookView xWindow="0" yWindow="0" windowWidth="28380" windowHeight="12690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9" i="4" l="1"/>
  <c r="K27" i="4" l="1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7" i="4" s="1"/>
  <c r="G135" i="1"/>
  <c r="G118" i="1"/>
  <c r="G110" i="1"/>
  <c r="G89" i="1"/>
  <c r="G79" i="1"/>
  <c r="G71" i="1"/>
  <c r="G63" i="1"/>
  <c r="G55" i="1"/>
  <c r="G47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K121" i="4"/>
  <c r="L121" i="4"/>
  <c r="H121" i="4"/>
  <c r="I64" i="4"/>
  <c r="K64" i="4"/>
  <c r="L64" i="4"/>
  <c r="H64" i="4"/>
  <c r="I78" i="4"/>
  <c r="K78" i="4"/>
  <c r="L78" i="4"/>
  <c r="H78" i="4"/>
  <c r="I86" i="4"/>
  <c r="K86" i="4"/>
  <c r="L86" i="4"/>
  <c r="H86" i="4"/>
  <c r="H91" i="4"/>
  <c r="I91" i="4"/>
  <c r="K91" i="4"/>
  <c r="L91" i="4"/>
  <c r="I109" i="4"/>
  <c r="K109" i="4"/>
  <c r="L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I115" i="4"/>
  <c r="H115" i="4"/>
  <c r="H35" i="4" s="1"/>
  <c r="K115" i="4"/>
  <c r="K29" i="4" s="1"/>
  <c r="L115" i="4"/>
  <c r="L29" i="4" s="1"/>
  <c r="I35" i="4" l="1"/>
  <c r="G256" i="1"/>
  <c r="H145" i="1" l="1"/>
  <c r="H118" i="4"/>
  <c r="I118" i="4"/>
  <c r="K118" i="4"/>
  <c r="L118" i="4"/>
  <c r="H119" i="4"/>
  <c r="I119" i="4"/>
  <c r="K119" i="4"/>
  <c r="L119" i="4"/>
  <c r="H120" i="4"/>
  <c r="I120" i="4"/>
  <c r="K120" i="4"/>
  <c r="L120" i="4"/>
  <c r="G22" i="4"/>
  <c r="G21" i="4"/>
  <c r="H21" i="4" s="1"/>
  <c r="I21" i="4" s="1"/>
  <c r="J21" i="4" s="1"/>
  <c r="G20" i="4"/>
  <c r="H20" i="4" s="1"/>
  <c r="I20" i="4" s="1"/>
  <c r="J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J122" i="4" l="1"/>
  <c r="I122" i="4"/>
  <c r="I29" i="4" s="1"/>
  <c r="H122" i="4"/>
  <c r="H22" i="4"/>
  <c r="H110" i="1" s="1"/>
  <c r="I22" i="4"/>
  <c r="H16" i="4"/>
  <c r="H142" i="1" s="1"/>
  <c r="J16" i="4"/>
  <c r="I16" i="4"/>
  <c r="H135" i="1"/>
  <c r="G37" i="4"/>
  <c r="G36" i="4"/>
  <c r="I145" i="1"/>
  <c r="H98" i="1"/>
  <c r="H93" i="1"/>
  <c r="H115" i="1" s="1"/>
  <c r="H97" i="1"/>
  <c r="H155" i="1" s="1"/>
  <c r="H134" i="1"/>
  <c r="H112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J37" i="4" l="1"/>
  <c r="I37" i="4"/>
  <c r="I27" i="4" s="1"/>
  <c r="H37" i="4"/>
  <c r="H27" i="4" s="1"/>
  <c r="H99" i="1"/>
  <c r="G27" i="4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9" i="1"/>
  <c r="I142" i="1"/>
  <c r="I92" i="1"/>
  <c r="I114" i="1" s="1"/>
  <c r="I112" i="1"/>
  <c r="J112" i="1" s="1"/>
  <c r="K112" i="1" s="1"/>
  <c r="L112" i="1" s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110" i="1"/>
  <c r="J113" i="1" s="1"/>
  <c r="J92" i="1"/>
  <c r="J114" i="1" s="1"/>
  <c r="J99" i="1"/>
  <c r="J142" i="1"/>
  <c r="J93" i="1"/>
  <c r="J115" i="1" s="1"/>
  <c r="G31" i="4"/>
  <c r="H117" i="1"/>
  <c r="H137" i="1"/>
  <c r="H152" i="1" s="1"/>
  <c r="H206" i="1" s="1"/>
  <c r="H131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6" i="1"/>
  <c r="H210" i="1"/>
  <c r="H247" i="1"/>
  <c r="J139" i="1"/>
  <c r="H156" i="1"/>
  <c r="H220" i="1" s="1"/>
  <c r="I143" i="1"/>
  <c r="H154" i="1"/>
  <c r="H208" i="1" s="1"/>
  <c r="H215" i="1" s="1"/>
  <c r="I136" i="1"/>
  <c r="I137" i="1" s="1"/>
  <c r="H89" i="1" l="1"/>
  <c r="H107" i="1" s="1"/>
  <c r="H121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16" i="1"/>
  <c r="I247" i="1"/>
  <c r="I152" i="1"/>
  <c r="I206" i="1" s="1"/>
  <c r="K129" i="1"/>
  <c r="K155" i="1"/>
  <c r="K209" i="1" s="1"/>
  <c r="K213" i="1" s="1"/>
  <c r="J136" i="1"/>
  <c r="J137" i="1" s="1"/>
  <c r="H256" i="1" l="1"/>
  <c r="CL126" i="1"/>
  <c r="G10" i="5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I210" i="1"/>
  <c r="K143" i="1"/>
  <c r="J156" i="1"/>
  <c r="J220" i="1" s="1"/>
  <c r="K153" i="1"/>
  <c r="K207" i="1" s="1"/>
  <c r="K128" i="1"/>
  <c r="K157" i="1" s="1"/>
  <c r="K221" i="1" s="1"/>
  <c r="K31" i="4" l="1"/>
  <c r="K89" i="1" s="1"/>
  <c r="K107" i="1" s="1"/>
  <c r="L31" i="4"/>
  <c r="L89" i="1" s="1"/>
  <c r="L107" i="1" s="1"/>
  <c r="L137" i="1"/>
  <c r="J119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0" i="1"/>
  <c r="L156" i="1" l="1"/>
  <c r="L220" i="1" s="1"/>
  <c r="M143" i="1"/>
  <c r="M156" i="1" s="1"/>
  <c r="M220" i="1" s="1"/>
  <c r="L247" i="1"/>
  <c r="M137" i="1"/>
  <c r="L152" i="1"/>
  <c r="L206" i="1" s="1"/>
  <c r="K119" i="1"/>
  <c r="K121" i="1" s="1"/>
  <c r="L117" i="1"/>
  <c r="L118" i="1" s="1"/>
  <c r="K214" i="1"/>
  <c r="K210" i="1"/>
  <c r="K216" i="1"/>
  <c r="M247" i="1" l="1"/>
  <c r="M152" i="1"/>
  <c r="M206" i="1" s="1"/>
  <c r="L119" i="1"/>
  <c r="L121" i="1" s="1"/>
  <c r="L256" i="1" s="1"/>
  <c r="M117" i="1"/>
  <c r="M118" i="1" s="1"/>
  <c r="M119" i="1" s="1"/>
  <c r="M121" i="1" s="1"/>
  <c r="M256" i="1" s="1"/>
  <c r="L216" i="1"/>
  <c r="L210" i="1"/>
  <c r="L214" i="1"/>
  <c r="K256" i="1"/>
  <c r="G257" i="1"/>
  <c r="H178" i="1"/>
  <c r="I178" i="1" s="1"/>
  <c r="H168" i="1"/>
  <c r="H164" i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M210" i="1"/>
  <c r="M214" i="1"/>
  <c r="M216" i="1"/>
  <c r="H231" i="1"/>
  <c r="I167" i="1"/>
  <c r="J167" i="1" s="1"/>
  <c r="K167" i="1" s="1"/>
  <c r="I171" i="1"/>
  <c r="H243" i="1"/>
  <c r="I179" i="1"/>
  <c r="H226" i="1"/>
  <c r="I162" i="1"/>
  <c r="H230" i="1"/>
  <c r="I166" i="1"/>
  <c r="H227" i="1"/>
  <c r="I163" i="1"/>
  <c r="I174" i="1"/>
  <c r="J178" i="1"/>
  <c r="H236" i="1"/>
  <c r="I172" i="1"/>
  <c r="I175" i="1"/>
  <c r="J170" i="1"/>
  <c r="H241" i="1"/>
  <c r="I177" i="1"/>
  <c r="H240" i="1"/>
  <c r="I176" i="1"/>
  <c r="I168" i="1"/>
  <c r="H234" i="1"/>
  <c r="I169" i="1"/>
  <c r="I165" i="1"/>
  <c r="I164" i="1"/>
  <c r="F14" i="5" l="1"/>
  <c r="F22" i="5"/>
  <c r="J173" i="1"/>
  <c r="K173" i="1" s="1"/>
  <c r="J231" i="1"/>
  <c r="I231" i="1"/>
  <c r="J165" i="1"/>
  <c r="L167" i="1"/>
  <c r="K231" i="1"/>
  <c r="K178" i="1"/>
  <c r="I226" i="1"/>
  <c r="J162" i="1"/>
  <c r="J169" i="1"/>
  <c r="J168" i="1"/>
  <c r="J176" i="1"/>
  <c r="K170" i="1"/>
  <c r="J172" i="1"/>
  <c r="J166" i="1"/>
  <c r="J179" i="1"/>
  <c r="I243" i="1"/>
  <c r="J164" i="1"/>
  <c r="J174" i="1"/>
  <c r="I241" i="1"/>
  <c r="J177" i="1"/>
  <c r="J175" i="1"/>
  <c r="J163" i="1"/>
  <c r="I227" i="1"/>
  <c r="J171" i="1"/>
  <c r="L231" i="1" l="1"/>
  <c r="M167" i="1"/>
  <c r="K174" i="1"/>
  <c r="K164" i="1"/>
  <c r="L170" i="1"/>
  <c r="K234" i="1"/>
  <c r="K169" i="1"/>
  <c r="K171" i="1"/>
  <c r="K163" i="1"/>
  <c r="J227" i="1"/>
  <c r="K175" i="1"/>
  <c r="K176" i="1"/>
  <c r="K237" i="1"/>
  <c r="L173" i="1"/>
  <c r="K162" i="1"/>
  <c r="J226" i="1"/>
  <c r="K179" i="1"/>
  <c r="J243" i="1"/>
  <c r="K172" i="1"/>
  <c r="K177" i="1"/>
  <c r="J241" i="1"/>
  <c r="K166" i="1"/>
  <c r="K168" i="1"/>
  <c r="L178" i="1"/>
  <c r="K242" i="1"/>
  <c r="K165" i="1"/>
  <c r="M231" i="1" l="1"/>
  <c r="L237" i="1"/>
  <c r="M173" i="1"/>
  <c r="L234" i="1"/>
  <c r="M170" i="1"/>
  <c r="L242" i="1"/>
  <c r="M178" i="1"/>
  <c r="L172" i="1"/>
  <c r="K230" i="1"/>
  <c r="L166" i="1"/>
  <c r="L162" i="1"/>
  <c r="K226" i="1"/>
  <c r="L176" i="1"/>
  <c r="L163" i="1"/>
  <c r="K227" i="1"/>
  <c r="L169" i="1"/>
  <c r="L164" i="1"/>
  <c r="K228" i="1"/>
  <c r="L174" i="1"/>
  <c r="L165" i="1"/>
  <c r="K232" i="1"/>
  <c r="L168" i="1"/>
  <c r="K241" i="1"/>
  <c r="L177" i="1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M165" i="1"/>
  <c r="L227" i="1"/>
  <c r="M163" i="1"/>
  <c r="L241" i="1"/>
  <c r="M177" i="1"/>
  <c r="M169" i="1"/>
  <c r="M172" i="1"/>
  <c r="M176" i="1"/>
  <c r="L228" i="1"/>
  <c r="M164" i="1"/>
  <c r="M174" i="1"/>
  <c r="L239" i="1"/>
  <c r="M175" i="1"/>
  <c r="L232" i="1"/>
  <c r="M168" i="1"/>
  <c r="L230" i="1"/>
  <c r="M166" i="1"/>
  <c r="K245" i="1"/>
  <c r="K246" i="1" s="1"/>
  <c r="K248" i="1" s="1"/>
  <c r="K257" i="1" s="1"/>
  <c r="M232" i="1" l="1"/>
  <c r="M227" i="1"/>
  <c r="M243" i="1"/>
  <c r="M226" i="1"/>
  <c r="M230" i="1"/>
  <c r="M239" i="1"/>
  <c r="M228" i="1"/>
  <c r="M241" i="1"/>
  <c r="M235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  <c r="J98" i="1" l="1"/>
  <c r="J130" i="1" s="1"/>
  <c r="I98" i="1"/>
  <c r="I130" i="1" s="1"/>
  <c r="I131" i="1" s="1"/>
  <c r="I154" i="1" l="1"/>
  <c r="I208" i="1" s="1"/>
  <c r="J131" i="1"/>
  <c r="K131" i="1" l="1"/>
  <c r="J154" i="1"/>
  <c r="J208" i="1" s="1"/>
  <c r="I215" i="1"/>
  <c r="I236" i="1" s="1"/>
  <c r="I212" i="1"/>
  <c r="I233" i="1" s="1"/>
  <c r="I229" i="1"/>
  <c r="J212" i="1" l="1"/>
  <c r="J233" i="1" s="1"/>
  <c r="J215" i="1"/>
  <c r="J236" i="1" s="1"/>
  <c r="J229" i="1"/>
  <c r="K154" i="1"/>
  <c r="K208" i="1" s="1"/>
  <c r="L131" i="1"/>
  <c r="M131" i="1" l="1"/>
  <c r="M154" i="1" s="1"/>
  <c r="M208" i="1" s="1"/>
  <c r="L154" i="1"/>
  <c r="L208" i="1" s="1"/>
  <c r="K215" i="1"/>
  <c r="K236" i="1" s="1"/>
  <c r="K219" i="1"/>
  <c r="K240" i="1" s="1"/>
  <c r="K212" i="1"/>
  <c r="K233" i="1" s="1"/>
  <c r="K217" i="1"/>
  <c r="K238" i="1" s="1"/>
  <c r="K229" i="1"/>
  <c r="M219" i="1" l="1"/>
  <c r="M240" i="1" s="1"/>
  <c r="M217" i="1"/>
  <c r="M238" i="1" s="1"/>
  <c r="M212" i="1"/>
  <c r="M233" i="1" s="1"/>
  <c r="M215" i="1"/>
  <c r="M236" i="1" s="1"/>
  <c r="M229" i="1"/>
  <c r="L217" i="1"/>
  <c r="L238" i="1" s="1"/>
  <c r="L212" i="1"/>
  <c r="L233" i="1" s="1"/>
  <c r="L215" i="1"/>
  <c r="L236" i="1" s="1"/>
  <c r="L219" i="1"/>
  <c r="L240" i="1" s="1"/>
  <c r="L229" i="1"/>
  <c r="I96" i="1" l="1"/>
  <c r="J96" i="1"/>
  <c r="H96" i="1"/>
  <c r="H128" i="1" l="1"/>
  <c r="H153" i="1"/>
  <c r="H207" i="1" s="1"/>
  <c r="J153" i="1"/>
  <c r="J207" i="1" s="1"/>
  <c r="J128" i="1"/>
  <c r="J157" i="1" s="1"/>
  <c r="J221" i="1" s="1"/>
  <c r="J242" i="1" s="1"/>
  <c r="I128" i="1"/>
  <c r="I157" i="1" s="1"/>
  <c r="I221" i="1" s="1"/>
  <c r="I242" i="1" s="1"/>
  <c r="I153" i="1"/>
  <c r="I207" i="1" s="1"/>
  <c r="H157" i="1" l="1"/>
  <c r="H221" i="1" s="1"/>
  <c r="H242" i="1" s="1"/>
  <c r="CL125" i="1"/>
  <c r="J228" i="1"/>
  <c r="J211" i="1"/>
  <c r="J232" i="1" s="1"/>
  <c r="J214" i="1"/>
  <c r="J235" i="1" s="1"/>
  <c r="J217" i="1"/>
  <c r="J238" i="1" s="1"/>
  <c r="I217" i="1"/>
  <c r="I238" i="1" s="1"/>
  <c r="I211" i="1"/>
  <c r="I232" i="1" s="1"/>
  <c r="I214" i="1"/>
  <c r="I235" i="1" s="1"/>
  <c r="I228" i="1"/>
  <c r="H214" i="1"/>
  <c r="H235" i="1" s="1"/>
  <c r="H218" i="1"/>
  <c r="H239" i="1" s="1"/>
  <c r="H211" i="1"/>
  <c r="H232" i="1" s="1"/>
  <c r="H217" i="1"/>
  <c r="H238" i="1" s="1"/>
  <c r="H228" i="1"/>
  <c r="H245" i="1" l="1"/>
  <c r="H246" i="1" s="1"/>
  <c r="H248" i="1" s="1"/>
  <c r="H257" i="1" s="1"/>
  <c r="G12" i="5" s="1"/>
  <c r="H261" i="1" l="1"/>
  <c r="H258" i="1"/>
  <c r="H259" i="1" s="1"/>
  <c r="G16" i="5"/>
  <c r="G14" i="5"/>
  <c r="G22" i="5" l="1"/>
  <c r="I97" i="1" l="1"/>
  <c r="I155" i="1" l="1"/>
  <c r="I209" i="1" s="1"/>
  <c r="I129" i="1"/>
  <c r="I213" i="1" l="1"/>
  <c r="I234" i="1" s="1"/>
  <c r="I219" i="1"/>
  <c r="I240" i="1" s="1"/>
  <c r="I216" i="1"/>
  <c r="I237" i="1" s="1"/>
  <c r="I230" i="1"/>
  <c r="I218" i="1"/>
  <c r="I239" i="1" s="1"/>
  <c r="I245" i="1" l="1"/>
  <c r="I246" i="1" s="1"/>
  <c r="I248" i="1" s="1"/>
  <c r="I257" i="1" s="1"/>
  <c r="H12" i="5" l="1"/>
  <c r="I258" i="1"/>
  <c r="I259" i="1" s="1"/>
  <c r="I261" i="1"/>
  <c r="H14" i="5" l="1"/>
  <c r="H16" i="5"/>
  <c r="H22" i="5" l="1"/>
  <c r="H18" i="5"/>
  <c r="H24" i="5" s="1"/>
  <c r="J97" i="1" l="1"/>
  <c r="J129" i="1" l="1"/>
  <c r="J155" i="1"/>
  <c r="J209" i="1" s="1"/>
  <c r="J213" i="1" l="1"/>
  <c r="J234" i="1" s="1"/>
  <c r="J216" i="1"/>
  <c r="J237" i="1" s="1"/>
  <c r="J230" i="1"/>
  <c r="J219" i="1"/>
  <c r="J240" i="1" s="1"/>
  <c r="J218" i="1"/>
  <c r="J239" i="1" s="1"/>
  <c r="J245" i="1" l="1"/>
  <c r="J246" i="1" s="1"/>
  <c r="J248" i="1" s="1"/>
  <c r="J257" i="1" s="1"/>
  <c r="I12" i="5" l="1"/>
  <c r="J91" i="4" l="1"/>
  <c r="J120" i="4"/>
  <c r="J119" i="4"/>
  <c r="J86" i="4" l="1"/>
  <c r="J64" i="4"/>
  <c r="J78" i="4"/>
  <c r="J121" i="4"/>
  <c r="J118" i="4"/>
  <c r="J109" i="4" l="1"/>
  <c r="J115" i="4" s="1"/>
  <c r="J35" i="4" l="1"/>
  <c r="J27" i="4" s="1"/>
  <c r="J31" i="4" s="1"/>
  <c r="J89" i="1" s="1"/>
  <c r="J107" i="1" s="1"/>
  <c r="J121" i="1" s="1"/>
  <c r="J29" i="4"/>
  <c r="J256" i="1" l="1"/>
  <c r="I10" i="5"/>
  <c r="I14" i="5" s="1"/>
  <c r="I16" i="5" s="1"/>
  <c r="I18" i="5" l="1"/>
  <c r="I22" i="5"/>
  <c r="J261" i="1"/>
  <c r="J258" i="1"/>
  <c r="J259" i="1" s="1"/>
</calcChain>
</file>

<file path=xl/sharedStrings.xml><?xml version="1.0" encoding="utf-8"?>
<sst xmlns="http://schemas.openxmlformats.org/spreadsheetml/2006/main" count="523" uniqueCount="281">
  <si>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</si>
  <si>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</si>
  <si>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</si>
  <si>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</si>
  <si>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</si>
  <si>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</si>
  <si>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</si>
  <si>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</si>
  <si>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</si>
  <si>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</si>
  <si>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</si>
  <si>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</si>
  <si>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</si>
  <si>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</si>
  <si>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</si>
  <si>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</si>
  <si>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</si>
  <si>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</si>
  <si>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</si>
  <si>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</si>
  <si>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</si>
  <si>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</si>
  <si>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</si>
  <si>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</si>
  <si>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</si>
  <si>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</si>
  <si>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</si>
  <si>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</si>
  <si>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</si>
  <si>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</si>
  <si>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</si>
  <si>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</si>
  <si>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</si>
  <si>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</si>
  <si>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</si>
  <si>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</si>
  <si>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</si>
  <si>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</si>
  <si>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</si>
  <si>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</si>
  <si>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</si>
  <si>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</si>
  <si>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</si>
  <si>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</si>
  <si>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</si>
  <si>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</si>
  <si>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</si>
  <si>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</si>
  <si>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</si>
  <si>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</si>
  <si>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</si>
  <si>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</si>
  <si>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</si>
  <si>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</si>
  <si>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</si>
  <si>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</si>
  <si>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</si>
  <si>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</si>
  <si>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</si>
  <si>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</si>
  <si>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</si>
  <si>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</si>
  <si>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</si>
  <si>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</si>
  <si>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</si>
  <si>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</si>
  <si>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</si>
  <si>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</si>
  <si>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</si>
  <si>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</si>
  <si>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</si>
  <si>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</si>
  <si>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</si>
  <si>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</si>
  <si>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</si>
  <si>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</si>
  <si>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</si>
  <si>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</si>
  <si>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</si>
  <si>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</si>
  <si>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</si>
  <si>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</si>
  <si>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</si>
  <si>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</si>
  <si>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</si>
  <si>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</si>
  <si>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</si>
  <si>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</si>
  <si>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</si>
  <si>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</si>
  <si>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</si>
  <si>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</si>
  <si>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</si>
  <si>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</si>
  <si>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</si>
  <si>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</si>
  <si>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</si>
  <si>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</si>
  <si>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</si>
  <si>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</si>
  <si>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</si>
  <si>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</si>
  <si>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</si>
  <si>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</si>
  <si>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</si>
  <si>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</si>
  <si>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</si>
  <si>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</si>
  <si>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</si>
  <si>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</si>
  <si>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</si>
  <si>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</si>
  <si>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</si>
  <si>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</si>
  <si>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</si>
  <si>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</si>
  <si>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</si>
  <si>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</si>
  <si>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</si>
  <si>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</si>
  <si>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</si>
  <si>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</si>
  <si>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</si>
  <si>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</si>
  <si>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</si>
  <si>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</si>
  <si>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</si>
  <si>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</si>
  <si>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</si>
  <si>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</si>
  <si>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</si>
  <si>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</si>
  <si>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</si>
  <si>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</si>
  <si>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</si>
  <si>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</si>
  <si>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</si>
  <si>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</si>
  <si>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</si>
  <si>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</si>
  <si>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</si>
  <si>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</si>
  <si>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</si>
  <si>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</si>
  <si>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</si>
  <si>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</si>
  <si>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</si>
  <si>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</si>
  <si>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</si>
  <si>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</si>
  <si>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</si>
  <si>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</si>
  <si>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</si>
  <si>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</si>
  <si>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</si>
  <si>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</si>
  <si>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</si>
  <si>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</si>
  <si>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</si>
  <si>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</si>
  <si>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</si>
  <si>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</si>
  <si>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</si>
  <si>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</si>
  <si>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</si>
  <si>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</si>
  <si>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</si>
  <si>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</si>
  <si>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</si>
  <si>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</si>
  <si>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</si>
  <si>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</si>
  <si>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</si>
  <si>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</si>
  <si>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</si>
  <si>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</si>
  <si>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</si>
  <si>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</si>
  <si>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</si>
  <si>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</si>
  <si>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</si>
  <si>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</si>
  <si>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</si>
  <si>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</si>
  <si>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</si>
  <si>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</si>
  <si>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</si>
  <si>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</si>
  <si>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</si>
  <si>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</si>
  <si>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</si>
  <si>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</si>
  <si>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</si>
  <si>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</si>
  <si>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</si>
  <si>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</si>
  <si>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</si>
  <si>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</si>
  <si>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</si>
  <si>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</si>
  <si>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</si>
  <si>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</si>
  <si>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</si>
  <si>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</si>
  <si>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</si>
  <si>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</si>
  <si>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</si>
  <si>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</si>
  <si>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</si>
  <si>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</si>
  <si>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</si>
  <si>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</si>
  <si>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</si>
  <si>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</si>
  <si>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</si>
  <si>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</si>
  <si>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</si>
  <si>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</si>
  <si>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</si>
  <si>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</si>
  <si>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</si>
  <si>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</si>
  <si>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</si>
  <si>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</si>
  <si>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</si>
  <si>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</si>
  <si>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</si>
  <si>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</si>
  <si>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</si>
  <si>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</si>
  <si>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</si>
  <si>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</si>
  <si>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</si>
  <si>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</si>
  <si>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</si>
  <si>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</si>
  <si>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</si>
  <si>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</si>
  <si>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</si>
  <si>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</si>
  <si>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</si>
  <si>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</si>
  <si>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</si>
  <si>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</si>
  <si>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</si>
  <si>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</si>
  <si>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</si>
  <si>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</si>
  <si>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</si>
  <si>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</si>
  <si>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</si>
  <si>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</si>
  <si>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</si>
  <si>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</si>
  <si>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</si>
  <si>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</si>
  <si>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</si>
  <si>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</si>
  <si>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</si>
  <si>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</si>
  <si>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</si>
  <si>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</si>
  <si>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</si>
  <si>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</si>
  <si>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</si>
  <si>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</si>
  <si>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</si>
  <si>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</si>
  <si>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</si>
  <si>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</si>
  <si>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</si>
  <si>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</si>
  <si>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</si>
  <si>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</si>
  <si>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</si>
  <si>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</si>
  <si>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</si>
  <si>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</si>
  <si>
    <t>Cost per customer</t>
  </si>
  <si>
    <t>Cost per KM line</t>
  </si>
  <si>
    <t>Used for DSP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</si>
</sst>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  <family val="2"/>
    </font>
    <font>
      <b/>
      <sz val="14"/>
      <name val="MS Sans Serif"/>
      <family val="2"/>
    </font>
    <font>
      <b/>
      <sz val="16"/>
      <name val="MS Sans Serif"/>
      <family val="2"/>
    </font>
    <font>
      <sz val="10"/>
      <name val="MS Sans Serif"/>
      <family val="2"/>
    </font>
    <font>
      <sz val="10"/>
      <color theme="3"/>
      <name val="MS Sans Serif"/>
      <family val="2"/>
    </font>
    <font>
      <b/>
      <sz val="10"/>
      <name val="MS Sans Serif"/>
      <family val="2"/>
    </font>
    <font>
      <sz val="8"/>
      <color rgb="FF000000"/>
      <name val="Arial"/>
      <family val="2"/>
    </font>
    <font>
      <b/>
      <u/>
      <sz val="10"/>
      <name val="MS Sans Serif"/>
      <family val="2"/>
    </font>
    <font>
      <sz val="10"/>
      <color rgb="FFFF0000"/>
      <name val="MS Sans Serif"/>
      <family val="2"/>
    </font>
    <font>
      <sz val="12"/>
      <name val="MS Sans Serif"/>
      <family val="2"/>
    </font>
    <font>
      <sz val="14"/>
      <name val="MS Sans Serif"/>
      <family val="2"/>
    </font>
    <font>
      <sz val="24"/>
      <name val="MS Sans Serif"/>
      <family val="2"/>
    </font>
    <font>
      <b/>
      <sz val="12"/>
      <name val="MS Sans Serif"/>
      <family val="2"/>
    </font>
    <font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44" fontId="16" fillId="0" borderId="0" applyFont="0" applyFill="0" applyBorder="0" applyAlignment="0" applyProtection="0"/>
  </cellStyleXfs>
  <cellXfs count="24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6" fillId="6" borderId="13" xfId="0" applyFont="1" applyFill="1" applyBorder="1"/>
    <xf numFmtId="0" fontId="0" fillId="6" borderId="0" xfId="0" applyFill="1" applyBorder="1"/>
    <xf numFmtId="0" fontId="0" fillId="0" borderId="15" xfId="0" applyBorder="1"/>
    <xf numFmtId="0" fontId="0" fillId="0" borderId="17" xfId="0" applyBorder="1"/>
    <xf numFmtId="44" fontId="0" fillId="6" borderId="14" xfId="4" applyFont="1" applyFill="1" applyBorder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167" fontId="6" fillId="0" borderId="13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/>
    </xf>
    <xf numFmtId="167" fontId="6" fillId="0" borderId="14" xfId="1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5">
    <cellStyle name="Comma" xfId="1" builtinId="3"/>
    <cellStyle name="Currency" xfId="4" builtinId="4"/>
    <cellStyle name="Normal" xfId="0" builtinId="0"/>
    <cellStyle name="Normal 30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O124"/>
  <sheetViews>
    <sheetView tabSelected="1" topLeftCell="D73" zoomScaleNormal="100" workbookViewId="0">
      <selection activeCell="H79" sqref="H79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30" t="s">
        <v>191</v>
      </c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2:15" ht="19.5" customHeight="1" x14ac:dyDescent="0.25">
      <c r="C3" s="231" t="str">
        <f>IF(F5="Click to Choose an LDC","",F5)</f>
        <v>Centre Wellington Hydro Ltd.</v>
      </c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</row>
    <row r="4" spans="2:15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5" ht="25.5" customHeight="1" thickBot="1" x14ac:dyDescent="0.25">
      <c r="B5" s="145" t="s">
        <v>189</v>
      </c>
      <c r="E5" s="78"/>
      <c r="F5" s="146" t="s">
        <v>213</v>
      </c>
      <c r="G5" s="14" t="s">
        <v>175</v>
      </c>
      <c r="H5" s="14" t="s">
        <v>176</v>
      </c>
      <c r="I5" s="14" t="s">
        <v>174</v>
      </c>
      <c r="J5" s="232" t="s">
        <v>177</v>
      </c>
      <c r="K5" s="232"/>
      <c r="L5" s="232"/>
      <c r="M5" s="232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1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33"/>
      <c r="I8" s="233"/>
      <c r="J8" s="233"/>
      <c r="K8" s="233"/>
      <c r="L8" s="233"/>
      <c r="M8" s="233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1884000.9</v>
      </c>
      <c r="H9" s="125">
        <v>2132796.9699999997</v>
      </c>
      <c r="I9" s="125">
        <v>1277600</v>
      </c>
      <c r="J9" s="125">
        <v>1000000</v>
      </c>
      <c r="K9" s="125">
        <v>750600</v>
      </c>
      <c r="L9" s="125">
        <v>973600</v>
      </c>
      <c r="M9" s="125">
        <v>720000</v>
      </c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32714.01</v>
      </c>
      <c r="H10" s="125"/>
      <c r="I10" s="125"/>
      <c r="J10" s="125"/>
      <c r="K10" s="125"/>
      <c r="L10" s="125"/>
      <c r="M10" s="125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5"/>
      <c r="I12" s="185"/>
      <c r="J12" s="185"/>
      <c r="K12" s="185"/>
      <c r="L12" s="185"/>
      <c r="M12" s="185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6757</v>
      </c>
      <c r="H13" s="125">
        <v>6911.5414404781222</v>
      </c>
      <c r="I13" s="125">
        <v>6843.6259921260244</v>
      </c>
      <c r="J13" s="125">
        <v>6911.5414404781222</v>
      </c>
      <c r="K13" s="125"/>
      <c r="L13" s="125"/>
      <c r="M13" s="125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139446467.25</v>
      </c>
      <c r="H14" s="125">
        <v>138233652</v>
      </c>
      <c r="I14" s="125">
        <v>146918511.24504298</v>
      </c>
      <c r="J14" s="125">
        <v>144456071.39831477</v>
      </c>
      <c r="K14" s="125"/>
      <c r="L14" s="125"/>
      <c r="M14" s="125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28656</v>
      </c>
      <c r="H15" s="125">
        <v>0</v>
      </c>
      <c r="I15" s="125">
        <v>0</v>
      </c>
      <c r="J15" s="125">
        <v>0</v>
      </c>
      <c r="K15" s="125"/>
      <c r="L15" s="125"/>
      <c r="M15" s="125"/>
      <c r="N15" s="78" t="s">
        <v>172</v>
      </c>
      <c r="O15" s="88"/>
    </row>
    <row r="16" spans="2:15" x14ac:dyDescent="0.2">
      <c r="B16" s="2">
        <v>6</v>
      </c>
      <c r="C16" s="26"/>
      <c r="D16" s="78" t="s">
        <v>192</v>
      </c>
      <c r="F16" s="26"/>
      <c r="G16" s="86">
        <f>'Benchmarking Calculations'!G99</f>
        <v>151</v>
      </c>
      <c r="H16" s="125">
        <f>G16</f>
        <v>151</v>
      </c>
      <c r="I16" s="125">
        <f>G16</f>
        <v>151</v>
      </c>
      <c r="J16" s="125">
        <f>G16</f>
        <v>151</v>
      </c>
      <c r="K16" s="125"/>
      <c r="L16" s="125"/>
      <c r="M16" s="125"/>
      <c r="N16" s="78" t="s">
        <v>172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0.11025303976339139</v>
      </c>
      <c r="H17" s="119">
        <v>0.01</v>
      </c>
      <c r="I17" s="119">
        <v>0.01</v>
      </c>
      <c r="J17" s="119">
        <v>0.01</v>
      </c>
      <c r="K17" s="119"/>
      <c r="L17" s="119"/>
      <c r="M17" s="119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33"/>
      <c r="I19" s="233"/>
      <c r="J19" s="233"/>
      <c r="K19" s="233"/>
      <c r="L19" s="233"/>
      <c r="M19" s="233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 t="shared" ref="H20:J21" si="0">G20</f>
        <v>2.5639327969446551E-2</v>
      </c>
      <c r="I20" s="124">
        <f t="shared" si="0"/>
        <v>2.5639327969446551E-2</v>
      </c>
      <c r="J20" s="124">
        <f t="shared" si="0"/>
        <v>2.5639327969446551E-2</v>
      </c>
      <c r="K20" s="124"/>
      <c r="L20" s="124"/>
      <c r="M20" s="124"/>
      <c r="N20" s="78" t="s">
        <v>188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f t="shared" si="0"/>
        <v>1.574491305654421E-2</v>
      </c>
      <c r="I21" s="124">
        <f t="shared" si="0"/>
        <v>1.574491305654421E-2</v>
      </c>
      <c r="J21" s="124">
        <f t="shared" si="0"/>
        <v>1.574491305654421E-2</v>
      </c>
      <c r="K21" s="124"/>
      <c r="L21" s="124"/>
      <c r="M21" s="124"/>
      <c r="N21" s="78" t="s">
        <v>188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f>G22</f>
        <v>6.5054666666666677E-2</v>
      </c>
      <c r="I22" s="124">
        <f>G22</f>
        <v>6.5054666666666677E-2</v>
      </c>
      <c r="J22" s="124">
        <v>5.9538338952381684E-2</v>
      </c>
      <c r="K22" s="124"/>
      <c r="L22" s="124"/>
      <c r="M22" s="124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4" t="s">
        <v>169</v>
      </c>
      <c r="F27" s="76" t="s">
        <v>198</v>
      </c>
      <c r="G27" s="51">
        <f>G35-G36+G37</f>
        <v>2106951.86</v>
      </c>
      <c r="H27" s="51">
        <f t="shared" ref="H27:M27" si="1">H35-H36+H37</f>
        <v>2186605</v>
      </c>
      <c r="I27" s="51">
        <f t="shared" si="1"/>
        <v>2336978</v>
      </c>
      <c r="J27" s="51">
        <f t="shared" si="1"/>
        <v>2389878</v>
      </c>
      <c r="K27" s="51">
        <f t="shared" si="1"/>
        <v>0</v>
      </c>
      <c r="L27" s="51">
        <f t="shared" si="1"/>
        <v>0</v>
      </c>
      <c r="M27" s="51">
        <f t="shared" si="1"/>
        <v>0</v>
      </c>
      <c r="N27" s="59" t="s">
        <v>29</v>
      </c>
    </row>
    <row r="28" spans="2:15" ht="13.5" thickBot="1" x14ac:dyDescent="0.25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4" t="s">
        <v>170</v>
      </c>
      <c r="F29" s="76" t="s">
        <v>202</v>
      </c>
      <c r="G29" s="51">
        <f t="shared" ref="G29:M29" si="2">G115-G121+G122</f>
        <v>2106951.86</v>
      </c>
      <c r="H29" s="51">
        <f t="shared" si="2"/>
        <v>2186605</v>
      </c>
      <c r="I29" s="51">
        <f t="shared" si="2"/>
        <v>2336978</v>
      </c>
      <c r="J29" s="51">
        <f t="shared" si="2"/>
        <v>2389878</v>
      </c>
      <c r="K29" s="51">
        <f t="shared" si="2"/>
        <v>0</v>
      </c>
      <c r="L29" s="51">
        <f t="shared" si="2"/>
        <v>0</v>
      </c>
      <c r="M29" s="51">
        <f t="shared" si="2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3">IF($E$27="Y",G27,IF($E$29="Y",G29,"Error: Please enter Y for one method"))</f>
        <v>2106951.86</v>
      </c>
      <c r="H31" s="51">
        <f t="shared" si="3"/>
        <v>2186605</v>
      </c>
      <c r="I31" s="51">
        <f t="shared" si="3"/>
        <v>2336978</v>
      </c>
      <c r="J31" s="51">
        <f t="shared" si="3"/>
        <v>2389878</v>
      </c>
      <c r="K31" s="51">
        <f t="shared" si="3"/>
        <v>0</v>
      </c>
      <c r="L31" s="51">
        <f t="shared" si="3"/>
        <v>0</v>
      </c>
      <c r="M31" s="51">
        <f t="shared" si="3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3"/>
    </row>
    <row r="34" spans="2:14" x14ac:dyDescent="0.2">
      <c r="C34" s="154"/>
      <c r="D34" s="79" t="s">
        <v>179</v>
      </c>
      <c r="E34" s="26"/>
      <c r="F34" s="26"/>
      <c r="G34" s="86"/>
      <c r="H34" s="229" t="s">
        <v>183</v>
      </c>
      <c r="I34" s="229"/>
      <c r="J34" s="229"/>
      <c r="K34" s="229"/>
      <c r="L34" s="229"/>
      <c r="M34" s="229"/>
      <c r="N34" s="155"/>
    </row>
    <row r="35" spans="2:14" x14ac:dyDescent="0.2">
      <c r="C35" s="154"/>
      <c r="D35" s="171" t="s">
        <v>195</v>
      </c>
      <c r="E35" s="26" t="s">
        <v>203</v>
      </c>
      <c r="F35" s="26"/>
      <c r="G35" s="85">
        <f>G115</f>
        <v>2055673.8599999999</v>
      </c>
      <c r="H35" s="120">
        <f>H115</f>
        <v>2135327</v>
      </c>
      <c r="I35" s="120">
        <f>I115</f>
        <v>2285700</v>
      </c>
      <c r="J35" s="120">
        <f>J115</f>
        <v>2338600</v>
      </c>
      <c r="K35" s="120"/>
      <c r="L35" s="120"/>
      <c r="M35" s="120"/>
      <c r="N35" s="155" t="s">
        <v>172</v>
      </c>
    </row>
    <row r="36" spans="2:14" x14ac:dyDescent="0.2">
      <c r="C36" s="154"/>
      <c r="D36" s="171" t="s">
        <v>196</v>
      </c>
      <c r="E36" s="26" t="s">
        <v>194</v>
      </c>
      <c r="F36" s="26"/>
      <c r="G36" s="51">
        <f>G121</f>
        <v>0</v>
      </c>
      <c r="H36" s="125"/>
      <c r="I36" s="125"/>
      <c r="J36" s="120"/>
      <c r="K36" s="120"/>
      <c r="L36" s="120"/>
      <c r="M36" s="120"/>
      <c r="N36" s="155" t="s">
        <v>172</v>
      </c>
    </row>
    <row r="37" spans="2:14" x14ac:dyDescent="0.2">
      <c r="C37" s="154"/>
      <c r="D37" s="172" t="s">
        <v>197</v>
      </c>
      <c r="E37" s="26" t="s">
        <v>83</v>
      </c>
      <c r="F37" s="26"/>
      <c r="G37" s="51">
        <f>G122</f>
        <v>51278</v>
      </c>
      <c r="H37" s="125">
        <f>G37</f>
        <v>51278</v>
      </c>
      <c r="I37" s="125">
        <f>G37</f>
        <v>51278</v>
      </c>
      <c r="J37" s="120">
        <f>G37</f>
        <v>51278</v>
      </c>
      <c r="K37" s="120"/>
      <c r="L37" s="120"/>
      <c r="M37" s="120"/>
      <c r="N37" s="155" t="s">
        <v>172</v>
      </c>
    </row>
    <row r="38" spans="2:14" s="92" customFormat="1" ht="13.5" thickBot="1" x14ac:dyDescent="0.25">
      <c r="B38" s="2"/>
      <c r="C38" s="156"/>
      <c r="D38" s="75"/>
      <c r="E38" s="75"/>
      <c r="F38" s="75"/>
      <c r="G38" s="157"/>
      <c r="H38" s="166"/>
      <c r="I38" s="166"/>
      <c r="J38" s="166"/>
      <c r="K38" s="166"/>
      <c r="L38" s="166"/>
      <c r="M38" s="166"/>
      <c r="N38" s="158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3"/>
    </row>
    <row r="41" spans="2:14" x14ac:dyDescent="0.2">
      <c r="C41" s="154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5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4" x14ac:dyDescent="0.2">
      <c r="C43" s="159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5"/>
    </row>
    <row r="44" spans="2:14" x14ac:dyDescent="0.2">
      <c r="C44" s="159"/>
      <c r="D44" s="26"/>
      <c r="E44" s="78">
        <v>5005</v>
      </c>
      <c r="F44" s="151" t="s">
        <v>8</v>
      </c>
      <c r="G44" s="58">
        <f>'Benchmarking Calculations'!G10</f>
        <v>107595.38</v>
      </c>
      <c r="H44" s="142">
        <v>71727.41</v>
      </c>
      <c r="I44" s="142">
        <v>79500</v>
      </c>
      <c r="J44" s="142">
        <v>84900</v>
      </c>
      <c r="K44" s="143"/>
      <c r="L44" s="143"/>
      <c r="M44" s="143"/>
      <c r="N44" s="155" t="s">
        <v>172</v>
      </c>
    </row>
    <row r="45" spans="2:14" x14ac:dyDescent="0.2">
      <c r="C45" s="159"/>
      <c r="D45" s="26"/>
      <c r="E45" s="78">
        <v>5010</v>
      </c>
      <c r="F45" s="151" t="s">
        <v>9</v>
      </c>
      <c r="G45" s="58">
        <f>'Benchmarking Calculations'!G11</f>
        <v>24975.95</v>
      </c>
      <c r="H45" s="142">
        <v>15500.36</v>
      </c>
      <c r="I45" s="142">
        <v>11700</v>
      </c>
      <c r="J45" s="142">
        <v>12100</v>
      </c>
      <c r="K45" s="143"/>
      <c r="L45" s="143"/>
      <c r="M45" s="143"/>
      <c r="N45" s="155" t="s">
        <v>172</v>
      </c>
    </row>
    <row r="46" spans="2:14" x14ac:dyDescent="0.2">
      <c r="C46" s="159"/>
      <c r="D46" s="26"/>
      <c r="E46" s="78">
        <v>5012</v>
      </c>
      <c r="F46" s="151" t="s">
        <v>10</v>
      </c>
      <c r="G46" s="58">
        <f>'Benchmarking Calculations'!G12</f>
        <v>67863.289999999994</v>
      </c>
      <c r="H46" s="142">
        <v>75720.899999999994</v>
      </c>
      <c r="I46" s="142">
        <v>78400</v>
      </c>
      <c r="J46" s="142">
        <v>77800</v>
      </c>
      <c r="K46" s="143"/>
      <c r="L46" s="143"/>
      <c r="M46" s="143"/>
      <c r="N46" s="155" t="s">
        <v>172</v>
      </c>
    </row>
    <row r="47" spans="2:14" x14ac:dyDescent="0.2">
      <c r="C47" s="159"/>
      <c r="D47" s="26"/>
      <c r="E47" s="78">
        <v>5014</v>
      </c>
      <c r="F47" s="151" t="s">
        <v>11</v>
      </c>
      <c r="G47" s="58">
        <f>'Benchmarking Calculations'!G13</f>
        <v>0</v>
      </c>
      <c r="H47" s="142">
        <v>0</v>
      </c>
      <c r="I47" s="142">
        <v>0</v>
      </c>
      <c r="J47" s="142">
        <v>0</v>
      </c>
      <c r="K47" s="143"/>
      <c r="L47" s="143"/>
      <c r="M47" s="143"/>
      <c r="N47" s="155" t="s">
        <v>172</v>
      </c>
    </row>
    <row r="48" spans="2:14" ht="25.5" x14ac:dyDescent="0.2">
      <c r="C48" s="159"/>
      <c r="D48" s="26"/>
      <c r="E48" s="78">
        <v>5015</v>
      </c>
      <c r="F48" s="151" t="s">
        <v>12</v>
      </c>
      <c r="G48" s="58">
        <f>'Benchmarking Calculations'!G14</f>
        <v>0</v>
      </c>
      <c r="H48" s="142">
        <v>0</v>
      </c>
      <c r="I48" s="142">
        <v>0</v>
      </c>
      <c r="J48" s="142">
        <v>0</v>
      </c>
      <c r="K48" s="143"/>
      <c r="L48" s="143"/>
      <c r="M48" s="143"/>
      <c r="N48" s="155" t="s">
        <v>172</v>
      </c>
    </row>
    <row r="49" spans="3:14" x14ac:dyDescent="0.2">
      <c r="C49" s="159"/>
      <c r="D49" s="26"/>
      <c r="E49" s="78">
        <v>5016</v>
      </c>
      <c r="F49" s="151" t="s">
        <v>13</v>
      </c>
      <c r="G49" s="58">
        <f>'Benchmarking Calculations'!G15</f>
        <v>101.9</v>
      </c>
      <c r="H49" s="142">
        <v>1305.17</v>
      </c>
      <c r="I49" s="142">
        <v>900</v>
      </c>
      <c r="J49" s="142">
        <v>1000</v>
      </c>
      <c r="K49" s="143"/>
      <c r="L49" s="143"/>
      <c r="M49" s="143"/>
      <c r="N49" s="155" t="s">
        <v>172</v>
      </c>
    </row>
    <row r="50" spans="3:14" ht="25.5" x14ac:dyDescent="0.2">
      <c r="C50" s="159"/>
      <c r="D50" s="26"/>
      <c r="E50" s="78">
        <v>5017</v>
      </c>
      <c r="F50" s="151" t="s">
        <v>14</v>
      </c>
      <c r="G50" s="58">
        <f>'Benchmarking Calculations'!G16</f>
        <v>15978.47</v>
      </c>
      <c r="H50" s="142">
        <v>12483.68</v>
      </c>
      <c r="I50" s="142">
        <v>32800</v>
      </c>
      <c r="J50" s="142">
        <v>12000</v>
      </c>
      <c r="K50" s="143"/>
      <c r="L50" s="143"/>
      <c r="M50" s="143"/>
      <c r="N50" s="155" t="s">
        <v>172</v>
      </c>
    </row>
    <row r="51" spans="3:14" ht="25.5" x14ac:dyDescent="0.2">
      <c r="C51" s="159"/>
      <c r="D51" s="26"/>
      <c r="E51" s="78">
        <v>5020</v>
      </c>
      <c r="F51" s="151" t="s">
        <v>15</v>
      </c>
      <c r="G51" s="58">
        <f>'Benchmarking Calculations'!G17</f>
        <v>-26.33</v>
      </c>
      <c r="H51" s="142">
        <v>2346.7800000000002</v>
      </c>
      <c r="I51" s="142">
        <v>12900</v>
      </c>
      <c r="J51" s="142">
        <v>13300</v>
      </c>
      <c r="K51" s="143"/>
      <c r="L51" s="143"/>
      <c r="M51" s="143"/>
      <c r="N51" s="155" t="s">
        <v>172</v>
      </c>
    </row>
    <row r="52" spans="3:14" ht="25.5" x14ac:dyDescent="0.2">
      <c r="C52" s="159"/>
      <c r="D52" s="26"/>
      <c r="E52" s="78">
        <v>5025</v>
      </c>
      <c r="F52" s="151" t="s">
        <v>16</v>
      </c>
      <c r="G52" s="58">
        <f>'Benchmarking Calculations'!G18</f>
        <v>10230.18</v>
      </c>
      <c r="H52" s="142">
        <v>5198.53</v>
      </c>
      <c r="I52" s="142">
        <v>13300</v>
      </c>
      <c r="J52" s="142">
        <v>13300</v>
      </c>
      <c r="K52" s="143"/>
      <c r="L52" s="143"/>
      <c r="M52" s="143"/>
      <c r="N52" s="155" t="s">
        <v>172</v>
      </c>
    </row>
    <row r="53" spans="3:14" x14ac:dyDescent="0.2">
      <c r="C53" s="159"/>
      <c r="D53" s="26"/>
      <c r="E53" s="78">
        <v>5035</v>
      </c>
      <c r="F53" s="151" t="s">
        <v>17</v>
      </c>
      <c r="G53" s="58">
        <f>'Benchmarking Calculations'!G19</f>
        <v>0</v>
      </c>
      <c r="H53" s="142">
        <v>0</v>
      </c>
      <c r="I53" s="142">
        <v>2500</v>
      </c>
      <c r="J53" s="142">
        <v>2500</v>
      </c>
      <c r="K53" s="143"/>
      <c r="L53" s="143"/>
      <c r="M53" s="143"/>
      <c r="N53" s="155" t="s">
        <v>172</v>
      </c>
    </row>
    <row r="54" spans="3:14" ht="25.5" x14ac:dyDescent="0.2">
      <c r="C54" s="159"/>
      <c r="D54" s="26"/>
      <c r="E54" s="78">
        <v>5040</v>
      </c>
      <c r="F54" s="151" t="s">
        <v>18</v>
      </c>
      <c r="G54" s="58">
        <f>'Benchmarking Calculations'!G20</f>
        <v>0</v>
      </c>
      <c r="H54" s="142">
        <v>0</v>
      </c>
      <c r="I54" s="142">
        <v>2500</v>
      </c>
      <c r="J54" s="142">
        <v>2500</v>
      </c>
      <c r="K54" s="143"/>
      <c r="L54" s="143"/>
      <c r="M54" s="143"/>
      <c r="N54" s="155" t="s">
        <v>172</v>
      </c>
    </row>
    <row r="55" spans="3:14" ht="25.5" x14ac:dyDescent="0.2">
      <c r="C55" s="159"/>
      <c r="D55" s="26"/>
      <c r="E55" s="78">
        <v>5045</v>
      </c>
      <c r="F55" s="151" t="s">
        <v>19</v>
      </c>
      <c r="G55" s="58">
        <f>'Benchmarking Calculations'!G21</f>
        <v>0</v>
      </c>
      <c r="H55" s="142">
        <v>0</v>
      </c>
      <c r="I55" s="142">
        <v>0</v>
      </c>
      <c r="J55" s="142">
        <v>0</v>
      </c>
      <c r="K55" s="143"/>
      <c r="L55" s="143"/>
      <c r="M55" s="143"/>
      <c r="N55" s="155" t="s">
        <v>172</v>
      </c>
    </row>
    <row r="56" spans="3:14" x14ac:dyDescent="0.2">
      <c r="C56" s="159"/>
      <c r="D56" s="26"/>
      <c r="E56" s="78">
        <v>5055</v>
      </c>
      <c r="F56" s="151" t="s">
        <v>20</v>
      </c>
      <c r="G56" s="58">
        <f>'Benchmarking Calculations'!G22</f>
        <v>1441.85</v>
      </c>
      <c r="H56" s="142">
        <v>4555.24</v>
      </c>
      <c r="I56" s="142">
        <v>12300</v>
      </c>
      <c r="J56" s="142">
        <v>12500</v>
      </c>
      <c r="K56" s="143"/>
      <c r="L56" s="143"/>
      <c r="M56" s="143"/>
      <c r="N56" s="155" t="s">
        <v>172</v>
      </c>
    </row>
    <row r="57" spans="3:14" x14ac:dyDescent="0.2">
      <c r="C57" s="159"/>
      <c r="D57" s="26"/>
      <c r="E57" s="78">
        <v>5065</v>
      </c>
      <c r="F57" s="151" t="s">
        <v>21</v>
      </c>
      <c r="G57" s="58">
        <f>'Benchmarking Calculations'!G23</f>
        <v>33526.61</v>
      </c>
      <c r="H57" s="142">
        <v>59018.69</v>
      </c>
      <c r="I57" s="142">
        <v>57000</v>
      </c>
      <c r="J57" s="142">
        <v>73400</v>
      </c>
      <c r="K57" s="143"/>
      <c r="L57" s="143"/>
      <c r="M57" s="143"/>
      <c r="N57" s="155" t="s">
        <v>172</v>
      </c>
    </row>
    <row r="58" spans="3:14" x14ac:dyDescent="0.2">
      <c r="C58" s="159"/>
      <c r="D58" s="26"/>
      <c r="E58" s="78">
        <v>5070</v>
      </c>
      <c r="F58" s="151" t="s">
        <v>22</v>
      </c>
      <c r="G58" s="58">
        <f>'Benchmarking Calculations'!G24</f>
        <v>0</v>
      </c>
      <c r="H58" s="142">
        <v>0</v>
      </c>
      <c r="I58" s="142">
        <v>0</v>
      </c>
      <c r="J58" s="142">
        <v>0</v>
      </c>
      <c r="K58" s="143"/>
      <c r="L58" s="143"/>
      <c r="M58" s="143"/>
      <c r="N58" s="155" t="s">
        <v>172</v>
      </c>
    </row>
    <row r="59" spans="3:14" ht="25.5" x14ac:dyDescent="0.2">
      <c r="C59" s="159"/>
      <c r="D59" s="26"/>
      <c r="E59" s="78">
        <v>5075</v>
      </c>
      <c r="F59" s="151" t="s">
        <v>23</v>
      </c>
      <c r="G59" s="58">
        <f>'Benchmarking Calculations'!G25</f>
        <v>0</v>
      </c>
      <c r="H59" s="142">
        <v>0</v>
      </c>
      <c r="I59" s="142">
        <v>0</v>
      </c>
      <c r="J59" s="142">
        <v>0</v>
      </c>
      <c r="K59" s="143"/>
      <c r="L59" s="143"/>
      <c r="M59" s="143"/>
      <c r="N59" s="155" t="s">
        <v>172</v>
      </c>
    </row>
    <row r="60" spans="3:14" x14ac:dyDescent="0.2">
      <c r="C60" s="159"/>
      <c r="D60" s="26"/>
      <c r="E60" s="78">
        <v>5085</v>
      </c>
      <c r="F60" s="151" t="s">
        <v>24</v>
      </c>
      <c r="G60" s="58">
        <f>'Benchmarking Calculations'!G26</f>
        <v>54618.14</v>
      </c>
      <c r="H60" s="142">
        <v>58407.31</v>
      </c>
      <c r="I60" s="142">
        <v>58000</v>
      </c>
      <c r="J60" s="142">
        <v>55800</v>
      </c>
      <c r="K60" s="143"/>
      <c r="L60" s="143"/>
      <c r="M60" s="143"/>
      <c r="N60" s="155" t="s">
        <v>172</v>
      </c>
    </row>
    <row r="61" spans="3:14" ht="25.5" x14ac:dyDescent="0.2">
      <c r="C61" s="159"/>
      <c r="D61" s="26"/>
      <c r="E61" s="78">
        <v>5090</v>
      </c>
      <c r="F61" s="151" t="s">
        <v>25</v>
      </c>
      <c r="G61" s="58">
        <f>'Benchmarking Calculations'!G27</f>
        <v>0</v>
      </c>
      <c r="H61" s="142">
        <v>0</v>
      </c>
      <c r="I61" s="142">
        <v>0</v>
      </c>
      <c r="J61" s="142">
        <v>0</v>
      </c>
      <c r="K61" s="143"/>
      <c r="L61" s="143"/>
      <c r="M61" s="143"/>
      <c r="N61" s="155" t="s">
        <v>172</v>
      </c>
    </row>
    <row r="62" spans="3:14" ht="25.5" x14ac:dyDescent="0.2">
      <c r="C62" s="159"/>
      <c r="D62" s="26"/>
      <c r="E62" s="78">
        <v>5095</v>
      </c>
      <c r="F62" s="151" t="s">
        <v>26</v>
      </c>
      <c r="G62" s="58">
        <f>'Benchmarking Calculations'!G28</f>
        <v>6172.31</v>
      </c>
      <c r="H62" s="142">
        <v>6304.25</v>
      </c>
      <c r="I62" s="142">
        <v>6300</v>
      </c>
      <c r="J62" s="142">
        <v>6400</v>
      </c>
      <c r="K62" s="143"/>
      <c r="L62" s="143"/>
      <c r="M62" s="143"/>
      <c r="N62" s="155" t="s">
        <v>172</v>
      </c>
    </row>
    <row r="63" spans="3:14" x14ac:dyDescent="0.2">
      <c r="C63" s="159"/>
      <c r="D63" s="26"/>
      <c r="E63" s="111">
        <v>5096</v>
      </c>
      <c r="F63" s="170" t="s">
        <v>27</v>
      </c>
      <c r="G63" s="112">
        <f>'Benchmarking Calculations'!G29</f>
        <v>0</v>
      </c>
      <c r="H63" s="142">
        <v>0</v>
      </c>
      <c r="I63" s="142">
        <v>0</v>
      </c>
      <c r="J63" s="142">
        <v>0</v>
      </c>
      <c r="K63" s="143"/>
      <c r="L63" s="143"/>
      <c r="M63" s="143"/>
      <c r="N63" s="155" t="s">
        <v>172</v>
      </c>
    </row>
    <row r="64" spans="3:14" x14ac:dyDescent="0.2">
      <c r="C64" s="159"/>
      <c r="D64" s="26"/>
      <c r="E64" s="16"/>
      <c r="F64" s="80" t="s">
        <v>28</v>
      </c>
      <c r="G64" s="110">
        <f>'Benchmarking Calculations'!G30</f>
        <v>322477.75</v>
      </c>
      <c r="H64" s="81">
        <f>SUM(H44:H63)</f>
        <v>312568.31999999995</v>
      </c>
      <c r="I64" s="81">
        <f t="shared" ref="I64:M64" si="4">SUM(I44:I63)</f>
        <v>368100</v>
      </c>
      <c r="J64" s="81">
        <f t="shared" si="4"/>
        <v>367500</v>
      </c>
      <c r="K64" s="81">
        <f t="shared" si="4"/>
        <v>0</v>
      </c>
      <c r="L64" s="81">
        <f t="shared" si="4"/>
        <v>0</v>
      </c>
      <c r="M64" s="81">
        <f t="shared" si="4"/>
        <v>0</v>
      </c>
      <c r="N64" s="160" t="s">
        <v>29</v>
      </c>
    </row>
    <row r="65" spans="3:14" x14ac:dyDescent="0.2">
      <c r="C65" s="159"/>
      <c r="D65" s="26"/>
      <c r="E65" s="78">
        <v>5105</v>
      </c>
      <c r="F65" s="151" t="s">
        <v>30</v>
      </c>
      <c r="G65" s="58">
        <f>'Benchmarking Calculations'!G31</f>
        <v>43284.33</v>
      </c>
      <c r="H65" s="142">
        <v>26845.09</v>
      </c>
      <c r="I65" s="142">
        <v>36500</v>
      </c>
      <c r="J65" s="142">
        <v>40500</v>
      </c>
      <c r="K65" s="143"/>
      <c r="L65" s="143"/>
      <c r="M65" s="143"/>
      <c r="N65" s="155" t="s">
        <v>172</v>
      </c>
    </row>
    <row r="66" spans="3:14" x14ac:dyDescent="0.2">
      <c r="C66" s="159"/>
      <c r="D66" s="26"/>
      <c r="E66" s="78">
        <v>5110</v>
      </c>
      <c r="F66" s="151" t="s">
        <v>31</v>
      </c>
      <c r="G66" s="58">
        <f>'Benchmarking Calculations'!G32</f>
        <v>0</v>
      </c>
      <c r="H66" s="142">
        <v>0</v>
      </c>
      <c r="I66" s="142">
        <v>0</v>
      </c>
      <c r="J66" s="142">
        <v>0</v>
      </c>
      <c r="K66" s="143"/>
      <c r="L66" s="143"/>
      <c r="M66" s="143"/>
      <c r="N66" s="155" t="s">
        <v>172</v>
      </c>
    </row>
    <row r="67" spans="3:14" x14ac:dyDescent="0.2">
      <c r="C67" s="159"/>
      <c r="D67" s="26"/>
      <c r="E67" s="78">
        <v>5112</v>
      </c>
      <c r="F67" s="151" t="s">
        <v>32</v>
      </c>
      <c r="G67" s="58">
        <f>'Benchmarking Calculations'!G33</f>
        <v>0</v>
      </c>
      <c r="H67" s="142">
        <v>0</v>
      </c>
      <c r="I67" s="142">
        <v>0</v>
      </c>
      <c r="J67" s="142">
        <v>0</v>
      </c>
      <c r="K67" s="143"/>
      <c r="L67" s="143"/>
      <c r="M67" s="143"/>
      <c r="N67" s="155" t="s">
        <v>172</v>
      </c>
    </row>
    <row r="68" spans="3:14" x14ac:dyDescent="0.2">
      <c r="C68" s="159"/>
      <c r="D68" s="26"/>
      <c r="E68" s="78">
        <v>5114</v>
      </c>
      <c r="F68" s="151" t="s">
        <v>33</v>
      </c>
      <c r="G68" s="58">
        <f>'Benchmarking Calculations'!G34</f>
        <v>12225.62</v>
      </c>
      <c r="H68" s="142">
        <v>5735.53</v>
      </c>
      <c r="I68" s="142">
        <v>12300</v>
      </c>
      <c r="J68" s="142">
        <v>24300</v>
      </c>
      <c r="K68" s="143"/>
      <c r="L68" s="143"/>
      <c r="M68" s="143"/>
      <c r="N68" s="155" t="s">
        <v>172</v>
      </c>
    </row>
    <row r="69" spans="3:14" x14ac:dyDescent="0.2">
      <c r="C69" s="159"/>
      <c r="D69" s="26"/>
      <c r="E69" s="78">
        <v>5120</v>
      </c>
      <c r="F69" s="151" t="s">
        <v>34</v>
      </c>
      <c r="G69" s="58">
        <f>'Benchmarking Calculations'!G35</f>
        <v>13107.17</v>
      </c>
      <c r="H69" s="142">
        <v>26822.22</v>
      </c>
      <c r="I69" s="142">
        <v>21400</v>
      </c>
      <c r="J69" s="142">
        <v>22600</v>
      </c>
      <c r="K69" s="143"/>
      <c r="L69" s="143"/>
      <c r="M69" s="143"/>
      <c r="N69" s="155" t="s">
        <v>172</v>
      </c>
    </row>
    <row r="70" spans="3:14" x14ac:dyDescent="0.2">
      <c r="C70" s="159"/>
      <c r="D70" s="26"/>
      <c r="E70" s="78">
        <v>5125</v>
      </c>
      <c r="F70" s="151" t="s">
        <v>35</v>
      </c>
      <c r="G70" s="58">
        <f>'Benchmarking Calculations'!G36</f>
        <v>11728.62</v>
      </c>
      <c r="H70" s="142">
        <v>41708.68</v>
      </c>
      <c r="I70" s="142">
        <v>10800</v>
      </c>
      <c r="J70" s="142">
        <v>8600</v>
      </c>
      <c r="K70" s="143"/>
      <c r="L70" s="143"/>
      <c r="M70" s="143"/>
      <c r="N70" s="155" t="s">
        <v>172</v>
      </c>
    </row>
    <row r="71" spans="3:14" x14ac:dyDescent="0.2">
      <c r="C71" s="159"/>
      <c r="D71" s="26"/>
      <c r="E71" s="78">
        <v>5130</v>
      </c>
      <c r="F71" s="151" t="s">
        <v>36</v>
      </c>
      <c r="G71" s="58">
        <f>'Benchmarking Calculations'!G37</f>
        <v>27419.25</v>
      </c>
      <c r="H71" s="142">
        <v>52958.98</v>
      </c>
      <c r="I71" s="142">
        <v>28800</v>
      </c>
      <c r="J71" s="142">
        <v>31100</v>
      </c>
      <c r="K71" s="143"/>
      <c r="L71" s="143"/>
      <c r="M71" s="143"/>
      <c r="N71" s="155" t="s">
        <v>172</v>
      </c>
    </row>
    <row r="72" spans="3:14" ht="25.5" x14ac:dyDescent="0.2">
      <c r="C72" s="159"/>
      <c r="D72" s="26"/>
      <c r="E72" s="78">
        <v>5135</v>
      </c>
      <c r="F72" s="151" t="s">
        <v>37</v>
      </c>
      <c r="G72" s="58">
        <f>'Benchmarking Calculations'!G38</f>
        <v>62947.87</v>
      </c>
      <c r="H72" s="142">
        <v>66114.570000000007</v>
      </c>
      <c r="I72" s="142">
        <v>69900</v>
      </c>
      <c r="J72" s="142">
        <v>54000</v>
      </c>
      <c r="K72" s="143"/>
      <c r="L72" s="143"/>
      <c r="M72" s="143"/>
      <c r="N72" s="155" t="s">
        <v>172</v>
      </c>
    </row>
    <row r="73" spans="3:14" x14ac:dyDescent="0.2">
      <c r="C73" s="159"/>
      <c r="D73" s="26"/>
      <c r="E73" s="78">
        <v>5145</v>
      </c>
      <c r="F73" s="151" t="s">
        <v>38</v>
      </c>
      <c r="G73" s="58">
        <f>'Benchmarking Calculations'!G39</f>
        <v>1406.16</v>
      </c>
      <c r="H73" s="142">
        <v>3227.96</v>
      </c>
      <c r="I73" s="142">
        <v>1400</v>
      </c>
      <c r="J73" s="142">
        <v>1400</v>
      </c>
      <c r="K73" s="143"/>
      <c r="L73" s="143"/>
      <c r="M73" s="143"/>
      <c r="N73" s="155" t="s">
        <v>172</v>
      </c>
    </row>
    <row r="74" spans="3:14" ht="25.5" x14ac:dyDescent="0.2">
      <c r="C74" s="159"/>
      <c r="D74" s="26"/>
      <c r="E74" s="78">
        <v>5150</v>
      </c>
      <c r="F74" s="151" t="s">
        <v>39</v>
      </c>
      <c r="G74" s="58">
        <f>'Benchmarking Calculations'!G40</f>
        <v>3477.39</v>
      </c>
      <c r="H74" s="142">
        <v>2503.14</v>
      </c>
      <c r="I74" s="142">
        <v>3200</v>
      </c>
      <c r="J74" s="142">
        <v>3400</v>
      </c>
      <c r="K74" s="143"/>
      <c r="L74" s="143"/>
      <c r="M74" s="143"/>
      <c r="N74" s="155" t="s">
        <v>172</v>
      </c>
    </row>
    <row r="75" spans="3:14" x14ac:dyDescent="0.2">
      <c r="C75" s="159"/>
      <c r="D75" s="26"/>
      <c r="E75" s="78">
        <v>5155</v>
      </c>
      <c r="F75" s="151" t="s">
        <v>40</v>
      </c>
      <c r="G75" s="58">
        <f>'Benchmarking Calculations'!G41</f>
        <v>90045.51</v>
      </c>
      <c r="H75" s="142">
        <v>114268.19</v>
      </c>
      <c r="I75" s="142">
        <v>116100</v>
      </c>
      <c r="J75" s="142">
        <v>90500</v>
      </c>
      <c r="K75" s="143"/>
      <c r="L75" s="143"/>
      <c r="M75" s="143"/>
      <c r="N75" s="155" t="s">
        <v>172</v>
      </c>
    </row>
    <row r="76" spans="3:14" x14ac:dyDescent="0.2">
      <c r="C76" s="159"/>
      <c r="D76" s="26"/>
      <c r="E76" s="78">
        <v>5160</v>
      </c>
      <c r="F76" s="151" t="s">
        <v>41</v>
      </c>
      <c r="G76" s="58">
        <f>'Benchmarking Calculations'!G42</f>
        <v>42219.92</v>
      </c>
      <c r="H76" s="142">
        <v>14202.1</v>
      </c>
      <c r="I76" s="142">
        <v>42700</v>
      </c>
      <c r="J76" s="142">
        <v>42400</v>
      </c>
      <c r="K76" s="143"/>
      <c r="L76" s="143"/>
      <c r="M76" s="143"/>
      <c r="N76" s="155" t="s">
        <v>172</v>
      </c>
    </row>
    <row r="77" spans="3:14" x14ac:dyDescent="0.2">
      <c r="C77" s="159"/>
      <c r="D77" s="26"/>
      <c r="E77" s="111">
        <v>5175</v>
      </c>
      <c r="F77" s="170" t="s">
        <v>42</v>
      </c>
      <c r="G77" s="112">
        <f>'Benchmarking Calculations'!G43</f>
        <v>2530.71</v>
      </c>
      <c r="H77" s="142">
        <v>0</v>
      </c>
      <c r="I77" s="142">
        <v>0</v>
      </c>
      <c r="J77" s="142">
        <v>0</v>
      </c>
      <c r="K77" s="143"/>
      <c r="L77" s="143"/>
      <c r="M77" s="143"/>
      <c r="N77" s="155" t="s">
        <v>172</v>
      </c>
    </row>
    <row r="78" spans="3:14" x14ac:dyDescent="0.2">
      <c r="C78" s="159"/>
      <c r="D78" s="26"/>
      <c r="E78" s="16"/>
      <c r="F78" s="80" t="s">
        <v>43</v>
      </c>
      <c r="G78" s="110">
        <f>'Benchmarking Calculations'!G44</f>
        <v>310392.55000000005</v>
      </c>
      <c r="H78" s="81">
        <f>SUM(H65:H77)</f>
        <v>354386.45999999996</v>
      </c>
      <c r="I78" s="81">
        <f t="shared" ref="I78:M78" si="5">SUM(I65:I77)</f>
        <v>343100</v>
      </c>
      <c r="J78" s="81">
        <f>SUM(J65:J77)</f>
        <v>318800</v>
      </c>
      <c r="K78" s="81">
        <f t="shared" si="5"/>
        <v>0</v>
      </c>
      <c r="L78" s="81">
        <f t="shared" si="5"/>
        <v>0</v>
      </c>
      <c r="M78" s="81">
        <f t="shared" si="5"/>
        <v>0</v>
      </c>
      <c r="N78" s="160" t="s">
        <v>29</v>
      </c>
    </row>
    <row r="79" spans="3:14" x14ac:dyDescent="0.2">
      <c r="C79" s="159"/>
      <c r="D79" s="26"/>
      <c r="E79" s="78">
        <v>5305</v>
      </c>
      <c r="F79" s="78" t="s">
        <v>44</v>
      </c>
      <c r="G79" s="58">
        <f>'Benchmarking Calculations'!G45</f>
        <v>37473.160000000003</v>
      </c>
      <c r="H79" s="142">
        <v>57885.78</v>
      </c>
      <c r="I79" s="142">
        <v>47300</v>
      </c>
      <c r="J79" s="142">
        <v>55900</v>
      </c>
      <c r="K79" s="143"/>
      <c r="L79" s="143"/>
      <c r="M79" s="143"/>
      <c r="N79" s="155" t="s">
        <v>172</v>
      </c>
    </row>
    <row r="80" spans="3:14" x14ac:dyDescent="0.2">
      <c r="C80" s="159"/>
      <c r="D80" s="26"/>
      <c r="E80" s="78">
        <v>5310</v>
      </c>
      <c r="F80" s="78" t="s">
        <v>45</v>
      </c>
      <c r="G80" s="58">
        <f>'Benchmarking Calculations'!G46</f>
        <v>103048.34</v>
      </c>
      <c r="H80" s="142">
        <v>106918.86</v>
      </c>
      <c r="I80" s="142">
        <v>110900</v>
      </c>
      <c r="J80" s="142">
        <v>114400</v>
      </c>
      <c r="K80" s="143"/>
      <c r="L80" s="143"/>
      <c r="M80" s="143"/>
      <c r="N80" s="155" t="s">
        <v>172</v>
      </c>
    </row>
    <row r="81" spans="3:14" x14ac:dyDescent="0.2">
      <c r="C81" s="159"/>
      <c r="D81" s="26"/>
      <c r="E81" s="78">
        <v>5315</v>
      </c>
      <c r="F81" s="78" t="s">
        <v>46</v>
      </c>
      <c r="G81" s="58">
        <f>'Benchmarking Calculations'!G47</f>
        <v>200099.41</v>
      </c>
      <c r="H81" s="142">
        <v>210220.11</v>
      </c>
      <c r="I81" s="142">
        <v>226400</v>
      </c>
      <c r="J81" s="142">
        <v>250900</v>
      </c>
      <c r="K81" s="143"/>
      <c r="L81" s="143"/>
      <c r="M81" s="143"/>
      <c r="N81" s="155" t="s">
        <v>172</v>
      </c>
    </row>
    <row r="82" spans="3:14" x14ac:dyDescent="0.2">
      <c r="C82" s="159"/>
      <c r="D82" s="26"/>
      <c r="E82" s="78">
        <v>5320</v>
      </c>
      <c r="F82" s="78" t="s">
        <v>47</v>
      </c>
      <c r="G82" s="58">
        <f>'Benchmarking Calculations'!G48</f>
        <v>104579.83</v>
      </c>
      <c r="H82" s="142">
        <v>84530.3</v>
      </c>
      <c r="I82" s="142">
        <v>96600</v>
      </c>
      <c r="J82" s="142">
        <v>93200</v>
      </c>
      <c r="K82" s="143"/>
      <c r="L82" s="143"/>
      <c r="M82" s="143"/>
      <c r="N82" s="155" t="s">
        <v>172</v>
      </c>
    </row>
    <row r="83" spans="3:14" x14ac:dyDescent="0.2">
      <c r="C83" s="159"/>
      <c r="D83" s="26"/>
      <c r="E83" s="78">
        <v>5325</v>
      </c>
      <c r="F83" s="78" t="s">
        <v>48</v>
      </c>
      <c r="G83" s="58">
        <f>'Benchmarking Calculations'!G49</f>
        <v>-3.4</v>
      </c>
      <c r="H83" s="142">
        <v>0.55000000000000004</v>
      </c>
      <c r="I83" s="142">
        <v>0</v>
      </c>
      <c r="J83" s="142">
        <v>0</v>
      </c>
      <c r="K83" s="143"/>
      <c r="L83" s="143"/>
      <c r="M83" s="143"/>
      <c r="N83" s="155" t="s">
        <v>172</v>
      </c>
    </row>
    <row r="84" spans="3:14" x14ac:dyDescent="0.2">
      <c r="C84" s="159"/>
      <c r="D84" s="26"/>
      <c r="E84" s="78">
        <v>5330</v>
      </c>
      <c r="F84" s="78" t="s">
        <v>49</v>
      </c>
      <c r="G84" s="58">
        <f>'Benchmarking Calculations'!G50</f>
        <v>0</v>
      </c>
      <c r="H84" s="142">
        <v>0</v>
      </c>
      <c r="I84" s="142">
        <v>0</v>
      </c>
      <c r="J84" s="142">
        <v>0</v>
      </c>
      <c r="K84" s="143"/>
      <c r="L84" s="143"/>
      <c r="M84" s="143"/>
      <c r="N84" s="155" t="s">
        <v>172</v>
      </c>
    </row>
    <row r="85" spans="3:14" x14ac:dyDescent="0.2">
      <c r="C85" s="159"/>
      <c r="D85" s="26"/>
      <c r="E85" s="111">
        <v>5340</v>
      </c>
      <c r="F85" s="111" t="s">
        <v>50</v>
      </c>
      <c r="G85" s="112">
        <f>'Benchmarking Calculations'!G51</f>
        <v>0</v>
      </c>
      <c r="H85" s="142">
        <v>0</v>
      </c>
      <c r="I85" s="142">
        <v>0</v>
      </c>
      <c r="J85" s="142">
        <v>0</v>
      </c>
      <c r="K85" s="143"/>
      <c r="L85" s="143"/>
      <c r="M85" s="143"/>
      <c r="N85" s="155" t="s">
        <v>172</v>
      </c>
    </row>
    <row r="86" spans="3:14" x14ac:dyDescent="0.2">
      <c r="C86" s="159"/>
      <c r="D86" s="26"/>
      <c r="E86" s="16"/>
      <c r="F86" s="80" t="s">
        <v>51</v>
      </c>
      <c r="G86" s="110">
        <f>'Benchmarking Calculations'!G52</f>
        <v>445197.34</v>
      </c>
      <c r="H86" s="81">
        <f>SUM(H79:H85)</f>
        <v>459555.6</v>
      </c>
      <c r="I86" s="81">
        <f t="shared" ref="I86:M86" si="6">SUM(I79:I85)</f>
        <v>481200</v>
      </c>
      <c r="J86" s="81">
        <f t="shared" si="6"/>
        <v>514400</v>
      </c>
      <c r="K86" s="81">
        <f t="shared" si="6"/>
        <v>0</v>
      </c>
      <c r="L86" s="81">
        <f t="shared" si="6"/>
        <v>0</v>
      </c>
      <c r="M86" s="81">
        <f t="shared" si="6"/>
        <v>0</v>
      </c>
      <c r="N86" s="160" t="s">
        <v>29</v>
      </c>
    </row>
    <row r="87" spans="3:14" x14ac:dyDescent="0.2">
      <c r="C87" s="159"/>
      <c r="D87" s="26"/>
      <c r="E87" s="78">
        <v>5405</v>
      </c>
      <c r="F87" s="78" t="s">
        <v>52</v>
      </c>
      <c r="G87" s="58">
        <f>'Benchmarking Calculations'!G53</f>
        <v>0</v>
      </c>
      <c r="H87" s="142"/>
      <c r="I87" s="142"/>
      <c r="J87" s="143"/>
      <c r="K87" s="143"/>
      <c r="L87" s="143"/>
      <c r="M87" s="143"/>
      <c r="N87" s="155" t="s">
        <v>172</v>
      </c>
    </row>
    <row r="88" spans="3:14" x14ac:dyDescent="0.2">
      <c r="C88" s="159"/>
      <c r="D88" s="26"/>
      <c r="E88" s="78">
        <v>5410</v>
      </c>
      <c r="F88" s="78" t="s">
        <v>53</v>
      </c>
      <c r="G88" s="58">
        <f>'Benchmarking Calculations'!G54</f>
        <v>11925.16</v>
      </c>
      <c r="H88" s="142">
        <v>31323.69</v>
      </c>
      <c r="I88" s="142">
        <v>29800</v>
      </c>
      <c r="J88" s="142">
        <v>25300</v>
      </c>
      <c r="K88" s="143"/>
      <c r="L88" s="143"/>
      <c r="M88" s="143"/>
      <c r="N88" s="155" t="s">
        <v>172</v>
      </c>
    </row>
    <row r="89" spans="3:14" x14ac:dyDescent="0.2">
      <c r="C89" s="159"/>
      <c r="D89" s="26"/>
      <c r="E89" s="78">
        <v>5420</v>
      </c>
      <c r="F89" s="78" t="s">
        <v>54</v>
      </c>
      <c r="G89" s="58">
        <f>'Benchmarking Calculations'!G55</f>
        <v>0</v>
      </c>
      <c r="H89" s="142"/>
      <c r="I89" s="142"/>
      <c r="J89" s="143"/>
      <c r="K89" s="143"/>
      <c r="L89" s="143"/>
      <c r="M89" s="143"/>
      <c r="N89" s="155" t="s">
        <v>172</v>
      </c>
    </row>
    <row r="90" spans="3:14" x14ac:dyDescent="0.2">
      <c r="C90" s="159"/>
      <c r="D90" s="26"/>
      <c r="E90" s="111">
        <v>5425</v>
      </c>
      <c r="F90" s="111" t="s">
        <v>55</v>
      </c>
      <c r="G90" s="112">
        <f>'Benchmarking Calculations'!G56</f>
        <v>7990.22</v>
      </c>
      <c r="H90" s="142">
        <v>13519.8</v>
      </c>
      <c r="I90" s="142">
        <v>8500</v>
      </c>
      <c r="J90" s="143">
        <v>9400</v>
      </c>
      <c r="K90" s="143"/>
      <c r="L90" s="143"/>
      <c r="M90" s="143"/>
      <c r="N90" s="155" t="s">
        <v>172</v>
      </c>
    </row>
    <row r="91" spans="3:14" x14ac:dyDescent="0.2">
      <c r="C91" s="159"/>
      <c r="D91" s="26"/>
      <c r="E91" s="16"/>
      <c r="F91" s="80" t="s">
        <v>56</v>
      </c>
      <c r="G91" s="110">
        <f>'Benchmarking Calculations'!G57</f>
        <v>19915.38</v>
      </c>
      <c r="H91" s="81">
        <f>SUM(H87:H90)</f>
        <v>44843.49</v>
      </c>
      <c r="I91" s="81">
        <f t="shared" ref="I91:M91" si="7">SUM(I87:I90)</f>
        <v>38300</v>
      </c>
      <c r="J91" s="81">
        <f t="shared" si="7"/>
        <v>34700</v>
      </c>
      <c r="K91" s="81">
        <f t="shared" si="7"/>
        <v>0</v>
      </c>
      <c r="L91" s="81">
        <f t="shared" si="7"/>
        <v>0</v>
      </c>
      <c r="M91" s="81">
        <f t="shared" si="7"/>
        <v>0</v>
      </c>
      <c r="N91" s="160" t="s">
        <v>29</v>
      </c>
    </row>
    <row r="92" spans="3:14" x14ac:dyDescent="0.2">
      <c r="C92" s="159"/>
      <c r="D92" s="26"/>
      <c r="E92" s="78">
        <v>5605</v>
      </c>
      <c r="F92" s="78" t="s">
        <v>57</v>
      </c>
      <c r="G92" s="58">
        <f>'Benchmarking Calculations'!G58</f>
        <v>0</v>
      </c>
      <c r="H92" s="142">
        <v>0</v>
      </c>
      <c r="I92" s="142">
        <v>0</v>
      </c>
      <c r="J92" s="142">
        <v>0</v>
      </c>
      <c r="K92" s="143"/>
      <c r="L92" s="143"/>
      <c r="M92" s="143"/>
      <c r="N92" s="155" t="s">
        <v>172</v>
      </c>
    </row>
    <row r="93" spans="3:14" x14ac:dyDescent="0.2">
      <c r="C93" s="159"/>
      <c r="D93" s="26"/>
      <c r="E93" s="78">
        <v>5610</v>
      </c>
      <c r="F93" s="78" t="s">
        <v>58</v>
      </c>
      <c r="G93" s="58">
        <f>'Benchmarking Calculations'!G59</f>
        <v>364886.57</v>
      </c>
      <c r="H93" s="142">
        <v>360770.12</v>
      </c>
      <c r="I93" s="142">
        <v>368200</v>
      </c>
      <c r="J93" s="142">
        <v>380700</v>
      </c>
      <c r="K93" s="143"/>
      <c r="L93" s="143"/>
      <c r="M93" s="143"/>
      <c r="N93" s="155" t="s">
        <v>172</v>
      </c>
    </row>
    <row r="94" spans="3:14" x14ac:dyDescent="0.2">
      <c r="C94" s="159"/>
      <c r="D94" s="26"/>
      <c r="E94" s="78">
        <v>5615</v>
      </c>
      <c r="F94" s="78" t="s">
        <v>59</v>
      </c>
      <c r="G94" s="58">
        <f>'Benchmarking Calculations'!G60</f>
        <v>215288.65</v>
      </c>
      <c r="H94" s="142">
        <v>208942.81</v>
      </c>
      <c r="I94" s="142">
        <v>228200</v>
      </c>
      <c r="J94" s="142">
        <v>234000</v>
      </c>
      <c r="K94" s="143"/>
      <c r="L94" s="143"/>
      <c r="M94" s="143"/>
      <c r="N94" s="155" t="s">
        <v>172</v>
      </c>
    </row>
    <row r="95" spans="3:14" x14ac:dyDescent="0.2">
      <c r="C95" s="159"/>
      <c r="D95" s="26"/>
      <c r="E95" s="78">
        <v>5620</v>
      </c>
      <c r="F95" s="78" t="s">
        <v>60</v>
      </c>
      <c r="G95" s="58">
        <f>'Benchmarking Calculations'!G61</f>
        <v>58173.23</v>
      </c>
      <c r="H95" s="142">
        <v>67518.28</v>
      </c>
      <c r="I95" s="142">
        <v>62000</v>
      </c>
      <c r="J95" s="142">
        <v>60400</v>
      </c>
      <c r="K95" s="143"/>
      <c r="L95" s="143"/>
      <c r="M95" s="143"/>
      <c r="N95" s="155" t="s">
        <v>172</v>
      </c>
    </row>
    <row r="96" spans="3:14" x14ac:dyDescent="0.2">
      <c r="C96" s="159"/>
      <c r="D96" s="26"/>
      <c r="E96" s="78">
        <v>5625</v>
      </c>
      <c r="F96" s="78" t="s">
        <v>61</v>
      </c>
      <c r="G96" s="58">
        <f>'Benchmarking Calculations'!G62</f>
        <v>0</v>
      </c>
      <c r="H96" s="142">
        <v>0</v>
      </c>
      <c r="I96" s="142">
        <v>0</v>
      </c>
      <c r="J96" s="142">
        <v>0</v>
      </c>
      <c r="K96" s="143"/>
      <c r="L96" s="143"/>
      <c r="M96" s="143"/>
      <c r="N96" s="155" t="s">
        <v>172</v>
      </c>
    </row>
    <row r="97" spans="3:14" x14ac:dyDescent="0.2">
      <c r="C97" s="159"/>
      <c r="D97" s="26"/>
      <c r="E97" s="78">
        <v>5630</v>
      </c>
      <c r="F97" s="78" t="s">
        <v>62</v>
      </c>
      <c r="G97" s="58">
        <f>'Benchmarking Calculations'!G63</f>
        <v>42200.02</v>
      </c>
      <c r="H97" s="142">
        <v>53214.51</v>
      </c>
      <c r="I97" s="142">
        <v>49700</v>
      </c>
      <c r="J97" s="142">
        <v>50300</v>
      </c>
      <c r="K97" s="143"/>
      <c r="L97" s="143"/>
      <c r="M97" s="143"/>
      <c r="N97" s="155" t="s">
        <v>172</v>
      </c>
    </row>
    <row r="98" spans="3:14" x14ac:dyDescent="0.2">
      <c r="C98" s="159"/>
      <c r="D98" s="26"/>
      <c r="E98" s="78">
        <v>5640</v>
      </c>
      <c r="F98" s="78" t="s">
        <v>63</v>
      </c>
      <c r="G98" s="58">
        <f>'Benchmarking Calculations'!G64</f>
        <v>32743.73</v>
      </c>
      <c r="H98" s="142">
        <v>42093.93</v>
      </c>
      <c r="I98" s="142">
        <v>42100</v>
      </c>
      <c r="J98" s="142">
        <v>45000</v>
      </c>
      <c r="K98" s="143"/>
      <c r="L98" s="143"/>
      <c r="M98" s="143"/>
      <c r="N98" s="155" t="s">
        <v>172</v>
      </c>
    </row>
    <row r="99" spans="3:14" x14ac:dyDescent="0.2">
      <c r="C99" s="159"/>
      <c r="D99" s="26"/>
      <c r="E99" s="78">
        <v>5645</v>
      </c>
      <c r="F99" s="78" t="s">
        <v>64</v>
      </c>
      <c r="G99" s="58">
        <f>'Benchmarking Calculations'!G65</f>
        <v>14641.81</v>
      </c>
      <c r="H99" s="142">
        <v>0</v>
      </c>
      <c r="I99" s="142">
        <v>0</v>
      </c>
      <c r="J99" s="142">
        <v>0</v>
      </c>
      <c r="K99" s="143"/>
      <c r="L99" s="143"/>
      <c r="M99" s="143"/>
      <c r="N99" s="155" t="s">
        <v>172</v>
      </c>
    </row>
    <row r="100" spans="3:14" x14ac:dyDescent="0.2">
      <c r="C100" s="159"/>
      <c r="D100" s="26"/>
      <c r="E100" s="78">
        <v>5646</v>
      </c>
      <c r="F100" s="78" t="s">
        <v>65</v>
      </c>
      <c r="G100" s="58">
        <f>'Benchmarking Calculations'!G66</f>
        <v>0</v>
      </c>
      <c r="H100" s="142">
        <v>16744.34</v>
      </c>
      <c r="I100" s="142">
        <v>24100</v>
      </c>
      <c r="J100" s="142">
        <v>18400</v>
      </c>
      <c r="K100" s="143"/>
      <c r="L100" s="143"/>
      <c r="M100" s="143"/>
      <c r="N100" s="155" t="s">
        <v>172</v>
      </c>
    </row>
    <row r="101" spans="3:14" x14ac:dyDescent="0.2">
      <c r="C101" s="159"/>
      <c r="D101" s="26"/>
      <c r="E101" s="78">
        <v>5647</v>
      </c>
      <c r="F101" s="78" t="s">
        <v>66</v>
      </c>
      <c r="G101" s="58">
        <f>'Benchmarking Calculations'!G67</f>
        <v>0</v>
      </c>
      <c r="H101" s="142">
        <v>16744.34</v>
      </c>
      <c r="I101" s="142">
        <v>24100</v>
      </c>
      <c r="J101" s="142">
        <v>18400</v>
      </c>
      <c r="K101" s="143"/>
      <c r="L101" s="143"/>
      <c r="M101" s="143"/>
      <c r="N101" s="155" t="s">
        <v>172</v>
      </c>
    </row>
    <row r="102" spans="3:14" x14ac:dyDescent="0.2">
      <c r="C102" s="159"/>
      <c r="D102" s="26"/>
      <c r="E102" s="78">
        <v>5650</v>
      </c>
      <c r="F102" s="78" t="s">
        <v>67</v>
      </c>
      <c r="G102" s="58">
        <f>'Benchmarking Calculations'!G68</f>
        <v>0</v>
      </c>
      <c r="H102" s="142">
        <v>0</v>
      </c>
      <c r="I102" s="142">
        <v>0</v>
      </c>
      <c r="J102" s="142">
        <v>0</v>
      </c>
      <c r="K102" s="143"/>
      <c r="L102" s="143"/>
      <c r="M102" s="143"/>
      <c r="N102" s="155" t="s">
        <v>172</v>
      </c>
    </row>
    <row r="103" spans="3:14" x14ac:dyDescent="0.2">
      <c r="C103" s="159"/>
      <c r="D103" s="26"/>
      <c r="E103" s="78">
        <v>5655</v>
      </c>
      <c r="F103" s="78" t="s">
        <v>68</v>
      </c>
      <c r="G103" s="58">
        <f>'Benchmarking Calculations'!G69</f>
        <v>93458.96</v>
      </c>
      <c r="H103" s="142">
        <v>77609.94</v>
      </c>
      <c r="I103" s="142">
        <v>121700</v>
      </c>
      <c r="J103" s="142">
        <v>158400</v>
      </c>
      <c r="K103" s="143"/>
      <c r="L103" s="143"/>
      <c r="M103" s="143"/>
      <c r="N103" s="155" t="s">
        <v>172</v>
      </c>
    </row>
    <row r="104" spans="3:14" x14ac:dyDescent="0.2">
      <c r="C104" s="159"/>
      <c r="D104" s="26"/>
      <c r="E104" s="78">
        <v>5665</v>
      </c>
      <c r="F104" s="78" t="s">
        <v>69</v>
      </c>
      <c r="G104" s="58">
        <f>'Benchmarking Calculations'!G70</f>
        <v>98005.64</v>
      </c>
      <c r="H104" s="142">
        <v>87624.95</v>
      </c>
      <c r="I104" s="142">
        <v>97600</v>
      </c>
      <c r="J104" s="142">
        <v>100400</v>
      </c>
      <c r="K104" s="143"/>
      <c r="L104" s="143"/>
      <c r="M104" s="143"/>
      <c r="N104" s="155" t="s">
        <v>172</v>
      </c>
    </row>
    <row r="105" spans="3:14" x14ac:dyDescent="0.2">
      <c r="C105" s="159"/>
      <c r="D105" s="26"/>
      <c r="E105" s="78">
        <v>5670</v>
      </c>
      <c r="F105" s="78" t="s">
        <v>70</v>
      </c>
      <c r="G105" s="58">
        <f>'Benchmarking Calculations'!G71</f>
        <v>0</v>
      </c>
      <c r="H105" s="142"/>
      <c r="I105" s="142"/>
      <c r="J105" s="142"/>
      <c r="K105" s="143"/>
      <c r="L105" s="143"/>
      <c r="M105" s="143"/>
      <c r="N105" s="155" t="s">
        <v>172</v>
      </c>
    </row>
    <row r="106" spans="3:14" x14ac:dyDescent="0.2">
      <c r="C106" s="159"/>
      <c r="D106" s="26"/>
      <c r="E106" s="78">
        <v>5672</v>
      </c>
      <c r="F106" s="78" t="s">
        <v>71</v>
      </c>
      <c r="G106" s="58">
        <f>'Benchmarking Calculations'!G72</f>
        <v>0</v>
      </c>
      <c r="H106" s="142">
        <v>0</v>
      </c>
      <c r="I106" s="142">
        <v>0</v>
      </c>
      <c r="J106" s="142">
        <v>0</v>
      </c>
      <c r="K106" s="143"/>
      <c r="L106" s="143"/>
      <c r="M106" s="143"/>
      <c r="N106" s="155" t="s">
        <v>172</v>
      </c>
    </row>
    <row r="107" spans="3:14" x14ac:dyDescent="0.2">
      <c r="C107" s="159"/>
      <c r="D107" s="26"/>
      <c r="E107" s="78">
        <v>5675</v>
      </c>
      <c r="F107" s="78" t="s">
        <v>72</v>
      </c>
      <c r="G107" s="58">
        <f>'Benchmarking Calculations'!G73</f>
        <v>22729.07</v>
      </c>
      <c r="H107" s="142">
        <v>22486.639999999999</v>
      </c>
      <c r="I107" s="142">
        <v>26900</v>
      </c>
      <c r="J107" s="142">
        <v>26700</v>
      </c>
      <c r="K107" s="143"/>
      <c r="L107" s="143"/>
      <c r="M107" s="143"/>
      <c r="N107" s="155" t="s">
        <v>172</v>
      </c>
    </row>
    <row r="108" spans="3:14" x14ac:dyDescent="0.2">
      <c r="C108" s="159"/>
      <c r="D108" s="26"/>
      <c r="E108" s="111">
        <v>5680</v>
      </c>
      <c r="F108" s="111" t="s">
        <v>73</v>
      </c>
      <c r="G108" s="112">
        <f>'Benchmarking Calculations'!G74</f>
        <v>10043.280000000001</v>
      </c>
      <c r="H108" s="142">
        <v>10223.27</v>
      </c>
      <c r="I108" s="142">
        <v>10400</v>
      </c>
      <c r="J108" s="142">
        <v>10500</v>
      </c>
      <c r="K108" s="143"/>
      <c r="L108" s="143"/>
      <c r="M108" s="143"/>
      <c r="N108" s="155" t="s">
        <v>172</v>
      </c>
    </row>
    <row r="109" spans="3:14" x14ac:dyDescent="0.2">
      <c r="C109" s="159"/>
      <c r="D109" s="26"/>
      <c r="E109" s="13"/>
      <c r="F109" s="80" t="s">
        <v>74</v>
      </c>
      <c r="G109" s="110">
        <f>'Benchmarking Calculations'!G75</f>
        <v>952170.96</v>
      </c>
      <c r="H109" s="81">
        <f>SUM(H92:H108)</f>
        <v>963973.13</v>
      </c>
      <c r="I109" s="81">
        <f t="shared" ref="I109:M109" si="8">SUM(I92:I108)</f>
        <v>1055000</v>
      </c>
      <c r="J109" s="81">
        <f t="shared" si="8"/>
        <v>1103200</v>
      </c>
      <c r="K109" s="81">
        <f t="shared" si="8"/>
        <v>0</v>
      </c>
      <c r="L109" s="81">
        <f t="shared" si="8"/>
        <v>0</v>
      </c>
      <c r="M109" s="81">
        <f t="shared" si="8"/>
        <v>0</v>
      </c>
      <c r="N109" s="160" t="s">
        <v>29</v>
      </c>
    </row>
    <row r="110" spans="3:14" x14ac:dyDescent="0.2">
      <c r="C110" s="159"/>
      <c r="D110" s="26"/>
      <c r="E110" s="78">
        <v>5635</v>
      </c>
      <c r="F110" s="78" t="s">
        <v>75</v>
      </c>
      <c r="G110" s="58">
        <f>'Benchmarking Calculations'!G76</f>
        <v>5519.88</v>
      </c>
      <c r="H110" s="142"/>
      <c r="I110" s="142"/>
      <c r="J110" s="143"/>
      <c r="K110" s="143"/>
      <c r="L110" s="143"/>
      <c r="M110" s="143"/>
      <c r="N110" s="155" t="s">
        <v>172</v>
      </c>
    </row>
    <row r="111" spans="3:14" x14ac:dyDescent="0.2">
      <c r="C111" s="159"/>
      <c r="D111" s="26"/>
      <c r="E111" s="111">
        <v>6210</v>
      </c>
      <c r="F111" s="111" t="s">
        <v>76</v>
      </c>
      <c r="G111" s="112">
        <f>'Benchmarking Calculations'!G77</f>
        <v>0</v>
      </c>
      <c r="H111" s="142"/>
      <c r="I111" s="142"/>
      <c r="J111" s="143"/>
      <c r="K111" s="143"/>
      <c r="L111" s="143"/>
      <c r="M111" s="143"/>
      <c r="N111" s="155" t="s">
        <v>172</v>
      </c>
    </row>
    <row r="112" spans="3:14" x14ac:dyDescent="0.2">
      <c r="C112" s="159"/>
      <c r="D112" s="26"/>
      <c r="E112" s="26"/>
      <c r="F112" s="80" t="s">
        <v>77</v>
      </c>
      <c r="G112" s="110">
        <f>'Benchmarking Calculations'!G78</f>
        <v>5519.88</v>
      </c>
      <c r="H112" s="81">
        <f>H110+H111</f>
        <v>0</v>
      </c>
      <c r="I112" s="81">
        <f t="shared" ref="I112:M112" si="9">I110+I111</f>
        <v>0</v>
      </c>
      <c r="J112" s="81">
        <f t="shared" si="9"/>
        <v>0</v>
      </c>
      <c r="K112" s="81">
        <f t="shared" si="9"/>
        <v>0</v>
      </c>
      <c r="L112" s="81">
        <f t="shared" si="9"/>
        <v>0</v>
      </c>
      <c r="M112" s="81">
        <f t="shared" si="9"/>
        <v>0</v>
      </c>
      <c r="N112" s="160" t="s">
        <v>29</v>
      </c>
    </row>
    <row r="113" spans="3:14" x14ac:dyDescent="0.2">
      <c r="C113" s="159"/>
      <c r="D113" s="26"/>
      <c r="E113" s="113">
        <v>5515</v>
      </c>
      <c r="F113" s="111" t="s">
        <v>78</v>
      </c>
      <c r="G113" s="112">
        <f>'Benchmarking Calculations'!G79</f>
        <v>0</v>
      </c>
      <c r="H113" s="142"/>
      <c r="I113" s="142"/>
      <c r="J113" s="143"/>
      <c r="K113" s="143"/>
      <c r="L113" s="143"/>
      <c r="M113" s="143"/>
      <c r="N113" s="155" t="s">
        <v>172</v>
      </c>
    </row>
    <row r="114" spans="3:14" x14ac:dyDescent="0.2">
      <c r="C114" s="159"/>
      <c r="D114" s="77"/>
      <c r="E114" s="16"/>
      <c r="F114" s="80" t="s">
        <v>79</v>
      </c>
      <c r="G114" s="110">
        <f>'Benchmarking Calculations'!G80</f>
        <v>0</v>
      </c>
      <c r="H114" s="81">
        <f>H113</f>
        <v>0</v>
      </c>
      <c r="I114" s="81">
        <f t="shared" ref="I114:M114" si="10">I113</f>
        <v>0</v>
      </c>
      <c r="J114" s="81">
        <f t="shared" si="10"/>
        <v>0</v>
      </c>
      <c r="K114" s="81">
        <f t="shared" si="10"/>
        <v>0</v>
      </c>
      <c r="L114" s="81">
        <f t="shared" si="10"/>
        <v>0</v>
      </c>
      <c r="M114" s="81">
        <f t="shared" si="10"/>
        <v>0</v>
      </c>
      <c r="N114" s="160" t="s">
        <v>29</v>
      </c>
    </row>
    <row r="115" spans="3:14" x14ac:dyDescent="0.2">
      <c r="C115" s="159"/>
      <c r="D115" s="77"/>
      <c r="E115" s="173" t="s">
        <v>199</v>
      </c>
      <c r="F115" s="80" t="s">
        <v>80</v>
      </c>
      <c r="G115" s="58">
        <f>'Benchmarking Calculations'!G81</f>
        <v>2055673.8599999999</v>
      </c>
      <c r="H115" s="81">
        <f>H114+H112+H109+H91+H86+H78+H64</f>
        <v>2135327</v>
      </c>
      <c r="I115" s="81">
        <f t="shared" ref="I115:M115" si="11">I114+I112+I109+I91+I86+I78+I64</f>
        <v>2285700</v>
      </c>
      <c r="J115" s="81">
        <f t="shared" si="11"/>
        <v>2338600</v>
      </c>
      <c r="K115" s="81">
        <f t="shared" si="11"/>
        <v>0</v>
      </c>
      <c r="L115" s="81">
        <f t="shared" si="11"/>
        <v>0</v>
      </c>
      <c r="M115" s="81">
        <f t="shared" si="11"/>
        <v>0</v>
      </c>
      <c r="N115" s="160" t="s">
        <v>29</v>
      </c>
    </row>
    <row r="116" spans="3:14" x14ac:dyDescent="0.2">
      <c r="C116" s="159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5"/>
    </row>
    <row r="117" spans="3:14" x14ac:dyDescent="0.2">
      <c r="C117" s="159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5"/>
    </row>
    <row r="118" spans="3:14" x14ac:dyDescent="0.2">
      <c r="C118" s="159"/>
      <c r="D118" s="84"/>
      <c r="E118" s="84"/>
      <c r="F118" s="59">
        <v>5014</v>
      </c>
      <c r="G118" s="58">
        <f>G47</f>
        <v>0</v>
      </c>
      <c r="H118" s="58">
        <f t="shared" ref="H118:L118" si="12">H47</f>
        <v>0</v>
      </c>
      <c r="I118" s="58">
        <f t="shared" si="12"/>
        <v>0</v>
      </c>
      <c r="J118" s="58">
        <f t="shared" si="12"/>
        <v>0</v>
      </c>
      <c r="K118" s="58">
        <f t="shared" si="12"/>
        <v>0</v>
      </c>
      <c r="L118" s="58">
        <f t="shared" si="12"/>
        <v>0</v>
      </c>
      <c r="M118" s="58">
        <f t="shared" ref="M118" si="13">M47</f>
        <v>0</v>
      </c>
      <c r="N118" s="160" t="s">
        <v>29</v>
      </c>
    </row>
    <row r="119" spans="3:14" x14ac:dyDescent="0.2">
      <c r="C119" s="159"/>
      <c r="D119" s="84"/>
      <c r="F119" s="59">
        <v>5015</v>
      </c>
      <c r="G119" s="58">
        <f>G48</f>
        <v>0</v>
      </c>
      <c r="H119" s="58">
        <f t="shared" ref="H119:L119" si="14">H48</f>
        <v>0</v>
      </c>
      <c r="I119" s="58">
        <f t="shared" si="14"/>
        <v>0</v>
      </c>
      <c r="J119" s="58">
        <f t="shared" si="14"/>
        <v>0</v>
      </c>
      <c r="K119" s="58">
        <f t="shared" si="14"/>
        <v>0</v>
      </c>
      <c r="L119" s="58">
        <f t="shared" si="14"/>
        <v>0</v>
      </c>
      <c r="M119" s="58">
        <f t="shared" ref="M119" si="15">M48</f>
        <v>0</v>
      </c>
      <c r="N119" s="160" t="s">
        <v>29</v>
      </c>
    </row>
    <row r="120" spans="3:14" x14ac:dyDescent="0.2">
      <c r="C120" s="159"/>
      <c r="D120" s="84"/>
      <c r="F120" s="59">
        <v>5112</v>
      </c>
      <c r="G120" s="58">
        <f>G67</f>
        <v>0</v>
      </c>
      <c r="H120" s="58">
        <f t="shared" ref="H120:L120" si="16">H67</f>
        <v>0</v>
      </c>
      <c r="I120" s="58">
        <f t="shared" si="16"/>
        <v>0</v>
      </c>
      <c r="J120" s="58">
        <f t="shared" si="16"/>
        <v>0</v>
      </c>
      <c r="K120" s="58">
        <f t="shared" si="16"/>
        <v>0</v>
      </c>
      <c r="L120" s="58">
        <f t="shared" si="16"/>
        <v>0</v>
      </c>
      <c r="M120" s="58">
        <f t="shared" ref="M120" si="17">M67</f>
        <v>0</v>
      </c>
      <c r="N120" s="160" t="s">
        <v>29</v>
      </c>
    </row>
    <row r="121" spans="3:14" x14ac:dyDescent="0.2">
      <c r="C121" s="159"/>
      <c r="D121" s="77"/>
      <c r="E121" s="173" t="s">
        <v>200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8">I47+I48+I67</f>
        <v>0</v>
      </c>
      <c r="J121" s="110">
        <f t="shared" si="18"/>
        <v>0</v>
      </c>
      <c r="K121" s="110">
        <f t="shared" si="18"/>
        <v>0</v>
      </c>
      <c r="L121" s="110">
        <f t="shared" si="18"/>
        <v>0</v>
      </c>
      <c r="M121" s="110">
        <f t="shared" ref="M121" si="19">M47+M48+M67</f>
        <v>0</v>
      </c>
      <c r="N121" s="174" t="s">
        <v>29</v>
      </c>
    </row>
    <row r="122" spans="3:14" x14ac:dyDescent="0.2">
      <c r="C122" s="159"/>
      <c r="D122" s="77"/>
      <c r="E122" s="175" t="s">
        <v>201</v>
      </c>
      <c r="F122" s="80" t="s">
        <v>83</v>
      </c>
      <c r="G122" s="110">
        <f>'Benchmarking Calculations'!G88</f>
        <v>51278</v>
      </c>
      <c r="H122" s="176">
        <f>G122</f>
        <v>51278</v>
      </c>
      <c r="I122" s="176">
        <f>G122</f>
        <v>51278</v>
      </c>
      <c r="J122" s="176">
        <f>G122</f>
        <v>51278</v>
      </c>
      <c r="K122" s="176"/>
      <c r="L122" s="176"/>
      <c r="M122" s="176"/>
      <c r="N122" s="177" t="s">
        <v>172</v>
      </c>
    </row>
    <row r="123" spans="3:14" ht="13.5" thickBot="1" x14ac:dyDescent="0.25">
      <c r="C123" s="161"/>
      <c r="D123" s="162"/>
      <c r="E123" s="162"/>
      <c r="F123" s="163"/>
      <c r="G123" s="157"/>
      <c r="H123" s="164"/>
      <c r="I123" s="165"/>
      <c r="J123" s="75"/>
      <c r="K123" s="75"/>
      <c r="L123" s="75"/>
      <c r="M123" s="75"/>
      <c r="N123" s="158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CP274"/>
  <sheetViews>
    <sheetView zoomScale="70" zoomScaleNormal="70" workbookViewId="0">
      <pane ySplit="5" topLeftCell="A107" activePane="bottomLeft" state="frozen"/>
      <selection activeCell="G33" sqref="G33"/>
      <selection pane="bottomLeft" activeCell="H113" sqref="H113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hidden="1" customWidth="1"/>
    <col min="16" max="16" width="16.140625" style="114" hidden="1" customWidth="1"/>
    <col min="17" max="17" width="17.85546875" style="114" hidden="1" customWidth="1"/>
    <col min="18" max="18" width="14.42578125" style="114" hidden="1" customWidth="1"/>
    <col min="19" max="19" width="18.140625" style="114" hidden="1" customWidth="1"/>
    <col min="20" max="39" width="14.28515625" style="114" hidden="1" customWidth="1"/>
    <col min="40" max="47" width="13.42578125" style="114" hidden="1" customWidth="1"/>
    <col min="48" max="48" width="15.85546875" style="114" hidden="1" customWidth="1"/>
    <col min="49" max="86" width="13.42578125" style="114" hidden="1" customWidth="1"/>
    <col min="87" max="87" width="17.42578125" style="114" hidden="1" customWidth="1"/>
    <col min="88" max="89" width="9.140625" customWidth="1"/>
    <col min="90" max="90" width="11.28515625" bestFit="1" customWidth="1"/>
    <col min="91" max="93" width="9.140625" customWidth="1"/>
  </cols>
  <sheetData>
    <row r="1" spans="1:94" ht="24" thickBot="1" x14ac:dyDescent="0.4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21" thickTop="1" thickBot="1" x14ac:dyDescent="0.4">
      <c r="A2" s="1"/>
      <c r="B2" s="100"/>
      <c r="C2" s="3"/>
      <c r="D2" s="3"/>
      <c r="E2" s="10"/>
      <c r="R2" s="182"/>
      <c r="S2" s="182"/>
    </row>
    <row r="3" spans="1:94" ht="48.75" customHeight="1" thickBot="1" x14ac:dyDescent="0.25">
      <c r="B3" s="238" t="s">
        <v>1</v>
      </c>
      <c r="C3" s="238"/>
      <c r="D3" s="101"/>
      <c r="E3" s="102" t="str">
        <f>'Model Inputs'!F5</f>
        <v>Centre Wellington Hydro Ltd.</v>
      </c>
      <c r="F3" s="36"/>
      <c r="G3" s="36"/>
      <c r="H3" s="26"/>
      <c r="I3" s="26"/>
      <c r="J3" s="26"/>
      <c r="K3" s="26"/>
      <c r="O3" s="3">
        <v>1</v>
      </c>
      <c r="P3" s="3" t="s">
        <v>276</v>
      </c>
      <c r="Q3" s="184" t="s">
        <v>204</v>
      </c>
      <c r="R3" s="184" t="s">
        <v>206</v>
      </c>
      <c r="S3" s="184" t="s">
        <v>207</v>
      </c>
      <c r="T3" s="184" t="s">
        <v>208</v>
      </c>
      <c r="U3" s="184" t="s">
        <v>209</v>
      </c>
      <c r="V3" s="184" t="s">
        <v>210</v>
      </c>
      <c r="W3" s="184" t="s">
        <v>211</v>
      </c>
      <c r="X3" s="184" t="s">
        <v>212</v>
      </c>
      <c r="Y3" s="184" t="s">
        <v>213</v>
      </c>
      <c r="Z3" s="184" t="s">
        <v>214</v>
      </c>
      <c r="AA3" s="184" t="s">
        <v>215</v>
      </c>
      <c r="AB3" s="184" t="s">
        <v>216</v>
      </c>
      <c r="AC3" s="184" t="s">
        <v>217</v>
      </c>
      <c r="AD3" s="184" t="s">
        <v>218</v>
      </c>
      <c r="AE3" s="184" t="s">
        <v>219</v>
      </c>
      <c r="AF3" s="184" t="s">
        <v>220</v>
      </c>
      <c r="AG3" s="184" t="s">
        <v>221</v>
      </c>
      <c r="AH3" s="184" t="s">
        <v>222</v>
      </c>
      <c r="AI3" s="184" t="s">
        <v>223</v>
      </c>
      <c r="AJ3" s="184" t="s">
        <v>224</v>
      </c>
      <c r="AK3" s="184" t="s">
        <v>225</v>
      </c>
      <c r="AL3" s="184" t="s">
        <v>226</v>
      </c>
      <c r="AM3" s="184" t="s">
        <v>227</v>
      </c>
      <c r="AN3" s="184" t="s">
        <v>228</v>
      </c>
      <c r="AO3" s="184" t="s">
        <v>229</v>
      </c>
      <c r="AP3" s="184" t="s">
        <v>230</v>
      </c>
      <c r="AQ3" s="184" t="s">
        <v>231</v>
      </c>
      <c r="AR3" s="184" t="s">
        <v>232</v>
      </c>
      <c r="AS3" s="184" t="s">
        <v>233</v>
      </c>
      <c r="AT3" s="184" t="s">
        <v>234</v>
      </c>
      <c r="AU3" s="184" t="s">
        <v>235</v>
      </c>
      <c r="AV3" s="184" t="s">
        <v>236</v>
      </c>
      <c r="AW3" s="184" t="s">
        <v>237</v>
      </c>
      <c r="AX3" s="184" t="s">
        <v>274</v>
      </c>
      <c r="AY3" s="184" t="s">
        <v>238</v>
      </c>
      <c r="AZ3" s="184" t="s">
        <v>239</v>
      </c>
      <c r="BA3" s="184" t="s">
        <v>240</v>
      </c>
      <c r="BB3" s="184" t="s">
        <v>241</v>
      </c>
      <c r="BC3" s="184" t="s">
        <v>242</v>
      </c>
      <c r="BD3" s="184" t="s">
        <v>243</v>
      </c>
      <c r="BE3" s="184" t="s">
        <v>244</v>
      </c>
      <c r="BF3" s="184" t="s">
        <v>245</v>
      </c>
      <c r="BG3" s="184" t="s">
        <v>246</v>
      </c>
      <c r="BH3" s="184" t="s">
        <v>247</v>
      </c>
      <c r="BI3" s="184" t="s">
        <v>248</v>
      </c>
      <c r="BJ3" s="184" t="s">
        <v>249</v>
      </c>
      <c r="BK3" s="184" t="s">
        <v>250</v>
      </c>
      <c r="BL3" s="184" t="s">
        <v>251</v>
      </c>
      <c r="BM3" s="184" t="s">
        <v>252</v>
      </c>
      <c r="BN3" s="184" t="s">
        <v>253</v>
      </c>
      <c r="BO3" s="184" t="s">
        <v>254</v>
      </c>
      <c r="BP3" s="184" t="s">
        <v>255</v>
      </c>
      <c r="BQ3" s="184" t="s">
        <v>256</v>
      </c>
      <c r="BR3" s="184" t="s">
        <v>257</v>
      </c>
      <c r="BS3" s="184" t="s">
        <v>258</v>
      </c>
      <c r="BT3" s="184" t="s">
        <v>259</v>
      </c>
      <c r="BU3" s="184" t="s">
        <v>260</v>
      </c>
      <c r="BV3" s="184" t="s">
        <v>261</v>
      </c>
      <c r="BW3" s="184" t="s">
        <v>262</v>
      </c>
      <c r="BX3" s="184" t="s">
        <v>263</v>
      </c>
      <c r="BY3" s="184" t="s">
        <v>264</v>
      </c>
      <c r="BZ3" s="184" t="s">
        <v>265</v>
      </c>
      <c r="CA3" s="184" t="s">
        <v>266</v>
      </c>
      <c r="CB3" s="184" t="s">
        <v>267</v>
      </c>
      <c r="CC3" s="184" t="s">
        <v>268</v>
      </c>
      <c r="CD3" s="184" t="s">
        <v>269</v>
      </c>
      <c r="CE3" s="184" t="s">
        <v>270</v>
      </c>
      <c r="CF3" s="184" t="s">
        <v>271</v>
      </c>
      <c r="CG3" s="184" t="s">
        <v>272</v>
      </c>
      <c r="CH3" s="184" t="s">
        <v>273</v>
      </c>
      <c r="CI3" s="184" t="s">
        <v>205</v>
      </c>
      <c r="CJ3" s="3"/>
      <c r="CK3" s="3"/>
      <c r="CL3" s="3"/>
      <c r="CM3" s="3"/>
      <c r="CN3" s="3"/>
      <c r="CO3" s="3"/>
      <c r="CP3" s="3"/>
    </row>
    <row r="4" spans="1:94" ht="19.5" x14ac:dyDescent="0.3">
      <c r="E4" s="5"/>
      <c r="F4" s="239"/>
      <c r="G4" s="240"/>
      <c r="H4" s="241" t="s">
        <v>2</v>
      </c>
      <c r="I4" s="242"/>
      <c r="J4" s="242"/>
      <c r="K4" s="242"/>
      <c r="L4" s="242"/>
      <c r="M4" s="242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275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3.5" thickBot="1" x14ac:dyDescent="0.25">
      <c r="A7" s="237" t="s">
        <v>6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107595.38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24975.95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67863.289999999994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5" hidden="1" outlineLevel="1" x14ac:dyDescent="0.3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101.9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15978.47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-26.33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10230.18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0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0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1441.85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33526.61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0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0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54618.14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6172.31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322477.75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43284.33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0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12225.62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13107.17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11728.62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27419.25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62947.87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1406.16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3477.39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90045.51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42219.92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2530.71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310392.55000000005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37473.160000000003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103048.34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200099.41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104579.83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-3.4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445197.34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11925.16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7990.22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19915.38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0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364886.57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215288.65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58173.23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42200.02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32743.73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14641.81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93458.96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98005.64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22729.07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10043.280000000001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952170.96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5519.88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5519.88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2055673.8599999999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51278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2106951.86</v>
      </c>
      <c r="H89" s="186">
        <f>'Model Inputs'!H31</f>
        <v>2186605</v>
      </c>
      <c r="I89" s="187">
        <f>'Model Inputs'!I31</f>
        <v>2336978</v>
      </c>
      <c r="J89" s="187">
        <f>'Model Inputs'!J31</f>
        <v>2389878</v>
      </c>
      <c r="K89" s="187">
        <f>'Model Inputs'!K31</f>
        <v>0</v>
      </c>
      <c r="L89" s="187">
        <f>'Model Inputs'!L31</f>
        <v>0</v>
      </c>
      <c r="M89" s="188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1884000.9</v>
      </c>
      <c r="H92" s="186">
        <f>'Model Inputs'!H9</f>
        <v>2132796.9699999997</v>
      </c>
      <c r="I92" s="187">
        <f>'Model Inputs'!I9</f>
        <v>1277600</v>
      </c>
      <c r="J92" s="187">
        <f>'Model Inputs'!J9</f>
        <v>1000000</v>
      </c>
      <c r="K92" s="187">
        <f>'Model Inputs'!K9</f>
        <v>750600</v>
      </c>
      <c r="L92" s="187">
        <f>'Model Inputs'!L9</f>
        <v>973600</v>
      </c>
      <c r="M92" s="188">
        <f>'Model Inputs'!M9</f>
        <v>720000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32714.01</v>
      </c>
      <c r="H93" s="186">
        <f>'Model Inputs'!H10</f>
        <v>0</v>
      </c>
      <c r="I93" s="187">
        <f>'Model Inputs'!I10</f>
        <v>0</v>
      </c>
      <c r="J93" s="187">
        <f>'Model Inputs'!J10</f>
        <v>0</v>
      </c>
      <c r="K93" s="187">
        <f>'Model Inputs'!K10</f>
        <v>0</v>
      </c>
      <c r="L93" s="187">
        <f>'Model Inputs'!L10</f>
        <v>0</v>
      </c>
      <c r="M93" s="188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6757</v>
      </c>
      <c r="H96" s="186">
        <f>'Model Inputs'!H13</f>
        <v>6911.5414404781222</v>
      </c>
      <c r="I96" s="187">
        <f>'Model Inputs'!I13</f>
        <v>6843.6259921260244</v>
      </c>
      <c r="J96" s="187">
        <f>'Model Inputs'!J13</f>
        <v>6911.5414404781222</v>
      </c>
      <c r="K96" s="187">
        <f>'Model Inputs'!K13</f>
        <v>0</v>
      </c>
      <c r="L96" s="187">
        <f>'Model Inputs'!L13</f>
        <v>0</v>
      </c>
      <c r="M96" s="188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139446467.25</v>
      </c>
      <c r="H97" s="186">
        <f>'Model Inputs'!H14</f>
        <v>138233652</v>
      </c>
      <c r="I97" s="187">
        <f>'Model Inputs'!I14</f>
        <v>146918511.24504298</v>
      </c>
      <c r="J97" s="187">
        <f>'Model Inputs'!J14</f>
        <v>144456071.39831477</v>
      </c>
      <c r="K97" s="187">
        <f>'Model Inputs'!K14</f>
        <v>0</v>
      </c>
      <c r="L97" s="187">
        <f>'Model Inputs'!L14</f>
        <v>0</v>
      </c>
      <c r="M97" s="188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28656</v>
      </c>
      <c r="H98" s="186">
        <f>'Model Inputs'!H15</f>
        <v>0</v>
      </c>
      <c r="I98" s="187">
        <f>'Model Inputs'!I15</f>
        <v>0</v>
      </c>
      <c r="J98" s="187">
        <f>'Model Inputs'!J15</f>
        <v>0</v>
      </c>
      <c r="K98" s="187">
        <f>'Model Inputs'!K15</f>
        <v>0</v>
      </c>
      <c r="L98" s="187">
        <f>'Model Inputs'!L15</f>
        <v>0</v>
      </c>
      <c r="M98" s="188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151</v>
      </c>
      <c r="H99" s="186">
        <f>'Model Inputs'!H16</f>
        <v>151</v>
      </c>
      <c r="I99" s="187">
        <f>'Model Inputs'!I16</f>
        <v>151</v>
      </c>
      <c r="J99" s="187">
        <f>'Model Inputs'!J16</f>
        <v>151</v>
      </c>
      <c r="K99" s="187">
        <f>'Model Inputs'!K16</f>
        <v>0</v>
      </c>
      <c r="L99" s="187">
        <f>'Model Inputs'!L16</f>
        <v>0</v>
      </c>
      <c r="M99" s="188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37" t="s">
        <v>93</v>
      </c>
      <c r="B102" s="237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2106951.86</v>
      </c>
      <c r="H107" s="29">
        <f t="shared" ref="H107:K107" si="4">H89</f>
        <v>2186605</v>
      </c>
      <c r="I107" s="29">
        <f t="shared" si="4"/>
        <v>2336978</v>
      </c>
      <c r="J107" s="29">
        <f t="shared" si="4"/>
        <v>2389878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1">
        <f>'Model Inputs'!H22</f>
        <v>6.5054666666666677E-2</v>
      </c>
      <c r="I110" s="202">
        <f>'Model Inputs'!I22</f>
        <v>6.5054666666666677E-2</v>
      </c>
      <c r="J110" s="202">
        <f>'Model Inputs'!J22</f>
        <v>5.9538338952381684E-2</v>
      </c>
      <c r="K110" s="202">
        <f>'Model Inputs'!K22</f>
        <v>0</v>
      </c>
      <c r="L110" s="202">
        <f>'Model Inputs'!L22</f>
        <v>0</v>
      </c>
      <c r="M110" s="203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4">
        <f>G112*EXP('Model Inputs'!H21)</f>
        <v>165.70687961774755</v>
      </c>
      <c r="I112" s="205">
        <f>H112*EXP('Model Inputs'!I21)</f>
        <v>168.33656781093197</v>
      </c>
      <c r="J112" s="205">
        <f>I112*EXP('Model Inputs'!J21)</f>
        <v>171.00798788639747</v>
      </c>
      <c r="K112" s="205">
        <f>J112*EXP('Model Inputs'!K21)</f>
        <v>171.00798788639747</v>
      </c>
      <c r="L112" s="205">
        <f>K112*EXP('Model Inputs'!L21)</f>
        <v>171.00798788639747</v>
      </c>
      <c r="M112" s="206">
        <f>L112*EXP('Model Inputs'!M21)</f>
        <v>171.00798788639747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18.217550546821649</v>
      </c>
      <c r="I113" s="29">
        <f t="shared" si="7"/>
        <v>18.506654280427806</v>
      </c>
      <c r="J113" s="29">
        <f t="shared" si="7"/>
        <v>17.871746276393495</v>
      </c>
      <c r="K113" s="29">
        <f t="shared" si="7"/>
        <v>7.8492666439856444</v>
      </c>
      <c r="L113" s="29">
        <f t="shared" si="7"/>
        <v>7.8492666439856444</v>
      </c>
      <c r="M113" s="29">
        <f t="shared" si="7"/>
        <v>7.8492666439856444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1884000.9</v>
      </c>
      <c r="H114" s="207">
        <f>H92</f>
        <v>2132796.9699999997</v>
      </c>
      <c r="I114" s="208">
        <f t="shared" ref="I114:L114" si="8">I92</f>
        <v>1277600</v>
      </c>
      <c r="J114" s="208">
        <f t="shared" si="8"/>
        <v>1000000</v>
      </c>
      <c r="K114" s="208">
        <f t="shared" si="8"/>
        <v>750600</v>
      </c>
      <c r="L114" s="208">
        <f t="shared" si="8"/>
        <v>973600</v>
      </c>
      <c r="M114" s="209">
        <f t="shared" ref="M114" si="9">M92</f>
        <v>720000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32714.01</v>
      </c>
      <c r="H115" s="210">
        <f>H93</f>
        <v>0</v>
      </c>
      <c r="I115" s="211">
        <f t="shared" ref="I115:L115" si="10">I93</f>
        <v>0</v>
      </c>
      <c r="J115" s="211">
        <f t="shared" si="10"/>
        <v>0</v>
      </c>
      <c r="K115" s="211">
        <f t="shared" si="10"/>
        <v>0</v>
      </c>
      <c r="L115" s="211">
        <f t="shared" si="10"/>
        <v>0</v>
      </c>
      <c r="M115" s="212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11349.35328979989</v>
      </c>
      <c r="H116" s="8">
        <f t="shared" ref="H116:K116" si="12">(H114-H115)/H112</f>
        <v>12870.901768954514</v>
      </c>
      <c r="I116" s="8">
        <f t="shared" si="12"/>
        <v>7589.557139093763</v>
      </c>
      <c r="J116" s="8">
        <f t="shared" si="12"/>
        <v>5847.6800549475574</v>
      </c>
      <c r="K116" s="8">
        <f t="shared" si="12"/>
        <v>4389.2686492436369</v>
      </c>
      <c r="L116" s="8">
        <f t="shared" ref="L116:M116" si="13">(L114-L115)/L112</f>
        <v>5693.301301496942</v>
      </c>
      <c r="M116" s="8">
        <f t="shared" si="13"/>
        <v>4210.329639562241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5650.7904618818839</v>
      </c>
      <c r="H117" s="25">
        <f t="shared" ref="H117:M117" si="14">H111*G118</f>
        <v>5912.3544956833202</v>
      </c>
      <c r="I117" s="25">
        <f t="shared" si="14"/>
        <v>6231.7518155264688</v>
      </c>
      <c r="J117" s="25">
        <f t="shared" si="14"/>
        <v>6294.0750798782074</v>
      </c>
      <c r="K117" s="25">
        <f t="shared" si="14"/>
        <v>6273.5855482338911</v>
      </c>
      <c r="L117" s="25">
        <f t="shared" si="14"/>
        <v>6187.0954025702385</v>
      </c>
      <c r="M117" s="25">
        <f t="shared" si="14"/>
        <v>6164.4302533309747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128809.4661368915</v>
      </c>
      <c r="H118" s="25">
        <f t="shared" ref="H118:M118" si="15">G118+H116-H117</f>
        <v>135768.0134101627</v>
      </c>
      <c r="I118" s="25">
        <f t="shared" si="15"/>
        <v>137125.81873373</v>
      </c>
      <c r="J118" s="25">
        <f t="shared" si="15"/>
        <v>136679.42370879935</v>
      </c>
      <c r="K118" s="25">
        <f t="shared" si="15"/>
        <v>134795.10680980911</v>
      </c>
      <c r="L118" s="25">
        <f t="shared" si="15"/>
        <v>134301.31270873582</v>
      </c>
      <c r="M118" s="25">
        <f t="shared" si="15"/>
        <v>132347.21209496708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2309342.2673896877</v>
      </c>
      <c r="H119" s="25">
        <f t="shared" ref="H119:K119" si="16">H113*H118</f>
        <v>2473360.6469411985</v>
      </c>
      <c r="I119" s="25">
        <f t="shared" si="16"/>
        <v>2537740.1202257518</v>
      </c>
      <c r="J119" s="25">
        <f t="shared" si="16"/>
        <v>2442699.9817273435</v>
      </c>
      <c r="K119" s="25">
        <f t="shared" si="16"/>
        <v>1058042.7356547168</v>
      </c>
      <c r="L119" s="25">
        <f t="shared" ref="L119:M119" si="17">L113*L118</f>
        <v>1054166.8140881653</v>
      </c>
      <c r="M119" s="25">
        <f t="shared" si="17"/>
        <v>1038828.5573215185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ht="13.5" thickBot="1" x14ac:dyDescent="0.25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4416294.127389688</v>
      </c>
      <c r="H121" s="25">
        <f t="shared" ref="H121:K121" si="18">H107+H119</f>
        <v>4659965.646941198</v>
      </c>
      <c r="I121" s="25">
        <f t="shared" si="18"/>
        <v>4874718.1202257518</v>
      </c>
      <c r="J121" s="25">
        <f t="shared" si="18"/>
        <v>4832577.9817273431</v>
      </c>
      <c r="K121" s="25">
        <f t="shared" si="18"/>
        <v>1058042.7356547168</v>
      </c>
      <c r="L121" s="25">
        <f t="shared" ref="L121:M121" si="19">L107+L119</f>
        <v>1054166.8140881653</v>
      </c>
      <c r="M121" s="25">
        <f t="shared" si="19"/>
        <v>1038828.5573215185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CJ122" s="221"/>
      <c r="CK122" s="73"/>
      <c r="CL122" s="222"/>
    </row>
    <row r="123" spans="1:90" s="3" customFormat="1" ht="13.5" thickBot="1" x14ac:dyDescent="0.25">
      <c r="A123" s="237" t="s">
        <v>108</v>
      </c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234" t="s">
        <v>280</v>
      </c>
      <c r="CK123" s="235"/>
      <c r="CL123" s="236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  <c r="CJ124" s="74"/>
      <c r="CK124" s="26"/>
      <c r="CL124" s="223"/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  <c r="CJ125" s="224" t="s">
        <v>278</v>
      </c>
      <c r="CK125" s="225"/>
      <c r="CL125" s="228">
        <f>H121/H128</f>
        <v>674.22957484558378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  <c r="CJ126" s="224" t="s">
        <v>279</v>
      </c>
      <c r="CK126" s="225"/>
      <c r="CL126" s="228">
        <f>H121/H142</f>
        <v>30860.699648617207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  <c r="CJ127" s="74"/>
      <c r="CK127" s="26"/>
      <c r="CL127" s="223"/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6757</v>
      </c>
      <c r="H128" s="8">
        <f t="shared" ref="H128:K130" si="20">H96</f>
        <v>6911.5414404781222</v>
      </c>
      <c r="I128" s="8">
        <f t="shared" si="20"/>
        <v>6843.6259921260244</v>
      </c>
      <c r="J128" s="8">
        <f t="shared" si="20"/>
        <v>6911.5414404781222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  <c r="CJ128" s="74"/>
      <c r="CK128" s="26"/>
      <c r="CL128" s="223"/>
    </row>
    <row r="129" spans="1:90" ht="13.5" thickBot="1" x14ac:dyDescent="0.25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139446467.25</v>
      </c>
      <c r="H129" s="39">
        <f t="shared" si="20"/>
        <v>138233652</v>
      </c>
      <c r="I129" s="39">
        <f t="shared" si="20"/>
        <v>146918511.24504298</v>
      </c>
      <c r="J129" s="39">
        <f t="shared" si="20"/>
        <v>144456071.39831477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  <c r="CJ129" s="226"/>
      <c r="CK129" s="75"/>
      <c r="CL129" s="227"/>
    </row>
    <row r="130" spans="1:90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28656</v>
      </c>
      <c r="H130" s="8">
        <f t="shared" si="20"/>
        <v>0</v>
      </c>
      <c r="I130" s="8">
        <f t="shared" si="20"/>
        <v>0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90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39945</v>
      </c>
      <c r="H131" s="8">
        <f t="shared" ref="H131:M131" si="24">MAX(G131,H130)</f>
        <v>39945</v>
      </c>
      <c r="I131" s="8">
        <f t="shared" si="24"/>
        <v>39945</v>
      </c>
      <c r="J131" s="8">
        <f t="shared" si="24"/>
        <v>39945</v>
      </c>
      <c r="K131" s="8">
        <f t="shared" si="24"/>
        <v>39945</v>
      </c>
      <c r="L131" s="8">
        <f t="shared" si="24"/>
        <v>39945</v>
      </c>
      <c r="M131" s="8">
        <f t="shared" si="24"/>
        <v>39945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90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90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90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Inputs'!H21)</f>
        <v>117.0535651311439</v>
      </c>
      <c r="I134" s="214">
        <f>H134*EXP('Model Inputs'!I21)</f>
        <v>118.91114870827467</v>
      </c>
      <c r="J134" s="214">
        <f>I134*EXP('Model Inputs'!J21)</f>
        <v>120.79821124012295</v>
      </c>
      <c r="K134" s="214">
        <f>J134*EXP('Model Inputs'!K21)</f>
        <v>120.79821124012295</v>
      </c>
      <c r="L134" s="214">
        <f>K134*EXP('Model Inputs'!L21)</f>
        <v>120.79821124012295</v>
      </c>
      <c r="M134" s="215">
        <f>L134*EXP('Model Inputs'!M21)</f>
        <v>120.79821124012295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90" ht="13.5" thickBot="1" x14ac:dyDescent="0.25">
      <c r="A135" s="3"/>
      <c r="B135" s="10">
        <v>121</v>
      </c>
      <c r="C135" s="3"/>
      <c r="D135" s="3"/>
      <c r="E135" s="37" t="s">
        <v>277</v>
      </c>
      <c r="F135" s="41">
        <v>938.36</v>
      </c>
      <c r="G135" s="41">
        <f>HLOOKUP($E$3,$P$3:$CI$269,O135,FALSE)</f>
        <v>962.73</v>
      </c>
      <c r="H135" s="216">
        <f>G135*EXP('Model Inputs'!H20)</f>
        <v>987.73290943774236</v>
      </c>
      <c r="I135" s="217">
        <f>H135*EXP('Model Inputs'!I20)</f>
        <v>1013.3851655047079</v>
      </c>
      <c r="J135" s="217">
        <f>I135*EXP('Model Inputs'!J20)</f>
        <v>1039.7036322800923</v>
      </c>
      <c r="K135" s="217">
        <f>J135*EXP('Model Inputs'!K20)</f>
        <v>1039.7036322800923</v>
      </c>
      <c r="L135" s="217">
        <f>K135*EXP('Model Inputs'!L20)</f>
        <v>1039.7036322800923</v>
      </c>
      <c r="M135" s="218">
        <f>L135*EXP('Model Inputs'!M20)</f>
        <v>1039.7036322800923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90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2.2671003495575846E-2</v>
      </c>
      <c r="I136" s="40">
        <f t="shared" ref="I136:M136" si="25">LN(I134/H134)*0.3+LN(I135/H135)*0.7</f>
        <v>2.2671003495575846E-2</v>
      </c>
      <c r="J136" s="40">
        <f t="shared" si="25"/>
        <v>2.2671003495575846E-2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90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126.45318898924809</v>
      </c>
      <c r="H137" s="29">
        <f t="shared" ref="H137:M137" si="26">G137*EXP(H136)</f>
        <v>129.35275350674215</v>
      </c>
      <c r="I137" s="29">
        <f t="shared" si="26"/>
        <v>132.31880487568148</v>
      </c>
      <c r="J137" s="29">
        <f t="shared" si="26"/>
        <v>135.35286763583352</v>
      </c>
      <c r="K137" s="29">
        <f t="shared" si="26"/>
        <v>135.35286763583352</v>
      </c>
      <c r="L137" s="29">
        <f t="shared" si="26"/>
        <v>135.35286763583352</v>
      </c>
      <c r="M137" s="29">
        <f t="shared" si="26"/>
        <v>135.35286763583352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90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90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7">H113</f>
        <v>18.217550546821649</v>
      </c>
      <c r="I139" s="29">
        <f t="shared" si="27"/>
        <v>18.506654280427806</v>
      </c>
      <c r="J139" s="29">
        <f t="shared" si="27"/>
        <v>17.871746276393495</v>
      </c>
      <c r="K139" s="29">
        <f t="shared" si="27"/>
        <v>7.8492666439856444</v>
      </c>
      <c r="L139" s="29">
        <f t="shared" ref="L139:M139" si="28">L113</f>
        <v>7.8492666439856444</v>
      </c>
      <c r="M139" s="29">
        <f t="shared" si="28"/>
        <v>7.8492666439856444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90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90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90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151</v>
      </c>
      <c r="H142" s="42">
        <f>'Model Inputs'!H16</f>
        <v>151</v>
      </c>
      <c r="I142" s="42">
        <f>'Model Inputs'!I16</f>
        <v>151</v>
      </c>
      <c r="J142" s="42">
        <f>'Model Inputs'!J16</f>
        <v>151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90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146</v>
      </c>
      <c r="H143" s="41">
        <f>(G143*14+H142)/15</f>
        <v>146.33333333333334</v>
      </c>
      <c r="I143" s="41">
        <f>(H143*15+I142)/16</f>
        <v>146.625</v>
      </c>
      <c r="J143" s="41">
        <f>(I143*16+J142)/17</f>
        <v>146.88235294117646</v>
      </c>
      <c r="K143" s="41">
        <f>(J143*17+K142)/18</f>
        <v>138.72222222222223</v>
      </c>
      <c r="L143" s="41">
        <f>(K143*17+L142)/18</f>
        <v>131.01543209876544</v>
      </c>
      <c r="M143" s="41">
        <f>(L143*17+M142)/18</f>
        <v>123.73679698216736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90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6086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0.11025303976339139</v>
      </c>
      <c r="H145" s="30">
        <f>'Model Inputs'!H17</f>
        <v>0.01</v>
      </c>
      <c r="I145" s="30">
        <f>'Model Inputs'!I17</f>
        <v>0.01</v>
      </c>
      <c r="J145" s="30">
        <f>'Model Inputs'!J17</f>
        <v>0.01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HLOOKUP($E$3,$P$3:$CI$269,O151,FALSE)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0.14177861776611947</v>
      </c>
      <c r="H152" s="44">
        <f t="shared" ref="H152:K152" si="31">H113/H137</f>
        <v>0.14083620219087264</v>
      </c>
      <c r="I152" s="44">
        <f t="shared" si="31"/>
        <v>0.13986412813972668</v>
      </c>
      <c r="J152" s="44">
        <f t="shared" si="31"/>
        <v>0.13203817982251675</v>
      </c>
      <c r="K152" s="44">
        <f t="shared" si="31"/>
        <v>5.799113665699402E-2</v>
      </c>
      <c r="L152" s="44">
        <f t="shared" ref="L152:M152" si="32">L113/L137</f>
        <v>5.799113665699402E-2</v>
      </c>
      <c r="M152" s="44">
        <f t="shared" si="32"/>
        <v>5.799113665699402E-2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6757</v>
      </c>
      <c r="H153" s="25">
        <f t="shared" ref="H153:K153" si="33">H96</f>
        <v>6911.5414404781222</v>
      </c>
      <c r="I153" s="25">
        <f t="shared" si="33"/>
        <v>6843.6259921260244</v>
      </c>
      <c r="J153" s="25">
        <f t="shared" si="33"/>
        <v>6911.5414404781222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39945</v>
      </c>
      <c r="H154" s="25">
        <f t="shared" ref="H154:K154" si="35">H131</f>
        <v>39945</v>
      </c>
      <c r="I154" s="25">
        <f t="shared" si="35"/>
        <v>39945</v>
      </c>
      <c r="J154" s="25">
        <f t="shared" si="35"/>
        <v>39945</v>
      </c>
      <c r="K154" s="25">
        <f t="shared" si="35"/>
        <v>39945</v>
      </c>
      <c r="L154" s="25">
        <f t="shared" ref="L154:M154" si="36">L131</f>
        <v>39945</v>
      </c>
      <c r="M154" s="25">
        <f t="shared" si="36"/>
        <v>39945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139446467.25</v>
      </c>
      <c r="H155" s="39">
        <f t="shared" ref="H155:K155" si="37">H97</f>
        <v>138233652</v>
      </c>
      <c r="I155" s="39">
        <f t="shared" si="37"/>
        <v>146918511.24504298</v>
      </c>
      <c r="J155" s="39">
        <f t="shared" si="37"/>
        <v>144456071.39831477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146</v>
      </c>
      <c r="H156" s="45">
        <f t="shared" ref="H156:K156" si="39">H143</f>
        <v>146.33333333333334</v>
      </c>
      <c r="I156" s="45">
        <f t="shared" si="39"/>
        <v>146.625</v>
      </c>
      <c r="J156" s="45">
        <f t="shared" si="39"/>
        <v>146.88235294117646</v>
      </c>
      <c r="K156" s="45">
        <f t="shared" si="39"/>
        <v>138.72222222222223</v>
      </c>
      <c r="L156" s="45">
        <f t="shared" ref="L156:M156" si="40">L143</f>
        <v>131.01543209876544</v>
      </c>
      <c r="M156" s="45">
        <f t="shared" si="40"/>
        <v>123.73679698216736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0.11025303976339139</v>
      </c>
      <c r="H157" s="31">
        <f t="shared" ref="H157:L157" si="41">H145</f>
        <v>0.01</v>
      </c>
      <c r="I157" s="31">
        <f t="shared" si="41"/>
        <v>0.01</v>
      </c>
      <c r="J157" s="31">
        <f t="shared" si="41"/>
        <v>0.01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9</v>
      </c>
      <c r="H158" s="3">
        <f t="shared" ref="H158:K158" si="43">H5-2006</f>
        <v>10</v>
      </c>
      <c r="I158" s="3">
        <f t="shared" si="43"/>
        <v>11</v>
      </c>
      <c r="J158" s="3">
        <f t="shared" si="43"/>
        <v>12</v>
      </c>
      <c r="K158" s="3">
        <f t="shared" si="43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HLOOKUP($E$3,$P$3:$CI$269,O162,FALSE)</f>
        <v>12.81331330994302</v>
      </c>
      <c r="H162" s="49">
        <f t="shared" ref="H162:M179" si="45">G162</f>
        <v>12.81331330994302</v>
      </c>
      <c r="I162" s="49">
        <f t="shared" si="45"/>
        <v>12.81331330994302</v>
      </c>
      <c r="J162" s="49">
        <f t="shared" si="45"/>
        <v>12.81331330994302</v>
      </c>
      <c r="K162" s="49">
        <f t="shared" si="45"/>
        <v>12.81331330994302</v>
      </c>
      <c r="L162" s="49">
        <f t="shared" si="45"/>
        <v>12.81331330994302</v>
      </c>
      <c r="M162" s="49">
        <f t="shared" si="45"/>
        <v>12.81331330994302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0.62722193683244376</v>
      </c>
      <c r="H163" s="49">
        <f t="shared" si="45"/>
        <v>0.62722193683244376</v>
      </c>
      <c r="I163" s="49">
        <f t="shared" si="45"/>
        <v>0.62722193683244376</v>
      </c>
      <c r="J163" s="49">
        <f t="shared" si="45"/>
        <v>0.62722193683244376</v>
      </c>
      <c r="K163" s="49">
        <f t="shared" si="45"/>
        <v>0.62722193683244376</v>
      </c>
      <c r="L163" s="49">
        <f t="shared" si="45"/>
        <v>0.62722193683244376</v>
      </c>
      <c r="M163" s="49">
        <f t="shared" si="45"/>
        <v>0.62722193683244376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0.44755158910340032</v>
      </c>
      <c r="H164" s="49">
        <f t="shared" si="45"/>
        <v>0.44755158910340032</v>
      </c>
      <c r="I164" s="49">
        <f t="shared" si="45"/>
        <v>0.44755158910340032</v>
      </c>
      <c r="J164" s="49">
        <f t="shared" si="45"/>
        <v>0.44755158910340032</v>
      </c>
      <c r="K164" s="49">
        <f t="shared" si="45"/>
        <v>0.44755158910340032</v>
      </c>
      <c r="L164" s="49">
        <f t="shared" si="45"/>
        <v>0.44755158910340032</v>
      </c>
      <c r="M164" s="49">
        <f t="shared" si="45"/>
        <v>0.44755158910340032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0.15481466094418173</v>
      </c>
      <c r="H165" s="49">
        <f t="shared" si="45"/>
        <v>0.15481466094418173</v>
      </c>
      <c r="I165" s="49">
        <f t="shared" si="45"/>
        <v>0.15481466094418173</v>
      </c>
      <c r="J165" s="49">
        <f t="shared" si="45"/>
        <v>0.15481466094418173</v>
      </c>
      <c r="K165" s="49">
        <f t="shared" si="45"/>
        <v>0.15481466094418173</v>
      </c>
      <c r="L165" s="49">
        <f t="shared" si="45"/>
        <v>0.15481466094418173</v>
      </c>
      <c r="M165" s="49">
        <f t="shared" si="45"/>
        <v>0.15481466094418173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0.10977007445625103</v>
      </c>
      <c r="H166" s="49">
        <f t="shared" si="45"/>
        <v>0.10977007445625103</v>
      </c>
      <c r="I166" s="49">
        <f t="shared" si="45"/>
        <v>0.10977007445625103</v>
      </c>
      <c r="J166" s="49">
        <f t="shared" si="45"/>
        <v>0.10977007445625103</v>
      </c>
      <c r="K166" s="49">
        <f t="shared" si="45"/>
        <v>0.10977007445625103</v>
      </c>
      <c r="L166" s="49">
        <f t="shared" si="45"/>
        <v>0.10977007445625103</v>
      </c>
      <c r="M166" s="49">
        <f t="shared" si="45"/>
        <v>0.10977007445625103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0.12487470386764654</v>
      </c>
      <c r="H167" s="49">
        <f t="shared" si="45"/>
        <v>0.12487470386764654</v>
      </c>
      <c r="I167" s="49">
        <f t="shared" si="45"/>
        <v>0.12487470386764654</v>
      </c>
      <c r="J167" s="49">
        <f t="shared" si="45"/>
        <v>0.12487470386764654</v>
      </c>
      <c r="K167" s="49">
        <f t="shared" si="45"/>
        <v>0.12487470386764654</v>
      </c>
      <c r="L167" s="49">
        <f t="shared" si="45"/>
        <v>0.12487470386764654</v>
      </c>
      <c r="M167" s="49">
        <f t="shared" si="45"/>
        <v>0.12487470386764654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-0.39556858220062985</v>
      </c>
      <c r="H168" s="49">
        <f t="shared" si="45"/>
        <v>-0.39556858220062985</v>
      </c>
      <c r="I168" s="49">
        <f t="shared" si="45"/>
        <v>-0.39556858220062985</v>
      </c>
      <c r="J168" s="49">
        <f t="shared" si="45"/>
        <v>-0.39556858220062985</v>
      </c>
      <c r="K168" s="49">
        <f t="shared" si="45"/>
        <v>-0.39556858220062985</v>
      </c>
      <c r="L168" s="49">
        <f t="shared" si="45"/>
        <v>-0.39556858220062985</v>
      </c>
      <c r="M168" s="49">
        <f t="shared" si="45"/>
        <v>-0.39556858220062985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0.25152891820417489</v>
      </c>
      <c r="H169" s="49">
        <f t="shared" si="45"/>
        <v>0.25152891820417489</v>
      </c>
      <c r="I169" s="49">
        <f t="shared" si="45"/>
        <v>0.25152891820417489</v>
      </c>
      <c r="J169" s="49">
        <f t="shared" si="45"/>
        <v>0.25152891820417489</v>
      </c>
      <c r="K169" s="49">
        <f t="shared" si="45"/>
        <v>0.25152891820417489</v>
      </c>
      <c r="L169" s="49">
        <f t="shared" si="45"/>
        <v>0.25152891820417489</v>
      </c>
      <c r="M169" s="49">
        <f t="shared" si="45"/>
        <v>0.25152891820417489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0.17826995710647331</v>
      </c>
      <c r="H170" s="49">
        <f t="shared" si="45"/>
        <v>0.17826995710647331</v>
      </c>
      <c r="I170" s="49">
        <f t="shared" si="45"/>
        <v>0.17826995710647331</v>
      </c>
      <c r="J170" s="49">
        <f t="shared" si="45"/>
        <v>0.17826995710647331</v>
      </c>
      <c r="K170" s="49">
        <f t="shared" si="45"/>
        <v>0.17826995710647331</v>
      </c>
      <c r="L170" s="49">
        <f t="shared" si="45"/>
        <v>0.17826995710647331</v>
      </c>
      <c r="M170" s="49">
        <f t="shared" si="45"/>
        <v>0.17826995710647331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5.3512745703827136E-2</v>
      </c>
      <c r="H171" s="49">
        <f t="shared" si="45"/>
        <v>5.3512745703827136E-2</v>
      </c>
      <c r="I171" s="49">
        <f t="shared" si="45"/>
        <v>5.3512745703827136E-2</v>
      </c>
      <c r="J171" s="49">
        <f t="shared" si="45"/>
        <v>5.3512745703827136E-2</v>
      </c>
      <c r="K171" s="49">
        <f t="shared" si="45"/>
        <v>5.3512745703827136E-2</v>
      </c>
      <c r="L171" s="49">
        <f t="shared" si="45"/>
        <v>5.3512745703827136E-2</v>
      </c>
      <c r="M171" s="49">
        <f t="shared" si="45"/>
        <v>5.3512745703827136E-2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9.2589979425976576E-3</v>
      </c>
      <c r="H172" s="49">
        <f t="shared" si="45"/>
        <v>9.2589979425976576E-3</v>
      </c>
      <c r="I172" s="49">
        <f t="shared" si="45"/>
        <v>9.2589979425976576E-3</v>
      </c>
      <c r="J172" s="49">
        <f t="shared" si="45"/>
        <v>9.2589979425976576E-3</v>
      </c>
      <c r="K172" s="49">
        <f t="shared" si="45"/>
        <v>9.2589979425976576E-3</v>
      </c>
      <c r="L172" s="49">
        <f t="shared" si="45"/>
        <v>9.2589979425976576E-3</v>
      </c>
      <c r="M172" s="49">
        <f t="shared" si="45"/>
        <v>9.2589979425976576E-3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8.5376572339093681E-4</v>
      </c>
      <c r="H173" s="49">
        <f t="shared" si="45"/>
        <v>8.5376572339093681E-4</v>
      </c>
      <c r="I173" s="49">
        <f t="shared" si="45"/>
        <v>8.5376572339093681E-4</v>
      </c>
      <c r="J173" s="49">
        <f t="shared" si="45"/>
        <v>8.5376572339093681E-4</v>
      </c>
      <c r="K173" s="49">
        <f t="shared" si="45"/>
        <v>8.5376572339093681E-4</v>
      </c>
      <c r="L173" s="49">
        <f t="shared" si="45"/>
        <v>8.5376572339093681E-4</v>
      </c>
      <c r="M173" s="49">
        <f t="shared" si="45"/>
        <v>8.5376572339093681E-4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0.12466894617253094</v>
      </c>
      <c r="H174" s="49">
        <f t="shared" si="45"/>
        <v>0.12466894617253094</v>
      </c>
      <c r="I174" s="49">
        <f t="shared" si="45"/>
        <v>0.12466894617253094</v>
      </c>
      <c r="J174" s="49">
        <f t="shared" si="45"/>
        <v>0.12466894617253094</v>
      </c>
      <c r="K174" s="49">
        <f t="shared" si="45"/>
        <v>0.12466894617253094</v>
      </c>
      <c r="L174" s="49">
        <f t="shared" si="45"/>
        <v>0.12466894617253094</v>
      </c>
      <c r="M174" s="49">
        <f t="shared" si="45"/>
        <v>0.12466894617253094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0.10565182817113133</v>
      </c>
      <c r="H175" s="49">
        <f t="shared" si="45"/>
        <v>0.10565182817113133</v>
      </c>
      <c r="I175" s="49">
        <f t="shared" si="45"/>
        <v>0.10565182817113133</v>
      </c>
      <c r="J175" s="49">
        <f t="shared" si="45"/>
        <v>0.10565182817113133</v>
      </c>
      <c r="K175" s="49">
        <f t="shared" si="45"/>
        <v>0.10565182817113133</v>
      </c>
      <c r="L175" s="49">
        <f t="shared" si="45"/>
        <v>0.10565182817113133</v>
      </c>
      <c r="M175" s="49">
        <f t="shared" si="45"/>
        <v>0.10565182817113133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-0.24875118665730625</v>
      </c>
      <c r="H176" s="49">
        <f t="shared" si="45"/>
        <v>-0.24875118665730625</v>
      </c>
      <c r="I176" s="49">
        <f t="shared" si="45"/>
        <v>-0.24875118665730625</v>
      </c>
      <c r="J176" s="49">
        <f t="shared" si="45"/>
        <v>-0.24875118665730625</v>
      </c>
      <c r="K176" s="49">
        <f t="shared" si="45"/>
        <v>-0.24875118665730625</v>
      </c>
      <c r="L176" s="49">
        <f t="shared" si="45"/>
        <v>-0.24875118665730625</v>
      </c>
      <c r="M176" s="49">
        <f t="shared" si="45"/>
        <v>-0.24875118665730625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0.28370267151158091</v>
      </c>
      <c r="H177" s="49">
        <f t="shared" si="45"/>
        <v>0.28370267151158091</v>
      </c>
      <c r="I177" s="49">
        <f t="shared" si="45"/>
        <v>0.28370267151158091</v>
      </c>
      <c r="J177" s="49">
        <f t="shared" si="45"/>
        <v>0.28370267151158091</v>
      </c>
      <c r="K177" s="49">
        <f t="shared" si="45"/>
        <v>0.28370267151158091</v>
      </c>
      <c r="L177" s="49">
        <f t="shared" si="45"/>
        <v>0.28370267151158091</v>
      </c>
      <c r="M177" s="49">
        <f t="shared" si="45"/>
        <v>0.28370267151158091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1.7042358123801227E-2</v>
      </c>
      <c r="H178" s="49">
        <f t="shared" si="45"/>
        <v>1.7042358123801227E-2</v>
      </c>
      <c r="I178" s="49">
        <f t="shared" si="45"/>
        <v>1.7042358123801227E-2</v>
      </c>
      <c r="J178" s="49">
        <f t="shared" si="45"/>
        <v>1.7042358123801227E-2</v>
      </c>
      <c r="K178" s="49">
        <f t="shared" si="45"/>
        <v>1.7042358123801227E-2</v>
      </c>
      <c r="L178" s="49">
        <f t="shared" si="45"/>
        <v>1.7042358123801227E-2</v>
      </c>
      <c r="M178" s="49">
        <f t="shared" si="45"/>
        <v>1.7042358123801227E-2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1.7168498267042372E-2</v>
      </c>
      <c r="H179" s="49">
        <f t="shared" si="45"/>
        <v>1.7168498267042372E-2</v>
      </c>
      <c r="I179" s="49">
        <f t="shared" si="45"/>
        <v>1.7168498267042372E-2</v>
      </c>
      <c r="J179" s="49">
        <f t="shared" si="45"/>
        <v>1.7168498267042372E-2</v>
      </c>
      <c r="K179" s="49">
        <f t="shared" si="45"/>
        <v>1.7168498267042372E-2</v>
      </c>
      <c r="L179" s="49">
        <f t="shared" si="45"/>
        <v>1.7168498267042372E-2</v>
      </c>
      <c r="M179" s="49">
        <f t="shared" si="45"/>
        <v>1.7168498267042372E-2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HLOOKUP($E$3,$P$3:$CI$269,O183,FALSE)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-0.14803567138845372</v>
      </c>
      <c r="H206" s="48">
        <f t="shared" ref="H206:K209" si="49">LN(H152/H184)</f>
        <v>-0.1547049541143603</v>
      </c>
      <c r="I206" s="48">
        <f t="shared" si="49"/>
        <v>-0.16163104455339208</v>
      </c>
      <c r="J206" s="48">
        <f t="shared" si="49"/>
        <v>-0.21921136077817308</v>
      </c>
      <c r="K206" s="48">
        <f t="shared" si="49"/>
        <v>-1.0420123000119781</v>
      </c>
      <c r="L206" s="48">
        <f t="shared" ref="L206:M206" si="50">LN(L152/L184)</f>
        <v>-1.0420123000119781</v>
      </c>
      <c r="M206" s="48">
        <f t="shared" si="50"/>
        <v>-1.0420123000119781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-2.2392367160990712</v>
      </c>
      <c r="H207" s="48">
        <f t="shared" si="49"/>
        <v>-2.2166230338915365</v>
      </c>
      <c r="I207" s="48">
        <f t="shared" si="49"/>
        <v>-2.2264980136884978</v>
      </c>
      <c r="J207" s="48">
        <f t="shared" si="49"/>
        <v>-2.2166230338915365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-2.1564147945557934</v>
      </c>
      <c r="H208" s="48">
        <f t="shared" si="49"/>
        <v>-2.1564147945557934</v>
      </c>
      <c r="I208" s="48">
        <f t="shared" si="49"/>
        <v>-2.1564147945557934</v>
      </c>
      <c r="J208" s="48">
        <f t="shared" si="49"/>
        <v>-2.1564147945557934</v>
      </c>
      <c r="K208" s="48">
        <f t="shared" si="49"/>
        <v>-2.1564147945557934</v>
      </c>
      <c r="L208" s="48">
        <f t="shared" ref="L208:M208" si="52">LN(L154/L186)</f>
        <v>-2.1564147945557934</v>
      </c>
      <c r="M208" s="48">
        <f t="shared" si="52"/>
        <v>-2.1564147945557934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-2.4588557166100724</v>
      </c>
      <c r="H209" s="48">
        <f t="shared" si="49"/>
        <v>-2.467591113047328</v>
      </c>
      <c r="I209" s="48">
        <f t="shared" si="49"/>
        <v>-2.4066584091090499</v>
      </c>
      <c r="J209" s="48">
        <f t="shared" si="49"/>
        <v>-2.4235610397398806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1.0957280001715128E-2</v>
      </c>
      <c r="H210" s="48">
        <f t="shared" ref="H210:K213" si="54">H206*H206/2</f>
        <v>1.1966811413763163E-2</v>
      </c>
      <c r="I210" s="48">
        <f t="shared" si="54"/>
        <v>1.3062297281710308E-2</v>
      </c>
      <c r="J210" s="48">
        <f t="shared" si="54"/>
        <v>2.4026810347109177E-2</v>
      </c>
      <c r="K210" s="48">
        <f t="shared" si="54"/>
        <v>0.54289481668812634</v>
      </c>
      <c r="L210" s="48">
        <f t="shared" ref="L210:M210" si="55">L206*L206/2</f>
        <v>0.54289481668812634</v>
      </c>
      <c r="M210" s="48">
        <f t="shared" si="55"/>
        <v>0.54289481668812634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2.5070905353630759</v>
      </c>
      <c r="H211" s="48">
        <f t="shared" si="54"/>
        <v>2.45670883718926</v>
      </c>
      <c r="I211" s="48">
        <f t="shared" si="54"/>
        <v>2.4786467024794128</v>
      </c>
      <c r="J211" s="48">
        <f t="shared" si="54"/>
        <v>2.45670883718926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2.3250623830895525</v>
      </c>
      <c r="H212" s="48">
        <f t="shared" si="54"/>
        <v>2.3250623830895525</v>
      </c>
      <c r="I212" s="48">
        <f t="shared" si="54"/>
        <v>2.3250623830895525</v>
      </c>
      <c r="J212" s="48">
        <f t="shared" si="54"/>
        <v>2.3250623830895525</v>
      </c>
      <c r="K212" s="48">
        <f t="shared" si="54"/>
        <v>2.3250623830895525</v>
      </c>
      <c r="L212" s="48">
        <f t="shared" ref="L212:M212" si="57">L208*L208/2</f>
        <v>2.3250623830895525</v>
      </c>
      <c r="M212" s="48">
        <f t="shared" si="57"/>
        <v>2.3250623830895525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3.0229857175530164</v>
      </c>
      <c r="H213" s="48">
        <f t="shared" si="54"/>
        <v>3.0445029505950756</v>
      </c>
      <c r="I213" s="48">
        <f t="shared" si="54"/>
        <v>2.8960023490676514</v>
      </c>
      <c r="J213" s="48">
        <f t="shared" si="54"/>
        <v>2.9368240566725254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0.33148691066540231</v>
      </c>
      <c r="H214" s="48">
        <f t="shared" ref="H214:K214" si="59">H206*H207</f>
        <v>0.34292256474702426</v>
      </c>
      <c r="I214" s="48">
        <f t="shared" si="59"/>
        <v>0.35987119964852454</v>
      </c>
      <c r="J214" s="48">
        <f t="shared" si="59"/>
        <v>0.48590895159160619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0.31922631190406137</v>
      </c>
      <c r="H215" s="48">
        <f t="shared" ref="H215:K215" si="61">H206*H208</f>
        <v>0.33360805184328174</v>
      </c>
      <c r="I215" s="48">
        <f t="shared" si="61"/>
        <v>0.34854357573444128</v>
      </c>
      <c r="J215" s="48">
        <f t="shared" si="61"/>
        <v>0.47271062151676002</v>
      </c>
      <c r="K215" s="48">
        <f t="shared" si="61"/>
        <v>2.2470107398549395</v>
      </c>
      <c r="L215" s="48">
        <f t="shared" ref="L215:M215" si="62">L206*L208</f>
        <v>2.2470107398549395</v>
      </c>
      <c r="M215" s="48">
        <f t="shared" si="62"/>
        <v>2.2470107398549395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0.36399835685570958</v>
      </c>
      <c r="H216" s="48">
        <f t="shared" ref="H216:K216" si="63">H206*H209</f>
        <v>0.38174856991699013</v>
      </c>
      <c r="I216" s="48">
        <f t="shared" si="63"/>
        <v>0.38899071254750056</v>
      </c>
      <c r="J216" s="48">
        <f t="shared" si="63"/>
        <v>0.5312721134503432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4.8287231831085684</v>
      </c>
      <c r="H217" s="48">
        <f t="shared" ref="H217:K217" si="65">H207*H208</f>
        <v>4.779958704236857</v>
      </c>
      <c r="I217" s="48">
        <f t="shared" si="65"/>
        <v>4.8012532567669641</v>
      </c>
      <c r="J217" s="48">
        <f t="shared" si="65"/>
        <v>4.779958704236857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5.5059600002233671</v>
      </c>
      <c r="H218" s="48">
        <f t="shared" ref="H218:K218" si="67">H207*H209</f>
        <v>5.469719299406762</v>
      </c>
      <c r="I218" s="48">
        <f t="shared" si="67"/>
        <v>5.3584201675080196</v>
      </c>
      <c r="J218" s="48">
        <f t="shared" si="67"/>
        <v>5.3721212247295407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5.3023128449760479</v>
      </c>
      <c r="H219" s="48">
        <f t="shared" ref="H219:K219" si="69">H208*H209</f>
        <v>5.3211499830896551</v>
      </c>
      <c r="I219" s="48">
        <f t="shared" si="69"/>
        <v>5.1897537988448645</v>
      </c>
      <c r="J219" s="48">
        <f t="shared" si="69"/>
        <v>5.2262028816040997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-2.9258086853272145</v>
      </c>
      <c r="H220" s="48">
        <f t="shared" ref="H220:K220" si="71">LN(H156/H198)</f>
        <v>-2.9235281826284893</v>
      </c>
      <c r="I220" s="48">
        <f t="shared" si="71"/>
        <v>-2.9215370000619112</v>
      </c>
      <c r="J220" s="48">
        <f t="shared" si="71"/>
        <v>-2.9197833608119939</v>
      </c>
      <c r="K220" s="48">
        <f t="shared" si="71"/>
        <v>-2.9769417746519422</v>
      </c>
      <c r="L220" s="48">
        <f t="shared" ref="L220:M220" si="72">LN(L156/L198)</f>
        <v>-3.034100188491891</v>
      </c>
      <c r="M220" s="48">
        <f t="shared" si="72"/>
        <v>-3.0912586023318394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0.85733312413212592</v>
      </c>
      <c r="H221" s="31">
        <f t="shared" ref="H221:K221" si="73">H157/H199</f>
        <v>7.7760497667185083E-2</v>
      </c>
      <c r="I221" s="31">
        <f t="shared" si="73"/>
        <v>7.7760497667185083E-2</v>
      </c>
      <c r="J221" s="31">
        <f t="shared" si="73"/>
        <v>7.7760497667185083E-2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9</v>
      </c>
      <c r="H222" s="48">
        <f t="shared" ref="H222:K222" si="75">H158</f>
        <v>10</v>
      </c>
      <c r="I222" s="48">
        <f t="shared" si="75"/>
        <v>11</v>
      </c>
      <c r="J222" s="48">
        <f t="shared" si="75"/>
        <v>12</v>
      </c>
      <c r="K222" s="48">
        <f t="shared" si="75"/>
        <v>13</v>
      </c>
      <c r="L222" s="48">
        <f t="shared" ref="L222:M222" si="76">L158</f>
        <v>14</v>
      </c>
      <c r="M222" s="48">
        <f t="shared" si="76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HLOOKUP($E$3,$P$3:$CI$269,O226,FALSE)</f>
        <v>12.81331330994302</v>
      </c>
      <c r="H226" s="50">
        <f t="shared" ref="H226:K241" si="78">H162*H205</f>
        <v>12.81331330994302</v>
      </c>
      <c r="I226" s="50">
        <f t="shared" si="78"/>
        <v>12.81331330994302</v>
      </c>
      <c r="J226" s="50">
        <f t="shared" si="78"/>
        <v>12.81331330994302</v>
      </c>
      <c r="K226" s="50">
        <f t="shared" si="78"/>
        <v>12.81331330994302</v>
      </c>
      <c r="L226" s="50">
        <f t="shared" ref="L226:M226" si="79">L162*L205</f>
        <v>12.81331330994302</v>
      </c>
      <c r="M226" s="50">
        <f t="shared" si="79"/>
        <v>12.81331330994302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-9.2851220528557127E-2</v>
      </c>
      <c r="H227" s="50">
        <f t="shared" si="78"/>
        <v>-9.7034340957183413E-2</v>
      </c>
      <c r="I227" s="50">
        <f t="shared" si="78"/>
        <v>-0.10137853681702959</v>
      </c>
      <c r="J227" s="50">
        <f t="shared" si="78"/>
        <v>-0.13749417428296132</v>
      </c>
      <c r="K227" s="50">
        <f t="shared" si="78"/>
        <v>-0.65357297301674233</v>
      </c>
      <c r="L227" s="50">
        <f t="shared" ref="L227:M227" si="80">L163*L206</f>
        <v>-0.65357297301674233</v>
      </c>
      <c r="M227" s="50">
        <f t="shared" si="80"/>
        <v>-0.65357297301674233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-1.002173950668819</v>
      </c>
      <c r="H228" s="50">
        <f t="shared" si="78"/>
        <v>-0.99205316126135756</v>
      </c>
      <c r="I228" s="50">
        <f t="shared" si="78"/>
        <v>-0.99647272416185151</v>
      </c>
      <c r="J228" s="50">
        <f t="shared" si="78"/>
        <v>-0.99205316126135756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-0.33384462527417247</v>
      </c>
      <c r="H229" s="50">
        <f t="shared" si="78"/>
        <v>-0.33384462527417247</v>
      </c>
      <c r="I229" s="50">
        <f t="shared" si="78"/>
        <v>-0.33384462527417247</v>
      </c>
      <c r="J229" s="50">
        <f t="shared" si="78"/>
        <v>-0.33384462527417247</v>
      </c>
      <c r="K229" s="50">
        <f t="shared" si="78"/>
        <v>-0.33384462527417247</v>
      </c>
      <c r="L229" s="50">
        <f t="shared" ref="L229:M229" si="82">L165*L208</f>
        <v>-0.33384462527417247</v>
      </c>
      <c r="M229" s="50">
        <f t="shared" si="82"/>
        <v>-0.33384462527417247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-0.26990877508946615</v>
      </c>
      <c r="H230" s="50">
        <f t="shared" si="78"/>
        <v>-0.27086766020678854</v>
      </c>
      <c r="I230" s="50">
        <f t="shared" si="78"/>
        <v>-0.26417907275866309</v>
      </c>
      <c r="J230" s="50">
        <f t="shared" si="78"/>
        <v>-0.26603447578151584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1.3682870954090621E-3</v>
      </c>
      <c r="H231" s="50">
        <f t="shared" si="78"/>
        <v>1.4943520315336477E-3</v>
      </c>
      <c r="I231" s="50">
        <f t="shared" si="78"/>
        <v>1.6311505048847391E-3</v>
      </c>
      <c r="J231" s="50">
        <f t="shared" si="78"/>
        <v>3.0003408269793645E-3</v>
      </c>
      <c r="K231" s="50">
        <f t="shared" si="78"/>
        <v>6.7793829465210023E-2</v>
      </c>
      <c r="L231" s="50">
        <f t="shared" ref="L231:M231" si="84">L167*L210</f>
        <v>6.7793829465210023E-2</v>
      </c>
      <c r="M231" s="50">
        <f t="shared" si="84"/>
        <v>6.7793829465210023E-2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-0.99172624852218993</v>
      </c>
      <c r="H232" s="50">
        <f t="shared" si="78"/>
        <v>-0.9717968316067136</v>
      </c>
      <c r="I232" s="50">
        <f t="shared" si="78"/>
        <v>-0.98047476187604765</v>
      </c>
      <c r="J232" s="50">
        <f t="shared" si="78"/>
        <v>-0.9717968316067136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0.58482042597573602</v>
      </c>
      <c r="H233" s="50">
        <f t="shared" si="78"/>
        <v>0.58482042597573602</v>
      </c>
      <c r="I233" s="50">
        <f t="shared" si="78"/>
        <v>0.58482042597573602</v>
      </c>
      <c r="J233" s="50">
        <f t="shared" si="78"/>
        <v>0.58482042597573602</v>
      </c>
      <c r="K233" s="50">
        <f t="shared" si="78"/>
        <v>0.58482042597573602</v>
      </c>
      <c r="L233" s="50">
        <f t="shared" ref="L233:M233" si="86">L169*L212</f>
        <v>0.58482042597573602</v>
      </c>
      <c r="M233" s="50">
        <f t="shared" si="86"/>
        <v>0.58482042597573602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0.53890753420165771</v>
      </c>
      <c r="H234" s="50">
        <f t="shared" si="78"/>
        <v>0.54274341041311558</v>
      </c>
      <c r="I234" s="50">
        <f t="shared" si="78"/>
        <v>0.51627021454853617</v>
      </c>
      <c r="J234" s="50">
        <f t="shared" si="78"/>
        <v>0.52354749861227001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1.7738774754584938E-2</v>
      </c>
      <c r="H235" s="50">
        <f t="shared" si="78"/>
        <v>1.8350728003411705E-2</v>
      </c>
      <c r="I235" s="50">
        <f t="shared" si="78"/>
        <v>1.9257695992922701E-2</v>
      </c>
      <c r="J235" s="50">
        <f t="shared" si="78"/>
        <v>2.6002322161734873E-2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2.9557157651427424E-3</v>
      </c>
      <c r="H236" s="50">
        <f t="shared" si="78"/>
        <v>3.0888762656509582E-3</v>
      </c>
      <c r="I236" s="50">
        <f t="shared" si="78"/>
        <v>3.2271642506308228E-3</v>
      </c>
      <c r="J236" s="50">
        <f t="shared" si="78"/>
        <v>4.3768266720677412E-3</v>
      </c>
      <c r="K236" s="50">
        <f t="shared" si="78"/>
        <v>2.0805067817311725E-2</v>
      </c>
      <c r="L236" s="50">
        <f t="shared" ref="L236:M236" si="89">L172*L215</f>
        <v>2.0805067817311725E-2</v>
      </c>
      <c r="M236" s="50">
        <f t="shared" si="89"/>
        <v>2.0805067817311725E-2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3.1076932045402727E-4</v>
      </c>
      <c r="H237" s="50">
        <f t="shared" si="78"/>
        <v>3.2592384394863471E-4</v>
      </c>
      <c r="I237" s="50">
        <f t="shared" si="78"/>
        <v>3.321069370904728E-4</v>
      </c>
      <c r="J237" s="50">
        <f t="shared" si="78"/>
        <v>4.5358192025736412E-4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0.60199183059701433</v>
      </c>
      <c r="H238" s="50">
        <f t="shared" si="78"/>
        <v>0.59591241440542542</v>
      </c>
      <c r="I238" s="50">
        <f t="shared" si="78"/>
        <v>0.59856718382856955</v>
      </c>
      <c r="J238" s="50">
        <f t="shared" si="78"/>
        <v>0.59591241440542542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0.58171473986072142</v>
      </c>
      <c r="H239" s="50">
        <f t="shared" si="78"/>
        <v>0.57788584356524408</v>
      </c>
      <c r="I239" s="50">
        <f t="shared" si="78"/>
        <v>0.56612688680628209</v>
      </c>
      <c r="J239" s="50">
        <f t="shared" si="78"/>
        <v>0.56757442854961304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-1.3189566122160694</v>
      </c>
      <c r="H240" s="50">
        <f t="shared" si="78"/>
        <v>-1.3236423726750568</v>
      </c>
      <c r="I240" s="50">
        <f t="shared" si="78"/>
        <v>-1.290957415921923</v>
      </c>
      <c r="J240" s="50">
        <f t="shared" si="78"/>
        <v>-1.3000241685108531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-0.83005974035911712</v>
      </c>
      <c r="H241" s="50">
        <f t="shared" si="78"/>
        <v>-0.8294127556510994</v>
      </c>
      <c r="I241" s="50">
        <f t="shared" si="78"/>
        <v>-0.82884785183749388</v>
      </c>
      <c r="J241" s="50">
        <f t="shared" si="78"/>
        <v>-0.82835033969742478</v>
      </c>
      <c r="K241" s="50">
        <f t="shared" si="78"/>
        <v>-0.84456633440318263</v>
      </c>
      <c r="L241" s="50">
        <f t="shared" ref="L241:M241" si="94">L177*L220</f>
        <v>-0.8607823291089407</v>
      </c>
      <c r="M241" s="50">
        <f t="shared" si="94"/>
        <v>-0.87699832381469855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1.4610978132857022E-2</v>
      </c>
      <c r="H242" s="50">
        <f t="shared" ref="H242:K243" si="95">H178*H221</f>
        <v>1.325222249129178E-3</v>
      </c>
      <c r="I242" s="50">
        <f t="shared" si="95"/>
        <v>1.325222249129178E-3</v>
      </c>
      <c r="J242" s="50">
        <f t="shared" si="95"/>
        <v>1.325222249129178E-3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0.15451648440338134</v>
      </c>
      <c r="H243" s="50">
        <f t="shared" si="95"/>
        <v>0.1716849826704237</v>
      </c>
      <c r="I243" s="50">
        <f t="shared" si="95"/>
        <v>0.18885348093746609</v>
      </c>
      <c r="J243" s="50">
        <f t="shared" si="95"/>
        <v>0.20602197920450846</v>
      </c>
      <c r="K243" s="50">
        <f t="shared" si="95"/>
        <v>0.22319047747155082</v>
      </c>
      <c r="L243" s="50">
        <f t="shared" ref="L243:M243" si="97">L179*L222</f>
        <v>0.24035897573859322</v>
      </c>
      <c r="M243" s="50">
        <f t="shared" si="97"/>
        <v>0.25752747400563558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10.472727677391589</v>
      </c>
      <c r="H245" s="44">
        <f t="shared" ref="H245:K245" si="98">SUM(H226:H243)</f>
        <v>10.492293741734267</v>
      </c>
      <c r="I245" s="44">
        <f t="shared" si="98"/>
        <v>10.497569853327084</v>
      </c>
      <c r="J245" s="44">
        <f t="shared" si="98"/>
        <v>10.496750574105743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35338.477992618151</v>
      </c>
      <c r="H246" s="8">
        <f t="shared" ref="H246:K246" si="100">EXP(H245)</f>
        <v>36036.721590752903</v>
      </c>
      <c r="I246" s="8">
        <f t="shared" si="100"/>
        <v>36227.357822086262</v>
      </c>
      <c r="J246" s="8">
        <f t="shared" si="100"/>
        <v>36197.689655494236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126.45318898924809</v>
      </c>
      <c r="H247" s="21">
        <f t="shared" ref="H247:K247" si="102">H137</f>
        <v>129.35275350674215</v>
      </c>
      <c r="I247" s="21">
        <f t="shared" si="102"/>
        <v>132.31880487568148</v>
      </c>
      <c r="J247" s="21">
        <f t="shared" si="102"/>
        <v>135.35286763583352</v>
      </c>
      <c r="K247" s="21">
        <f t="shared" si="102"/>
        <v>135.35286763583352</v>
      </c>
      <c r="L247" s="21">
        <f t="shared" ref="L247:M247" si="103">L137</f>
        <v>135.35286763583352</v>
      </c>
      <c r="M247" s="21">
        <f t="shared" si="103"/>
        <v>135.35286763583352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4468663.2361929277</v>
      </c>
      <c r="H248" s="8">
        <f t="shared" ref="H248:K248" si="104">H246*H247</f>
        <v>4661449.1651197532</v>
      </c>
      <c r="I248" s="8">
        <f t="shared" si="104"/>
        <v>4793560.6908221254</v>
      </c>
      <c r="J248" s="8">
        <f t="shared" si="104"/>
        <v>4899461.0966630913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37" t="s">
        <v>151</v>
      </c>
      <c r="B253" s="237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4416294.127389688</v>
      </c>
      <c r="H256" s="60">
        <f t="shared" ref="H256:K256" si="107">H121</f>
        <v>4659965.646941198</v>
      </c>
      <c r="I256" s="60">
        <f t="shared" si="107"/>
        <v>4874718.1202257518</v>
      </c>
      <c r="J256" s="60">
        <f t="shared" si="107"/>
        <v>4832577.9817273431</v>
      </c>
      <c r="K256" s="60">
        <f t="shared" si="107"/>
        <v>1058042.7356547168</v>
      </c>
      <c r="L256" s="60">
        <f t="shared" ref="L256:M256" si="108">L121</f>
        <v>1054166.8140881653</v>
      </c>
      <c r="M256" s="60">
        <f t="shared" si="108"/>
        <v>1038828.5573215185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4468663.2361929277</v>
      </c>
      <c r="H257" s="60">
        <f t="shared" ref="H257:K257" si="110">H248</f>
        <v>4661449.1651197532</v>
      </c>
      <c r="I257" s="60">
        <f t="shared" si="110"/>
        <v>4793560.6908221254</v>
      </c>
      <c r="J257" s="60">
        <f t="shared" si="110"/>
        <v>4899461.0966630913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-52369.108803239651</v>
      </c>
      <c r="H258" s="25">
        <f t="shared" ref="H258:K258" si="113">H256-H257</f>
        <v>-1483.5181785551831</v>
      </c>
      <c r="I258" s="25">
        <f t="shared" si="113"/>
        <v>81157.42940362636</v>
      </c>
      <c r="J258" s="25">
        <f t="shared" si="113"/>
        <v>-66883.114935748279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-1.1719188946503709E-2</v>
      </c>
      <c r="H259" s="61">
        <f t="shared" ref="H259:K259" si="116">H258/H257</f>
        <v>-3.1825257039289653E-4</v>
      </c>
      <c r="I259" s="61">
        <f t="shared" si="116"/>
        <v>1.6930510457291686E-2</v>
      </c>
      <c r="J259" s="61">
        <f t="shared" si="116"/>
        <v>-1.365111664654319E-2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-1.178839990354383E-2</v>
      </c>
      <c r="H261" s="64">
        <f t="shared" ref="H261:K261" si="118">LN(H256/H257)</f>
        <v>-3.1830322348941429E-4</v>
      </c>
      <c r="I261" s="64">
        <f t="shared" si="118"/>
        <v>1.6788786764696164E-2</v>
      </c>
      <c r="J261" s="64">
        <f t="shared" si="118"/>
        <v>-1.3745149892604171E-2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9">
    <mergeCell ref="CJ123:CL123"/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0866141732283472" right="0.70866141732283472" top="0.74803149606299213" bottom="0.74803149606299213" header="0.31496062992125984" footer="0.31496062992125984"/>
  <pageSetup scale="19" orientation="landscape" r:id="rId1"/>
  <headerFooter>
    <oddFooter>&amp;C&amp;Z&amp;F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2:Q29"/>
  <sheetViews>
    <sheetView workbookViewId="0">
      <selection activeCell="I20" sqref="I20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30" t="s">
        <v>168</v>
      </c>
      <c r="D2" s="230"/>
      <c r="E2" s="230"/>
      <c r="F2" s="230"/>
      <c r="G2" s="230"/>
      <c r="H2" s="230"/>
      <c r="I2" s="230"/>
      <c r="J2" s="230"/>
      <c r="K2" s="230"/>
    </row>
    <row r="3" spans="3:17" s="92" customFormat="1" ht="23.25" customHeight="1" x14ac:dyDescent="0.25">
      <c r="C3" s="243" t="str">
        <f>'Model Inputs'!F5</f>
        <v>Centre Wellington Hydro Ltd.</v>
      </c>
      <c r="D3" s="243"/>
      <c r="E3" s="243"/>
      <c r="F3" s="243"/>
      <c r="G3" s="243"/>
      <c r="H3" s="243"/>
      <c r="I3" s="243"/>
      <c r="J3" s="243"/>
      <c r="K3" s="243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4416294.127389688</v>
      </c>
      <c r="G10" s="86">
        <f>'Benchmarking Calculations'!H121</f>
        <v>4659965.646941198</v>
      </c>
      <c r="H10" s="86">
        <f>'Benchmarking Calculations'!I121</f>
        <v>4874718.1202257518</v>
      </c>
      <c r="I10" s="91">
        <f>IF(ISNUMBER(I12),'Benchmarking Calculations'!J121,"na")</f>
        <v>4832577.9817273431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4468663.2361929277</v>
      </c>
      <c r="G12" s="86">
        <f>'Benchmarking Calculations'!H257</f>
        <v>4661449.1651197532</v>
      </c>
      <c r="H12" s="86">
        <f>'Benchmarking Calculations'!I257</f>
        <v>4793560.6908221254</v>
      </c>
      <c r="I12" s="91">
        <f>IF(ISNUMBER('Benchmarking Calculations'!J257),'Benchmarking Calculations'!J257,"na")</f>
        <v>4899461.0966630913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-52369.108803239651</v>
      </c>
      <c r="G14" s="86">
        <f t="shared" si="0"/>
        <v>-1483.5181785551831</v>
      </c>
      <c r="H14" s="86">
        <f t="shared" si="0"/>
        <v>81157.42940362636</v>
      </c>
      <c r="I14" s="91">
        <f>IF(ISNUMBER(I12),I10-I12,"na")</f>
        <v>-66883.114935748279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167">
        <f>LN(F10/F12)</f>
        <v>-1.178839990354383E-2</v>
      </c>
      <c r="G16" s="167">
        <f t="shared" ref="G16:H16" si="2">LN(G10/G12)</f>
        <v>-3.1830322348941429E-4</v>
      </c>
      <c r="H16" s="167">
        <f t="shared" si="2"/>
        <v>1.6788786764696164E-2</v>
      </c>
      <c r="I16" s="148">
        <f>IF(ISNUMBER(I14),LN(I10/I12),"na")</f>
        <v>-1.3745149892604171E-2</v>
      </c>
      <c r="J16" s="148" t="str">
        <f t="shared" ref="J16:K16" si="3">IF(ISNUMBER(J14),LN(J10/J12),"na")</f>
        <v>na</v>
      </c>
      <c r="K16" s="148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9"/>
      <c r="G18" s="169"/>
      <c r="H18" s="169">
        <f>AVERAGE(F16:H16)</f>
        <v>1.5606945458876396E-3</v>
      </c>
      <c r="I18" s="66">
        <f>IF(ISNUMBER(I16),AVERAGE(G16:I16),"na")</f>
        <v>9.0844454953419322E-4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9">
        <f>IF(F16&lt;-0.25,1,IF(F16&lt;-0.1,2,IF(F16&lt;0.1,3,IF(F16&lt;0.25,4,5))))</f>
        <v>3</v>
      </c>
      <c r="G22" s="149">
        <f t="shared" ref="G22" si="5">IF(G16&lt;-0.25,1,IF(G16&lt;-0.1,2,IF(G16&lt;0.1,3,IF(G16&lt;0.25,4,5))))</f>
        <v>3</v>
      </c>
      <c r="H22" s="149">
        <f>IF($H$16&lt;-0.25,1,IF($H$16&lt;-0.1,2,IF($H$16&lt;0.1,3,IF($H$16&lt;0.25,4,5))))</f>
        <v>3</v>
      </c>
      <c r="I22" s="149">
        <f>IF(ISNUMBER(I16),IF(I16&lt;-0.25,1,IF(I16&lt;-0.1,2,IF(I16&lt;0.1,3,IF(I16&lt;0.25,4,5)))),"na")</f>
        <v>3</v>
      </c>
      <c r="J22" s="149" t="str">
        <f t="shared" ref="J22:K22" si="6">IF(ISNUMBER(J16),IF(J16&lt;-0.25,1,IF(J16&lt;-0.1,2,IF(J16&lt;0.1,3,IF(J16&lt;0.25,4,5)))),"na")</f>
        <v>na</v>
      </c>
      <c r="K22" s="149" t="str">
        <f t="shared" si="6"/>
        <v>na</v>
      </c>
    </row>
    <row r="24" spans="4:15" ht="15" x14ac:dyDescent="0.25">
      <c r="E24" t="s">
        <v>155</v>
      </c>
      <c r="H24" s="149">
        <f>IF($H$18&lt;-0.25,1,IF($H$18&lt;-0.1,2,IF($H$18&lt;0.1,3,IF($H$18&lt;0.25,4,5))))</f>
        <v>3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Manuela Ris-Schofield</cp:lastModifiedBy>
  <cp:lastPrinted>2017-04-21T15:16:59Z</cp:lastPrinted>
  <dcterms:created xsi:type="dcterms:W3CDTF">2016-07-20T15:58:10Z</dcterms:created>
  <dcterms:modified xsi:type="dcterms:W3CDTF">2017-12-06T17:57:21Z</dcterms:modified>
</cp:coreProperties>
</file>