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85" windowWidth="14640" windowHeight="7290" activeTab="3"/>
  </bookViews>
  <sheets>
    <sheet name="Instructions" sheetId="2" r:id="rId1"/>
    <sheet name="GA Analysis 2016" sheetId="1" r:id="rId2"/>
    <sheet name="2016 Summary" sheetId="9" r:id="rId3"/>
    <sheet name="GA Analysis 2015" sheetId="8" r:id="rId4"/>
    <sheet name="2015 Summary" sheetId="12" r:id="rId5"/>
    <sheet name="NonInt Billing" sheetId="4" r:id="rId6"/>
  </sheets>
  <definedNames>
    <definedName name="GARate" localSheetId="4">#REF!</definedName>
    <definedName name="GARate">#REF!</definedName>
    <definedName name="_xlnm.Print_Area" localSheetId="4">'2015 Summary'!$A$1:$F$93</definedName>
    <definedName name="_xlnm.Print_Area" localSheetId="3">'GA Analysis 2015'!$A$1:$W$123</definedName>
    <definedName name="_xlnm.Print_Area" localSheetId="1">'GA Analysis 2016'!$A$1:$R$125</definedName>
    <definedName name="_xlnm.Print_Area" localSheetId="0">Instructions!$A$1:$C$67</definedName>
    <definedName name="_xlnm.Print_Area" localSheetId="5">'NonInt Billing'!$I$4:$CE$45</definedName>
    <definedName name="_xlnm.Print_Titles" localSheetId="5">'NonInt Billing'!$A:$G,'NonInt Billing'!$1:$3</definedName>
  </definedNames>
  <calcPr calcId="145621"/>
</workbook>
</file>

<file path=xl/calcChain.xml><?xml version="1.0" encoding="utf-8"?>
<calcChain xmlns="http://schemas.openxmlformats.org/spreadsheetml/2006/main">
  <c r="E67" i="12" l="1"/>
  <c r="C64" i="12"/>
  <c r="C60" i="12"/>
  <c r="C44" i="12" l="1"/>
  <c r="D73" i="12"/>
  <c r="C51" i="12"/>
  <c r="C72" i="12"/>
  <c r="D72" i="12" s="1"/>
  <c r="D64" i="12"/>
  <c r="C63" i="12"/>
  <c r="C62" i="12"/>
  <c r="D60" i="12"/>
  <c r="D85" i="12"/>
  <c r="D86" i="12"/>
  <c r="C87" i="12"/>
  <c r="C45" i="12" l="1"/>
  <c r="C46" i="12"/>
  <c r="C6" i="12" s="1"/>
  <c r="D87" i="12"/>
  <c r="E64" i="12"/>
  <c r="E60" i="12"/>
  <c r="E54" i="9"/>
  <c r="E68" i="9" s="1"/>
  <c r="C65" i="9"/>
  <c r="C61" i="9"/>
  <c r="E61" i="9" s="1"/>
  <c r="D65" i="9"/>
  <c r="C49" i="9"/>
  <c r="D74" i="9"/>
  <c r="E66" i="12" l="1"/>
  <c r="E65" i="9"/>
  <c r="E67" i="9"/>
  <c r="E69" i="9" s="1"/>
  <c r="E68" i="12" l="1"/>
  <c r="M104" i="1"/>
  <c r="C88" i="9" l="1"/>
  <c r="D87" i="9"/>
  <c r="D86" i="9"/>
  <c r="D88" i="9" l="1"/>
  <c r="C28" i="12"/>
  <c r="E39" i="12" l="1"/>
  <c r="D28" i="12"/>
  <c r="C30" i="12"/>
  <c r="C19" i="12"/>
  <c r="C40" i="12"/>
  <c r="D40" i="12" s="1"/>
  <c r="D41" i="12" s="1"/>
  <c r="C15" i="12" s="1"/>
  <c r="C16" i="12" s="1"/>
  <c r="C5" i="12" s="1"/>
  <c r="D32" i="12"/>
  <c r="F84" i="8" l="1"/>
  <c r="E28" i="12"/>
  <c r="F85" i="8" l="1"/>
  <c r="C10" i="12"/>
  <c r="O70" i="8"/>
  <c r="O69" i="8"/>
  <c r="Q69" i="8" s="1"/>
  <c r="Q70" i="8" s="1"/>
  <c r="I69" i="8"/>
  <c r="J70" i="8"/>
  <c r="J69" i="8"/>
  <c r="C69" i="8"/>
  <c r="E69" i="8" s="1"/>
  <c r="D70" i="8"/>
  <c r="O67" i="8"/>
  <c r="O66" i="8"/>
  <c r="Q66" i="8" s="1"/>
  <c r="Q67" i="8" s="1"/>
  <c r="I67" i="8"/>
  <c r="F70" i="8" s="1"/>
  <c r="I66" i="8"/>
  <c r="J66" i="8"/>
  <c r="J67" i="8" s="1"/>
  <c r="G67" i="8"/>
  <c r="C67" i="8"/>
  <c r="D67" i="8"/>
  <c r="O64" i="8"/>
  <c r="O63" i="8"/>
  <c r="Q63" i="8" s="1"/>
  <c r="Q64" i="8" s="1"/>
  <c r="J64" i="8"/>
  <c r="J63" i="8"/>
  <c r="G66" i="8" s="1"/>
  <c r="I63" i="8"/>
  <c r="I64" i="8" s="1"/>
  <c r="F67" i="8" s="1"/>
  <c r="H67" i="8" s="1"/>
  <c r="F64" i="8"/>
  <c r="L64" i="8" s="1"/>
  <c r="F63" i="8"/>
  <c r="C64" i="8"/>
  <c r="E64" i="8" s="1"/>
  <c r="D64" i="8"/>
  <c r="Q60" i="8"/>
  <c r="Q61" i="8" s="1"/>
  <c r="O61" i="8"/>
  <c r="O60" i="8"/>
  <c r="L61" i="8"/>
  <c r="I61" i="8"/>
  <c r="I60" i="8"/>
  <c r="J61" i="8"/>
  <c r="G64" i="8" s="1"/>
  <c r="H64" i="8" s="1"/>
  <c r="J60" i="8"/>
  <c r="G63" i="8" s="1"/>
  <c r="M63" i="8" s="1"/>
  <c r="G60" i="8"/>
  <c r="M60" i="8" s="1"/>
  <c r="F61" i="8"/>
  <c r="F60" i="8"/>
  <c r="L60" i="8" s="1"/>
  <c r="K69" i="8"/>
  <c r="C61" i="8"/>
  <c r="E63" i="8"/>
  <c r="E66" i="8"/>
  <c r="E67" i="8"/>
  <c r="E60" i="8"/>
  <c r="D61" i="8"/>
  <c r="Q58" i="8"/>
  <c r="Q57" i="8"/>
  <c r="O58" i="8"/>
  <c r="O57" i="8"/>
  <c r="K57" i="8"/>
  <c r="K58" i="8"/>
  <c r="I58" i="8"/>
  <c r="J58" i="8"/>
  <c r="G61" i="8" s="1"/>
  <c r="G57" i="8"/>
  <c r="F57" i="8"/>
  <c r="L57" i="8" s="1"/>
  <c r="R57" i="8" s="1"/>
  <c r="E57" i="8"/>
  <c r="E58" i="8"/>
  <c r="C58" i="8"/>
  <c r="D58" i="8"/>
  <c r="Q54" i="8"/>
  <c r="Q55" i="8" s="1"/>
  <c r="O55" i="8"/>
  <c r="O54" i="8"/>
  <c r="K54" i="8"/>
  <c r="I55" i="8"/>
  <c r="F58" i="8" s="1"/>
  <c r="L58" i="8" s="1"/>
  <c r="J55" i="8"/>
  <c r="G58" i="8" s="1"/>
  <c r="H58" i="8" s="1"/>
  <c r="G54" i="8"/>
  <c r="M54" i="8" s="1"/>
  <c r="F54" i="8"/>
  <c r="L54" i="8" s="1"/>
  <c r="E54" i="8"/>
  <c r="C55" i="8"/>
  <c r="D55" i="8"/>
  <c r="E55" i="8" s="1"/>
  <c r="O52" i="8"/>
  <c r="O51" i="8"/>
  <c r="Q51" i="8" s="1"/>
  <c r="Q52" i="8" s="1"/>
  <c r="K51" i="8"/>
  <c r="I52" i="8"/>
  <c r="F55" i="8" s="1"/>
  <c r="J52" i="8"/>
  <c r="G51" i="8"/>
  <c r="M51" i="8" s="1"/>
  <c r="F51" i="8"/>
  <c r="L51" i="8" s="1"/>
  <c r="E51" i="8"/>
  <c r="C52" i="8"/>
  <c r="D52" i="8"/>
  <c r="E52" i="8" s="1"/>
  <c r="O49" i="8"/>
  <c r="O48" i="8"/>
  <c r="Q48" i="8" s="1"/>
  <c r="Q49" i="8" s="1"/>
  <c r="K48" i="8"/>
  <c r="I49" i="8"/>
  <c r="F52" i="8" s="1"/>
  <c r="J49" i="8"/>
  <c r="K49" i="8" s="1"/>
  <c r="G49" i="8"/>
  <c r="E48" i="8"/>
  <c r="C49" i="8"/>
  <c r="D49" i="8"/>
  <c r="O46" i="8"/>
  <c r="O45" i="8"/>
  <c r="Q45" i="8" s="1"/>
  <c r="Q46" i="8" s="1"/>
  <c r="M46" i="8"/>
  <c r="I45" i="8"/>
  <c r="F48" i="8" s="1"/>
  <c r="L48" i="8" s="1"/>
  <c r="J46" i="8"/>
  <c r="J45" i="8"/>
  <c r="G48" i="8" s="1"/>
  <c r="G45" i="8"/>
  <c r="E45" i="8"/>
  <c r="E46" i="8"/>
  <c r="D46" i="8"/>
  <c r="C46" i="8"/>
  <c r="Q43" i="8"/>
  <c r="O43" i="8"/>
  <c r="O42" i="8"/>
  <c r="Q42" i="8" s="1"/>
  <c r="I42" i="8"/>
  <c r="J43" i="8"/>
  <c r="G46" i="8" s="1"/>
  <c r="J42" i="8"/>
  <c r="E42" i="8"/>
  <c r="D43" i="8"/>
  <c r="C43" i="8"/>
  <c r="P51" i="8" l="1"/>
  <c r="R51" i="8"/>
  <c r="P58" i="8"/>
  <c r="R58" i="8"/>
  <c r="P48" i="8"/>
  <c r="R48" i="8"/>
  <c r="G70" i="8"/>
  <c r="H70" i="8" s="1"/>
  <c r="K67" i="8"/>
  <c r="M45" i="8"/>
  <c r="P54" i="8"/>
  <c r="R54" i="8"/>
  <c r="M57" i="8"/>
  <c r="H57" i="8"/>
  <c r="P61" i="8"/>
  <c r="R61" i="8"/>
  <c r="S61" i="8" s="1"/>
  <c r="I43" i="8"/>
  <c r="F45" i="8"/>
  <c r="L45" i="8" s="1"/>
  <c r="K42" i="8"/>
  <c r="E49" i="8"/>
  <c r="M49" i="8"/>
  <c r="N51" i="8"/>
  <c r="P60" i="8"/>
  <c r="P62" i="8" s="1"/>
  <c r="R60" i="8"/>
  <c r="R64" i="8"/>
  <c r="P64" i="8"/>
  <c r="G55" i="8"/>
  <c r="H55" i="8" s="1"/>
  <c r="K52" i="8"/>
  <c r="L55" i="8"/>
  <c r="E61" i="8"/>
  <c r="M61" i="8"/>
  <c r="M67" i="8"/>
  <c r="M52" i="8"/>
  <c r="N52" i="8" s="1"/>
  <c r="M58" i="8"/>
  <c r="N58" i="8" s="1"/>
  <c r="I46" i="8"/>
  <c r="F49" i="8" s="1"/>
  <c r="H49" i="8" s="1"/>
  <c r="L52" i="8"/>
  <c r="G52" i="8"/>
  <c r="H52" i="8" s="1"/>
  <c r="N54" i="8"/>
  <c r="P57" i="8"/>
  <c r="P59" i="8" s="1"/>
  <c r="N60" i="8"/>
  <c r="L67" i="8"/>
  <c r="E43" i="8"/>
  <c r="M48" i="8"/>
  <c r="H48" i="8"/>
  <c r="K45" i="8"/>
  <c r="H63" i="8"/>
  <c r="H66" i="8"/>
  <c r="M66" i="8"/>
  <c r="M64" i="8"/>
  <c r="N64" i="8" s="1"/>
  <c r="K63" i="8"/>
  <c r="F66" i="8"/>
  <c r="L66" i="8" s="1"/>
  <c r="L63" i="8"/>
  <c r="M70" i="8"/>
  <c r="K70" i="8"/>
  <c r="H51" i="8"/>
  <c r="M55" i="8"/>
  <c r="N55" i="8" s="1"/>
  <c r="K64" i="8"/>
  <c r="K66" i="8"/>
  <c r="F69" i="8"/>
  <c r="L69" i="8"/>
  <c r="G69" i="8"/>
  <c r="H54" i="8"/>
  <c r="K55" i="8"/>
  <c r="K60" i="8"/>
  <c r="C70" i="8"/>
  <c r="L70" i="8" s="1"/>
  <c r="I70" i="8"/>
  <c r="K61" i="8"/>
  <c r="H61" i="8"/>
  <c r="H60" i="8"/>
  <c r="O40" i="8"/>
  <c r="O39" i="8"/>
  <c r="Q39" i="8" s="1"/>
  <c r="Q40" i="8" s="1"/>
  <c r="J39" i="8"/>
  <c r="G42" i="8" s="1"/>
  <c r="I40" i="8"/>
  <c r="F43" i="8" s="1"/>
  <c r="L43" i="8" s="1"/>
  <c r="I39" i="8"/>
  <c r="F42" i="8" s="1"/>
  <c r="L42" i="8" s="1"/>
  <c r="G39" i="8"/>
  <c r="G40" i="8" s="1"/>
  <c r="F39" i="8"/>
  <c r="L39" i="8" s="1"/>
  <c r="E39" i="8"/>
  <c r="D40" i="8"/>
  <c r="C40" i="8"/>
  <c r="L41" i="8" l="1"/>
  <c r="R39" i="8"/>
  <c r="P39" i="8"/>
  <c r="H40" i="8"/>
  <c r="M40" i="8"/>
  <c r="N40" i="8" s="1"/>
  <c r="R43" i="8"/>
  <c r="S43" i="8" s="1"/>
  <c r="P43" i="8"/>
  <c r="H69" i="8"/>
  <c r="M69" i="8"/>
  <c r="N61" i="8"/>
  <c r="M62" i="8"/>
  <c r="S60" i="8"/>
  <c r="S62" i="8" s="1"/>
  <c r="R62" i="8"/>
  <c r="S54" i="8"/>
  <c r="N45" i="8"/>
  <c r="M47" i="8"/>
  <c r="S48" i="8"/>
  <c r="R53" i="8"/>
  <c r="S51" i="8"/>
  <c r="F40" i="8"/>
  <c r="L40" i="8" s="1"/>
  <c r="H42" i="8"/>
  <c r="M42" i="8"/>
  <c r="K39" i="8"/>
  <c r="P69" i="8"/>
  <c r="R69" i="8"/>
  <c r="N70" i="8"/>
  <c r="R67" i="8"/>
  <c r="S67" i="8" s="1"/>
  <c r="P67" i="8"/>
  <c r="M53" i="8"/>
  <c r="L49" i="8"/>
  <c r="K46" i="8"/>
  <c r="P53" i="8"/>
  <c r="E40" i="8"/>
  <c r="H39" i="8"/>
  <c r="J40" i="8"/>
  <c r="M39" i="8"/>
  <c r="E70" i="8"/>
  <c r="P63" i="8"/>
  <c r="P65" i="8" s="1"/>
  <c r="R63" i="8"/>
  <c r="M65" i="8"/>
  <c r="N63" i="8"/>
  <c r="M50" i="8"/>
  <c r="N48" i="8"/>
  <c r="P55" i="8"/>
  <c r="P56" i="8" s="1"/>
  <c r="R55" i="8"/>
  <c r="S55" i="8" s="1"/>
  <c r="P45" i="8"/>
  <c r="R45" i="8"/>
  <c r="S58" i="8"/>
  <c r="R59" i="8"/>
  <c r="R42" i="8"/>
  <c r="P42" i="8"/>
  <c r="P44" i="8" s="1"/>
  <c r="R66" i="8"/>
  <c r="P66" i="8"/>
  <c r="P68" i="8" s="1"/>
  <c r="N66" i="8"/>
  <c r="M68" i="8"/>
  <c r="M56" i="8"/>
  <c r="R52" i="8"/>
  <c r="P52" i="8"/>
  <c r="N67" i="8"/>
  <c r="S64" i="8"/>
  <c r="F46" i="8"/>
  <c r="K43" i="8"/>
  <c r="N57" i="8"/>
  <c r="M59" i="8"/>
  <c r="H45" i="8"/>
  <c r="S57" i="8"/>
  <c r="S59" i="8" s="1"/>
  <c r="P70" i="8"/>
  <c r="R70" i="8"/>
  <c r="S70" i="8" s="1"/>
  <c r="O37" i="8"/>
  <c r="O36" i="8"/>
  <c r="I36" i="8"/>
  <c r="F37" i="8"/>
  <c r="F36" i="8"/>
  <c r="G36" i="8"/>
  <c r="G37" i="8" s="1"/>
  <c r="J36" i="8"/>
  <c r="C37" i="8"/>
  <c r="D37" i="8"/>
  <c r="R68" i="8" l="1"/>
  <c r="S66" i="8"/>
  <c r="S68" i="8" s="1"/>
  <c r="M71" i="8"/>
  <c r="N69" i="8"/>
  <c r="S39" i="8"/>
  <c r="M41" i="8"/>
  <c r="N41" i="8" s="1"/>
  <c r="N39" i="8"/>
  <c r="R49" i="8"/>
  <c r="P49" i="8"/>
  <c r="P50" i="8" s="1"/>
  <c r="S69" i="8"/>
  <c r="S71" i="8" s="1"/>
  <c r="R71" i="8"/>
  <c r="N42" i="8"/>
  <c r="I37" i="8"/>
  <c r="H46" i="8"/>
  <c r="L46" i="8"/>
  <c r="S45" i="8"/>
  <c r="R65" i="8"/>
  <c r="S63" i="8"/>
  <c r="S65" i="8" s="1"/>
  <c r="G43" i="8"/>
  <c r="K40" i="8"/>
  <c r="P71" i="8"/>
  <c r="R56" i="8"/>
  <c r="C31" i="12"/>
  <c r="C32" i="12" s="1"/>
  <c r="E32" i="12" s="1"/>
  <c r="E34" i="12" s="1"/>
  <c r="L36" i="8"/>
  <c r="J37" i="8"/>
  <c r="N49" i="8"/>
  <c r="S52" i="8"/>
  <c r="S53" i="8" s="1"/>
  <c r="S42" i="8"/>
  <c r="S44" i="8" s="1"/>
  <c r="R44" i="8"/>
  <c r="R40" i="8"/>
  <c r="P40" i="8"/>
  <c r="S56" i="8"/>
  <c r="P41" i="8"/>
  <c r="C20" i="12"/>
  <c r="C21" i="12" s="1"/>
  <c r="E21" i="12" s="1"/>
  <c r="J66" i="4"/>
  <c r="I65" i="4"/>
  <c r="J65" i="4"/>
  <c r="B65" i="4"/>
  <c r="B63" i="4"/>
  <c r="E35" i="12" l="1"/>
  <c r="E36" i="12" s="1"/>
  <c r="S41" i="8"/>
  <c r="H43" i="8"/>
  <c r="M43" i="8"/>
  <c r="P36" i="8"/>
  <c r="S49" i="8"/>
  <c r="S50" i="8" s="1"/>
  <c r="R50" i="8"/>
  <c r="S40" i="8"/>
  <c r="R46" i="8"/>
  <c r="P46" i="8"/>
  <c r="P47" i="8" s="1"/>
  <c r="N46" i="8"/>
  <c r="R41" i="8"/>
  <c r="C42" i="9"/>
  <c r="D42" i="9" s="1"/>
  <c r="D43" i="9" s="1"/>
  <c r="C15" i="9" s="1"/>
  <c r="C30" i="9"/>
  <c r="D34" i="9"/>
  <c r="C32" i="9"/>
  <c r="D30" i="9"/>
  <c r="C6" i="9"/>
  <c r="D85" i="1"/>
  <c r="N43" i="8" l="1"/>
  <c r="M44" i="8"/>
  <c r="S46" i="8"/>
  <c r="S47" i="8" s="1"/>
  <c r="R47" i="8"/>
  <c r="E30" i="9"/>
  <c r="C73" i="9"/>
  <c r="D73" i="9" s="1"/>
  <c r="C50" i="9" s="1"/>
  <c r="C16" i="9"/>
  <c r="H39" i="4"/>
  <c r="H38" i="4"/>
  <c r="H37" i="4"/>
  <c r="H36" i="4"/>
  <c r="H35" i="4"/>
  <c r="H32" i="4"/>
  <c r="H31" i="4"/>
  <c r="H30" i="4"/>
  <c r="H29" i="4"/>
  <c r="H28" i="4"/>
  <c r="H25" i="4"/>
  <c r="H24" i="4"/>
  <c r="H23" i="4"/>
  <c r="H22" i="4"/>
  <c r="H21" i="4"/>
  <c r="H18" i="4"/>
  <c r="H17" i="4"/>
  <c r="H16" i="4"/>
  <c r="H15" i="4"/>
  <c r="H14" i="4"/>
  <c r="H11" i="4"/>
  <c r="H10" i="4"/>
  <c r="H9" i="4"/>
  <c r="H8" i="4"/>
  <c r="H7" i="4"/>
  <c r="I58" i="4"/>
  <c r="I59" i="4"/>
  <c r="I57" i="4"/>
  <c r="CE37" i="4"/>
  <c r="CE36" i="4"/>
  <c r="CE35" i="4"/>
  <c r="CE32" i="4"/>
  <c r="CE31" i="4"/>
  <c r="CE30" i="4"/>
  <c r="CE29" i="4"/>
  <c r="CE28" i="4"/>
  <c r="CE11" i="4"/>
  <c r="CE10" i="4"/>
  <c r="CE9" i="4"/>
  <c r="CE8" i="4"/>
  <c r="CE7" i="4"/>
  <c r="CB37" i="4"/>
  <c r="CB36" i="4"/>
  <c r="CB35" i="4"/>
  <c r="CB32" i="4"/>
  <c r="CB31" i="4"/>
  <c r="CB30" i="4"/>
  <c r="CB29" i="4"/>
  <c r="CB28" i="4"/>
  <c r="CB11" i="4"/>
  <c r="CB10" i="4"/>
  <c r="CB9" i="4"/>
  <c r="CB8" i="4"/>
  <c r="CB7" i="4"/>
  <c r="BY37" i="4"/>
  <c r="BY36" i="4"/>
  <c r="BY35" i="4"/>
  <c r="BY32" i="4"/>
  <c r="BY31" i="4"/>
  <c r="BY30" i="4"/>
  <c r="BY29" i="4"/>
  <c r="BY28" i="4"/>
  <c r="BY11" i="4"/>
  <c r="BY10" i="4"/>
  <c r="BY9" i="4"/>
  <c r="BY8" i="4"/>
  <c r="BY7" i="4"/>
  <c r="BV37" i="4"/>
  <c r="BV36" i="4"/>
  <c r="BV35" i="4"/>
  <c r="BV32" i="4"/>
  <c r="BV31" i="4"/>
  <c r="BV30" i="4"/>
  <c r="BV29" i="4"/>
  <c r="BV28" i="4"/>
  <c r="BV11" i="4"/>
  <c r="BV10" i="4"/>
  <c r="BV9" i="4"/>
  <c r="BV8" i="4"/>
  <c r="BV7" i="4"/>
  <c r="BS37" i="4"/>
  <c r="BS36" i="4"/>
  <c r="BS35" i="4"/>
  <c r="BS32" i="4"/>
  <c r="BS31" i="4"/>
  <c r="BS30" i="4"/>
  <c r="BS29" i="4"/>
  <c r="BS28" i="4"/>
  <c r="BS11" i="4"/>
  <c r="BS10" i="4"/>
  <c r="BS9" i="4"/>
  <c r="BS8" i="4"/>
  <c r="BS7" i="4"/>
  <c r="BP37" i="4"/>
  <c r="BP36" i="4"/>
  <c r="BP35" i="4"/>
  <c r="BP32" i="4"/>
  <c r="BP31" i="4"/>
  <c r="BP30" i="4"/>
  <c r="BP29" i="4"/>
  <c r="BP28" i="4"/>
  <c r="BP11" i="4"/>
  <c r="BP10" i="4"/>
  <c r="BP9" i="4"/>
  <c r="BP8" i="4"/>
  <c r="BP7" i="4"/>
  <c r="BM37" i="4"/>
  <c r="BM36" i="4"/>
  <c r="BM35" i="4"/>
  <c r="BM32" i="4"/>
  <c r="BM31" i="4"/>
  <c r="BM30" i="4"/>
  <c r="BM29" i="4"/>
  <c r="BM28" i="4"/>
  <c r="BM11" i="4"/>
  <c r="BM10" i="4"/>
  <c r="BM9" i="4"/>
  <c r="BM8" i="4"/>
  <c r="BM7" i="4"/>
  <c r="BJ37" i="4"/>
  <c r="BJ36" i="4"/>
  <c r="BJ35" i="4"/>
  <c r="BJ32" i="4"/>
  <c r="BJ31" i="4"/>
  <c r="BJ30" i="4"/>
  <c r="BJ29" i="4"/>
  <c r="BJ28" i="4"/>
  <c r="BJ11" i="4"/>
  <c r="BJ10" i="4"/>
  <c r="BJ9" i="4"/>
  <c r="BJ8" i="4"/>
  <c r="BJ7" i="4"/>
  <c r="BG37" i="4"/>
  <c r="BG36" i="4"/>
  <c r="BG35" i="4"/>
  <c r="BG32" i="4"/>
  <c r="BG31" i="4"/>
  <c r="BG30" i="4"/>
  <c r="BG29" i="4"/>
  <c r="BG28" i="4"/>
  <c r="BG11" i="4"/>
  <c r="BG10" i="4"/>
  <c r="BG9" i="4"/>
  <c r="BG8" i="4"/>
  <c r="BG7" i="4"/>
  <c r="BD37" i="4"/>
  <c r="BD36" i="4"/>
  <c r="BD35" i="4"/>
  <c r="BD32" i="4"/>
  <c r="BD31" i="4"/>
  <c r="BD30" i="4"/>
  <c r="BD29" i="4"/>
  <c r="BD28" i="4"/>
  <c r="BD11" i="4"/>
  <c r="BD10" i="4"/>
  <c r="BD9" i="4"/>
  <c r="BD8" i="4"/>
  <c r="BD7" i="4"/>
  <c r="BA37" i="4"/>
  <c r="BA36" i="4"/>
  <c r="BA35" i="4"/>
  <c r="BA32" i="4"/>
  <c r="BA31" i="4"/>
  <c r="BA30" i="4"/>
  <c r="BA29" i="4"/>
  <c r="BA28" i="4"/>
  <c r="BA11" i="4"/>
  <c r="BA10" i="4"/>
  <c r="BA9" i="4"/>
  <c r="BA8" i="4"/>
  <c r="BA7" i="4"/>
  <c r="AX37" i="4"/>
  <c r="AX36" i="4"/>
  <c r="AX35" i="4"/>
  <c r="AX32" i="4"/>
  <c r="AX31" i="4"/>
  <c r="AX30" i="4"/>
  <c r="AX29" i="4"/>
  <c r="AX28" i="4"/>
  <c r="AX11" i="4"/>
  <c r="AX10" i="4"/>
  <c r="AX9" i="4"/>
  <c r="AX8" i="4"/>
  <c r="AX7" i="4"/>
  <c r="AU37" i="4"/>
  <c r="AU36" i="4"/>
  <c r="AU35" i="4"/>
  <c r="AU32" i="4"/>
  <c r="AU31" i="4"/>
  <c r="AU30" i="4"/>
  <c r="AU29" i="4"/>
  <c r="AU28" i="4"/>
  <c r="AU11" i="4"/>
  <c r="AU10" i="4"/>
  <c r="AU9" i="4"/>
  <c r="AU8" i="4"/>
  <c r="AU7" i="4"/>
  <c r="AR37" i="4"/>
  <c r="AR36" i="4"/>
  <c r="AR35" i="4"/>
  <c r="AR32" i="4"/>
  <c r="AR31" i="4"/>
  <c r="AR30" i="4"/>
  <c r="AR29" i="4"/>
  <c r="AR28" i="4"/>
  <c r="AR11" i="4"/>
  <c r="AR10" i="4"/>
  <c r="AR9" i="4"/>
  <c r="AR8" i="4"/>
  <c r="AR7" i="4"/>
  <c r="AO37" i="4"/>
  <c r="AO36" i="4"/>
  <c r="AO35" i="4"/>
  <c r="AO32" i="4"/>
  <c r="AO31" i="4"/>
  <c r="AO30" i="4"/>
  <c r="AO29" i="4"/>
  <c r="AO28" i="4"/>
  <c r="AO11" i="4"/>
  <c r="AO10" i="4"/>
  <c r="AO9" i="4"/>
  <c r="AO8" i="4"/>
  <c r="AO7" i="4"/>
  <c r="AL37" i="4"/>
  <c r="AL36" i="4"/>
  <c r="AL35" i="4"/>
  <c r="AL32" i="4"/>
  <c r="AL31" i="4"/>
  <c r="AL30" i="4"/>
  <c r="AL29" i="4"/>
  <c r="AL28" i="4"/>
  <c r="AL11" i="4"/>
  <c r="AL10" i="4"/>
  <c r="AL9" i="4"/>
  <c r="AL8" i="4"/>
  <c r="AL7" i="4"/>
  <c r="AI37" i="4"/>
  <c r="AI36" i="4"/>
  <c r="AI35" i="4"/>
  <c r="AI32" i="4"/>
  <c r="AI31" i="4"/>
  <c r="AI30" i="4"/>
  <c r="AI29" i="4"/>
  <c r="AI28" i="4"/>
  <c r="AI11" i="4"/>
  <c r="AI10" i="4"/>
  <c r="AI9" i="4"/>
  <c r="AI8" i="4"/>
  <c r="AI7" i="4"/>
  <c r="AF37" i="4"/>
  <c r="AF36" i="4"/>
  <c r="AF35" i="4"/>
  <c r="AF32" i="4"/>
  <c r="AF31" i="4"/>
  <c r="AF30" i="4"/>
  <c r="AF29" i="4"/>
  <c r="AF28" i="4"/>
  <c r="AF11" i="4"/>
  <c r="AF10" i="4"/>
  <c r="AF9" i="4"/>
  <c r="AF8" i="4"/>
  <c r="AF7" i="4"/>
  <c r="AC37" i="4"/>
  <c r="AC36" i="4"/>
  <c r="AC35" i="4"/>
  <c r="AC32" i="4"/>
  <c r="AC31" i="4"/>
  <c r="AC30" i="4"/>
  <c r="AC29" i="4"/>
  <c r="AC28" i="4"/>
  <c r="AC11" i="4"/>
  <c r="AC10" i="4"/>
  <c r="AC9" i="4"/>
  <c r="AC8" i="4"/>
  <c r="AC7" i="4"/>
  <c r="Z37" i="4"/>
  <c r="Z36" i="4"/>
  <c r="Z35" i="4"/>
  <c r="Z32" i="4"/>
  <c r="Z31" i="4"/>
  <c r="Z30" i="4"/>
  <c r="Z29" i="4"/>
  <c r="Z28" i="4"/>
  <c r="Z11" i="4"/>
  <c r="Z10" i="4"/>
  <c r="Z9" i="4"/>
  <c r="Z8" i="4"/>
  <c r="Z7" i="4"/>
  <c r="W37" i="4"/>
  <c r="W36" i="4"/>
  <c r="W35" i="4"/>
  <c r="W32" i="4"/>
  <c r="W31" i="4"/>
  <c r="W30" i="4"/>
  <c r="W29" i="4"/>
  <c r="W28" i="4"/>
  <c r="W11" i="4"/>
  <c r="W10" i="4"/>
  <c r="W9" i="4"/>
  <c r="W8" i="4"/>
  <c r="W7" i="4"/>
  <c r="T37" i="4"/>
  <c r="T36" i="4"/>
  <c r="T35" i="4"/>
  <c r="T32" i="4"/>
  <c r="T31" i="4"/>
  <c r="T30" i="4"/>
  <c r="T29" i="4"/>
  <c r="T28" i="4"/>
  <c r="T11" i="4"/>
  <c r="T10" i="4"/>
  <c r="T9" i="4"/>
  <c r="T8" i="4"/>
  <c r="T7" i="4"/>
  <c r="Q37" i="4"/>
  <c r="Q36" i="4"/>
  <c r="Q35" i="4"/>
  <c r="Q32" i="4"/>
  <c r="Q31" i="4"/>
  <c r="Q30" i="4"/>
  <c r="Q29" i="4"/>
  <c r="Q28" i="4"/>
  <c r="Q11" i="4"/>
  <c r="Q10" i="4"/>
  <c r="Q9" i="4"/>
  <c r="Q8" i="4"/>
  <c r="Q7" i="4"/>
  <c r="N37" i="4"/>
  <c r="N36" i="4"/>
  <c r="N35" i="4"/>
  <c r="N32" i="4"/>
  <c r="N31" i="4"/>
  <c r="N30" i="4"/>
  <c r="N29" i="4"/>
  <c r="N28" i="4"/>
  <c r="N11" i="4"/>
  <c r="N10" i="4"/>
  <c r="N9" i="4"/>
  <c r="N8" i="4"/>
  <c r="N7" i="4"/>
  <c r="K37" i="4"/>
  <c r="K36" i="4"/>
  <c r="K35" i="4"/>
  <c r="K32" i="4"/>
  <c r="K31" i="4"/>
  <c r="K30" i="4"/>
  <c r="K29" i="4"/>
  <c r="K28" i="4"/>
  <c r="K11" i="4"/>
  <c r="K10" i="4"/>
  <c r="K9" i="4"/>
  <c r="K8" i="4"/>
  <c r="K7" i="4"/>
  <c r="AP44" i="4"/>
  <c r="AS44" i="4"/>
  <c r="AV44" i="4"/>
  <c r="AP45" i="4"/>
  <c r="AS45" i="4"/>
  <c r="AV45" i="4"/>
  <c r="AY44" i="4"/>
  <c r="BB44" i="4"/>
  <c r="BE44" i="4"/>
  <c r="AY45" i="4"/>
  <c r="BB45" i="4"/>
  <c r="BE45" i="4"/>
  <c r="BH44" i="4"/>
  <c r="BK44" i="4"/>
  <c r="BH45" i="4"/>
  <c r="BK45" i="4"/>
  <c r="BN44" i="4"/>
  <c r="BQ44" i="4"/>
  <c r="BN45" i="4"/>
  <c r="BQ45" i="4"/>
  <c r="BT44" i="4"/>
  <c r="BT45" i="4"/>
  <c r="BW44" i="4"/>
  <c r="BW45" i="4"/>
  <c r="BZ44" i="4"/>
  <c r="BZ45" i="4"/>
  <c r="CC44" i="4"/>
  <c r="CC45" i="4"/>
  <c r="CC43" i="4"/>
  <c r="BZ43" i="4"/>
  <c r="BW43" i="4"/>
  <c r="BT43" i="4"/>
  <c r="BQ43" i="4"/>
  <c r="BN43" i="4"/>
  <c r="BK43" i="4"/>
  <c r="BH43" i="4"/>
  <c r="BE43" i="4"/>
  <c r="BB43" i="4"/>
  <c r="AY43" i="4"/>
  <c r="AV43" i="4"/>
  <c r="AS43" i="4"/>
  <c r="AP43" i="4"/>
  <c r="AM44" i="4"/>
  <c r="AM45" i="4"/>
  <c r="AM43" i="4"/>
  <c r="AJ44" i="4"/>
  <c r="AJ45" i="4"/>
  <c r="AG44" i="4"/>
  <c r="AG45" i="4"/>
  <c r="AD44" i="4"/>
  <c r="AD45" i="4"/>
  <c r="AA44" i="4"/>
  <c r="AA45" i="4"/>
  <c r="X44" i="4"/>
  <c r="X45" i="4"/>
  <c r="U44" i="4"/>
  <c r="U45" i="4"/>
  <c r="AJ43" i="4"/>
  <c r="AG43" i="4"/>
  <c r="AD43" i="4"/>
  <c r="AA43" i="4"/>
  <c r="X43" i="4"/>
  <c r="U43" i="4"/>
  <c r="R44" i="4"/>
  <c r="R45" i="4"/>
  <c r="R43" i="4"/>
  <c r="O44" i="4"/>
  <c r="O45" i="4"/>
  <c r="O43" i="4"/>
  <c r="AY4" i="4"/>
  <c r="BB4" i="4" s="1"/>
  <c r="BE4" i="4" s="1"/>
  <c r="BH4" i="4" s="1"/>
  <c r="BK4" i="4" s="1"/>
  <c r="BN4" i="4" s="1"/>
  <c r="BQ4" i="4" s="1"/>
  <c r="BT4" i="4" s="1"/>
  <c r="BW4" i="4" s="1"/>
  <c r="BZ4" i="4" s="1"/>
  <c r="CC4" i="4" s="1"/>
  <c r="AV4" i="4"/>
  <c r="AS4" i="4"/>
  <c r="AP4" i="4"/>
  <c r="AM4" i="4"/>
  <c r="AJ4" i="4"/>
  <c r="AG4" i="4"/>
  <c r="AD4" i="4"/>
  <c r="AA4" i="4"/>
  <c r="X4" i="4"/>
  <c r="U4" i="4"/>
  <c r="O4" i="4"/>
  <c r="R4" i="4"/>
  <c r="L4" i="4"/>
  <c r="L44" i="4"/>
  <c r="L43" i="4"/>
  <c r="L45" i="4"/>
  <c r="I45" i="4"/>
  <c r="I44" i="4"/>
  <c r="I43" i="4"/>
  <c r="D84" i="1" l="1"/>
  <c r="C5" i="9"/>
  <c r="C10" i="9" s="1"/>
  <c r="M70" i="1" l="1"/>
  <c r="M67" i="1"/>
  <c r="M64" i="1"/>
  <c r="M61" i="1"/>
  <c r="M58" i="1"/>
  <c r="M55" i="1"/>
  <c r="M52" i="1"/>
  <c r="M49" i="1"/>
  <c r="M46" i="1"/>
  <c r="M66" i="1"/>
  <c r="O66" i="1" s="1"/>
  <c r="O67" i="1" s="1"/>
  <c r="M63" i="1"/>
  <c r="O63" i="1" s="1"/>
  <c r="O64" i="1" s="1"/>
  <c r="M60" i="1"/>
  <c r="O60" i="1" s="1"/>
  <c r="O61" i="1" s="1"/>
  <c r="M57" i="1"/>
  <c r="O57" i="1" s="1"/>
  <c r="O58" i="1" s="1"/>
  <c r="M54" i="1"/>
  <c r="O54" i="1" s="1"/>
  <c r="O55" i="1" s="1"/>
  <c r="M51" i="1"/>
  <c r="O51" i="1" s="1"/>
  <c r="O52" i="1" s="1"/>
  <c r="M48" i="1"/>
  <c r="O48" i="1" s="1"/>
  <c r="O49" i="1" s="1"/>
  <c r="M45" i="1"/>
  <c r="O45" i="1" s="1"/>
  <c r="O46" i="1" s="1"/>
  <c r="M43" i="1"/>
  <c r="M42" i="1"/>
  <c r="O42" i="1" s="1"/>
  <c r="O43" i="1" s="1"/>
  <c r="M40" i="1"/>
  <c r="M39" i="1"/>
  <c r="O39" i="1" s="1"/>
  <c r="O40" i="1" s="1"/>
  <c r="M37" i="1"/>
  <c r="M36" i="1"/>
  <c r="H66" i="1"/>
  <c r="H67" i="1" s="1"/>
  <c r="H63" i="1"/>
  <c r="H64" i="1" s="1"/>
  <c r="G63" i="1"/>
  <c r="D66" i="1" s="1"/>
  <c r="H60" i="1"/>
  <c r="H61" i="1" s="1"/>
  <c r="H57" i="1"/>
  <c r="E60" i="1" s="1"/>
  <c r="K60" i="1" s="1"/>
  <c r="H55" i="1"/>
  <c r="E58" i="1" s="1"/>
  <c r="H51" i="1"/>
  <c r="H52" i="1" s="1"/>
  <c r="E55" i="1" s="1"/>
  <c r="H48" i="1"/>
  <c r="H49" i="1" s="1"/>
  <c r="H45" i="1"/>
  <c r="H46" i="1" s="1"/>
  <c r="E49" i="1" s="1"/>
  <c r="H42" i="1"/>
  <c r="H43" i="1" s="1"/>
  <c r="E46" i="1" s="1"/>
  <c r="H39" i="1"/>
  <c r="H40" i="1" s="1"/>
  <c r="E43" i="1" s="1"/>
  <c r="G66" i="1"/>
  <c r="G60" i="1"/>
  <c r="G57" i="1"/>
  <c r="G55" i="1"/>
  <c r="D58" i="1" s="1"/>
  <c r="G51" i="1"/>
  <c r="G48" i="1"/>
  <c r="G49" i="1" s="1"/>
  <c r="D52" i="1" s="1"/>
  <c r="G45" i="1"/>
  <c r="G46" i="1" s="1"/>
  <c r="G42" i="1"/>
  <c r="G39" i="1"/>
  <c r="I39" i="1" s="1"/>
  <c r="I54" i="1"/>
  <c r="E57" i="1"/>
  <c r="E54" i="1"/>
  <c r="K54" i="1" s="1"/>
  <c r="E51" i="1"/>
  <c r="E42" i="1"/>
  <c r="D57" i="1"/>
  <c r="C67" i="1"/>
  <c r="C64" i="1"/>
  <c r="C61" i="1"/>
  <c r="C58" i="1"/>
  <c r="C55" i="1"/>
  <c r="C52" i="1"/>
  <c r="C49" i="1"/>
  <c r="C46" i="1"/>
  <c r="C43" i="1"/>
  <c r="C72" i="1"/>
  <c r="C40" i="1"/>
  <c r="M69" i="1"/>
  <c r="O69" i="1" s="1"/>
  <c r="O70" i="1" s="1"/>
  <c r="G69" i="1"/>
  <c r="H69" i="1"/>
  <c r="E69" i="1"/>
  <c r="I57" i="1" l="1"/>
  <c r="D42" i="1"/>
  <c r="J42" i="1" s="1"/>
  <c r="N42" i="1" s="1"/>
  <c r="K42" i="1"/>
  <c r="L42" i="1" s="1"/>
  <c r="E45" i="1"/>
  <c r="K45" i="1" s="1"/>
  <c r="I60" i="1"/>
  <c r="D48" i="1"/>
  <c r="E48" i="1"/>
  <c r="K48" i="1" s="1"/>
  <c r="I42" i="1"/>
  <c r="I51" i="1"/>
  <c r="I66" i="1"/>
  <c r="G70" i="1"/>
  <c r="J57" i="1"/>
  <c r="N57" i="1" s="1"/>
  <c r="K51" i="1"/>
  <c r="E63" i="1"/>
  <c r="K63" i="1" s="1"/>
  <c r="E67" i="1"/>
  <c r="K67" i="1" s="1"/>
  <c r="K69" i="1"/>
  <c r="H70" i="1"/>
  <c r="I70" i="1" s="1"/>
  <c r="F57" i="1"/>
  <c r="E66" i="1"/>
  <c r="K66" i="1" s="1"/>
  <c r="K43" i="1"/>
  <c r="D54" i="1"/>
  <c r="F54" i="1" s="1"/>
  <c r="I45" i="1"/>
  <c r="G52" i="1"/>
  <c r="G64" i="1"/>
  <c r="D67" i="1" s="1"/>
  <c r="F67" i="1" s="1"/>
  <c r="G67" i="1"/>
  <c r="D70" i="1" s="1"/>
  <c r="K55" i="1"/>
  <c r="J66" i="1"/>
  <c r="E64" i="1"/>
  <c r="K64" i="1" s="1"/>
  <c r="K65" i="1" s="1"/>
  <c r="K49" i="1"/>
  <c r="K57" i="1"/>
  <c r="H65" i="1"/>
  <c r="E70" i="1"/>
  <c r="I69" i="1"/>
  <c r="D63" i="1"/>
  <c r="J63" i="1" s="1"/>
  <c r="D69" i="1"/>
  <c r="J69" i="1" s="1"/>
  <c r="I49" i="1"/>
  <c r="I63" i="1"/>
  <c r="G40" i="1"/>
  <c r="I40" i="1" s="1"/>
  <c r="F58" i="1"/>
  <c r="G61" i="1"/>
  <c r="D64" i="1" s="1"/>
  <c r="H58" i="1"/>
  <c r="G43" i="1"/>
  <c r="D46" i="1" s="1"/>
  <c r="J46" i="1" s="1"/>
  <c r="K46" i="1"/>
  <c r="D45" i="1"/>
  <c r="J45" i="1" s="1"/>
  <c r="E52" i="1"/>
  <c r="K52" i="1" s="1"/>
  <c r="G58" i="1"/>
  <c r="J58" i="1" s="1"/>
  <c r="D60" i="1"/>
  <c r="I55" i="1"/>
  <c r="D51" i="1"/>
  <c r="I48" i="1"/>
  <c r="I46" i="1"/>
  <c r="D49" i="1"/>
  <c r="F49" i="1" s="1"/>
  <c r="C70" i="1"/>
  <c r="P108" i="8"/>
  <c r="L108" i="8"/>
  <c r="I108" i="8"/>
  <c r="F108" i="8"/>
  <c r="C108" i="8"/>
  <c r="O107" i="8"/>
  <c r="Q107" i="8" s="1"/>
  <c r="O106" i="8"/>
  <c r="Q106" i="8" s="1"/>
  <c r="O105" i="8"/>
  <c r="Q105" i="8" s="1"/>
  <c r="O104" i="8"/>
  <c r="Q104" i="8" s="1"/>
  <c r="F95" i="8"/>
  <c r="L71" i="8"/>
  <c r="N71" i="8" s="1"/>
  <c r="J71" i="8"/>
  <c r="I71" i="8"/>
  <c r="G71" i="8"/>
  <c r="F71" i="8"/>
  <c r="H71" i="8" s="1"/>
  <c r="D71" i="8"/>
  <c r="C71" i="8"/>
  <c r="L68" i="8"/>
  <c r="J68" i="8"/>
  <c r="I68" i="8"/>
  <c r="G68" i="8"/>
  <c r="F68" i="8"/>
  <c r="D68" i="8"/>
  <c r="C68" i="8"/>
  <c r="L65" i="8"/>
  <c r="N65" i="8" s="1"/>
  <c r="J65" i="8"/>
  <c r="I65" i="8"/>
  <c r="K65" i="8" s="1"/>
  <c r="G65" i="8"/>
  <c r="F65" i="8"/>
  <c r="D65" i="8"/>
  <c r="C65" i="8"/>
  <c r="L62" i="8"/>
  <c r="N62" i="8" s="1"/>
  <c r="J62" i="8"/>
  <c r="I62" i="8"/>
  <c r="G62" i="8"/>
  <c r="F62" i="8"/>
  <c r="D62" i="8"/>
  <c r="C62" i="8"/>
  <c r="L59" i="8"/>
  <c r="N59" i="8" s="1"/>
  <c r="J59" i="8"/>
  <c r="I59" i="8"/>
  <c r="G59" i="8"/>
  <c r="F59" i="8"/>
  <c r="D59" i="8"/>
  <c r="C59" i="8"/>
  <c r="L56" i="8"/>
  <c r="N56" i="8" s="1"/>
  <c r="J56" i="8"/>
  <c r="K56" i="8" s="1"/>
  <c r="I56" i="8"/>
  <c r="G56" i="8"/>
  <c r="H56" i="8" s="1"/>
  <c r="F56" i="8"/>
  <c r="D56" i="8"/>
  <c r="C56" i="8"/>
  <c r="L53" i="8"/>
  <c r="N53" i="8" s="1"/>
  <c r="J53" i="8"/>
  <c r="I53" i="8"/>
  <c r="G53" i="8"/>
  <c r="F53" i="8"/>
  <c r="D53" i="8"/>
  <c r="C53" i="8"/>
  <c r="J50" i="8"/>
  <c r="I50" i="8"/>
  <c r="G50" i="8"/>
  <c r="F50" i="8"/>
  <c r="D50" i="8"/>
  <c r="C50" i="8"/>
  <c r="L50" i="8"/>
  <c r="N50" i="8" s="1"/>
  <c r="L47" i="8"/>
  <c r="N47" i="8" s="1"/>
  <c r="J47" i="8"/>
  <c r="I47" i="8"/>
  <c r="G47" i="8"/>
  <c r="F47" i="8"/>
  <c r="D47" i="8"/>
  <c r="C47" i="8"/>
  <c r="L44" i="8"/>
  <c r="N44" i="8" s="1"/>
  <c r="J44" i="8"/>
  <c r="K44" i="8" s="1"/>
  <c r="I44" i="8"/>
  <c r="G44" i="8"/>
  <c r="H44" i="8" s="1"/>
  <c r="F44" i="8"/>
  <c r="D44" i="8"/>
  <c r="C44" i="8"/>
  <c r="J41" i="8"/>
  <c r="K41" i="8" s="1"/>
  <c r="I41" i="8"/>
  <c r="G41" i="8"/>
  <c r="H41" i="8" s="1"/>
  <c r="F41" i="8"/>
  <c r="D41" i="8"/>
  <c r="C41" i="8"/>
  <c r="Q36" i="8"/>
  <c r="Q37" i="8" s="1"/>
  <c r="K36" i="8"/>
  <c r="M36" i="8"/>
  <c r="E36" i="8"/>
  <c r="L13" i="8"/>
  <c r="I13" i="8"/>
  <c r="F13" i="8"/>
  <c r="F11" i="8" s="1"/>
  <c r="P15" i="8" s="1"/>
  <c r="L11" i="8"/>
  <c r="I11" i="8"/>
  <c r="F45" i="1" l="1"/>
  <c r="P13" i="8"/>
  <c r="P12" i="8"/>
  <c r="P42" i="1"/>
  <c r="Q42" i="1" s="1"/>
  <c r="F42" i="1"/>
  <c r="L57" i="1"/>
  <c r="K44" i="1"/>
  <c r="F48" i="1"/>
  <c r="J67" i="1"/>
  <c r="N67" i="1" s="1"/>
  <c r="I67" i="1"/>
  <c r="I61" i="1"/>
  <c r="P57" i="1"/>
  <c r="Q57" i="1" s="1"/>
  <c r="E44" i="8"/>
  <c r="E56" i="8"/>
  <c r="H47" i="8"/>
  <c r="H50" i="8"/>
  <c r="E53" i="8"/>
  <c r="K53" i="8"/>
  <c r="H59" i="8"/>
  <c r="E62" i="8"/>
  <c r="E41" i="8"/>
  <c r="E47" i="8"/>
  <c r="K47" i="8"/>
  <c r="E50" i="8"/>
  <c r="K50" i="8"/>
  <c r="H53" i="8"/>
  <c r="E59" i="8"/>
  <c r="K59" i="8"/>
  <c r="K71" i="8"/>
  <c r="E71" i="8"/>
  <c r="N68" i="8"/>
  <c r="K68" i="8"/>
  <c r="H68" i="8"/>
  <c r="E68" i="8"/>
  <c r="H65" i="8"/>
  <c r="E65" i="8"/>
  <c r="K62" i="8"/>
  <c r="H62" i="8"/>
  <c r="J54" i="1"/>
  <c r="L54" i="1" s="1"/>
  <c r="K68" i="1"/>
  <c r="I64" i="1"/>
  <c r="K53" i="1"/>
  <c r="J48" i="1"/>
  <c r="N48" i="1" s="1"/>
  <c r="J70" i="1"/>
  <c r="P70" i="1" s="1"/>
  <c r="D61" i="1"/>
  <c r="J61" i="1" s="1"/>
  <c r="P61" i="1" s="1"/>
  <c r="J49" i="1"/>
  <c r="P49" i="1" s="1"/>
  <c r="K50" i="1"/>
  <c r="N58" i="1"/>
  <c r="N59" i="1" s="1"/>
  <c r="P58" i="1"/>
  <c r="N61" i="1"/>
  <c r="N69" i="1"/>
  <c r="P69" i="1"/>
  <c r="F69" i="1"/>
  <c r="P67" i="1"/>
  <c r="N63" i="1"/>
  <c r="P63" i="1"/>
  <c r="F66" i="1"/>
  <c r="N45" i="1"/>
  <c r="P45" i="1"/>
  <c r="N46" i="1"/>
  <c r="P46" i="1"/>
  <c r="L69" i="1"/>
  <c r="L66" i="1"/>
  <c r="D55" i="1"/>
  <c r="I52" i="1"/>
  <c r="K56" i="1"/>
  <c r="J64" i="1"/>
  <c r="J52" i="1"/>
  <c r="N66" i="1"/>
  <c r="P66" i="1"/>
  <c r="K58" i="1"/>
  <c r="L58" i="1" s="1"/>
  <c r="E61" i="1"/>
  <c r="K61" i="1" s="1"/>
  <c r="K70" i="1"/>
  <c r="D43" i="1"/>
  <c r="J43" i="1" s="1"/>
  <c r="P43" i="1" s="1"/>
  <c r="F51" i="1"/>
  <c r="J51" i="1"/>
  <c r="P51" i="1" s="1"/>
  <c r="F60" i="1"/>
  <c r="J60" i="1"/>
  <c r="P60" i="1" s="1"/>
  <c r="I43" i="1"/>
  <c r="F46" i="1"/>
  <c r="F63" i="1"/>
  <c r="L46" i="1"/>
  <c r="F64" i="1"/>
  <c r="L45" i="1"/>
  <c r="L63" i="1"/>
  <c r="K47" i="1"/>
  <c r="I58" i="1"/>
  <c r="F52" i="1"/>
  <c r="F70" i="1"/>
  <c r="M37" i="8"/>
  <c r="R36" i="8"/>
  <c r="N36" i="8"/>
  <c r="F38" i="8"/>
  <c r="F72" i="8" s="1"/>
  <c r="J38" i="8"/>
  <c r="P14" i="8"/>
  <c r="C38" i="8"/>
  <c r="C72" i="8" s="1"/>
  <c r="G38" i="8"/>
  <c r="H36" i="8"/>
  <c r="D38" i="8"/>
  <c r="O108" i="8"/>
  <c r="E37" i="8"/>
  <c r="B7" i="4"/>
  <c r="Q67" i="1" l="1"/>
  <c r="L67" i="1"/>
  <c r="N70" i="1"/>
  <c r="N71" i="1" s="1"/>
  <c r="N49" i="1"/>
  <c r="N50" i="1" s="1"/>
  <c r="S36" i="8"/>
  <c r="M38" i="8"/>
  <c r="E38" i="8"/>
  <c r="P54" i="1"/>
  <c r="L49" i="1"/>
  <c r="N47" i="1"/>
  <c r="P48" i="1"/>
  <c r="Q48" i="1" s="1"/>
  <c r="L48" i="1"/>
  <c r="N54" i="1"/>
  <c r="Q46" i="1"/>
  <c r="K59" i="1"/>
  <c r="P71" i="1"/>
  <c r="Q70" i="1"/>
  <c r="N52" i="1"/>
  <c r="P52" i="1"/>
  <c r="Q45" i="1"/>
  <c r="P47" i="1"/>
  <c r="Q63" i="1"/>
  <c r="P50" i="1"/>
  <c r="L52" i="1"/>
  <c r="P62" i="1"/>
  <c r="Q61" i="1"/>
  <c r="P44" i="1"/>
  <c r="P68" i="1"/>
  <c r="Q66" i="1"/>
  <c r="N64" i="1"/>
  <c r="N65" i="1" s="1"/>
  <c r="P64" i="1"/>
  <c r="Q69" i="1"/>
  <c r="N68" i="1"/>
  <c r="J55" i="1"/>
  <c r="F55" i="1"/>
  <c r="L64" i="1"/>
  <c r="P59" i="1"/>
  <c r="Q58" i="1"/>
  <c r="Q59" i="1" s="1"/>
  <c r="N60" i="1"/>
  <c r="N62" i="1" s="1"/>
  <c r="L60" i="1"/>
  <c r="N43" i="1"/>
  <c r="N44" i="1" s="1"/>
  <c r="L43" i="1"/>
  <c r="L61" i="1"/>
  <c r="K62" i="1"/>
  <c r="K71" i="1"/>
  <c r="L70" i="1"/>
  <c r="F43" i="1"/>
  <c r="F61" i="1"/>
  <c r="N51" i="1"/>
  <c r="L51" i="1"/>
  <c r="J71" i="1"/>
  <c r="H38" i="8"/>
  <c r="L37" i="8"/>
  <c r="I38" i="8"/>
  <c r="H37" i="8"/>
  <c r="K37" i="8"/>
  <c r="A8" i="4"/>
  <c r="B8" i="4" s="1"/>
  <c r="Q49" i="1" l="1"/>
  <c r="Q54" i="1"/>
  <c r="Q68" i="1"/>
  <c r="Q52" i="1"/>
  <c r="L38" i="8"/>
  <c r="N38" i="8"/>
  <c r="K38" i="8"/>
  <c r="I72" i="8"/>
  <c r="N53" i="1"/>
  <c r="L71" i="1"/>
  <c r="Q50" i="1"/>
  <c r="Q47" i="1"/>
  <c r="Q43" i="1"/>
  <c r="Q44" i="1" s="1"/>
  <c r="N55" i="1"/>
  <c r="N56" i="1" s="1"/>
  <c r="P55" i="1"/>
  <c r="L55" i="1"/>
  <c r="Q71" i="1"/>
  <c r="Q60" i="1"/>
  <c r="Q62" i="1" s="1"/>
  <c r="Q51" i="1"/>
  <c r="Q64" i="1"/>
  <c r="Q65" i="1" s="1"/>
  <c r="P65" i="1"/>
  <c r="P53" i="1"/>
  <c r="R37" i="8"/>
  <c r="P37" i="8"/>
  <c r="N37" i="8"/>
  <c r="C35" i="4"/>
  <c r="C28" i="4"/>
  <c r="F35" i="4"/>
  <c r="F28" i="4"/>
  <c r="C7" i="4"/>
  <c r="A9" i="4"/>
  <c r="B9" i="4" s="1"/>
  <c r="Q53" i="1" l="1"/>
  <c r="Q55" i="1"/>
  <c r="Q56" i="1" s="1"/>
  <c r="P56" i="1"/>
  <c r="P38" i="8"/>
  <c r="P72" i="8" s="1"/>
  <c r="S37" i="8"/>
  <c r="S38" i="8" s="1"/>
  <c r="S72" i="8" s="1"/>
  <c r="S74" i="8" s="1"/>
  <c r="F96" i="8" s="1"/>
  <c r="F97" i="8" s="1"/>
  <c r="R38" i="8"/>
  <c r="L72" i="8"/>
  <c r="D7" i="4"/>
  <c r="F29" i="4"/>
  <c r="C29" i="4"/>
  <c r="F36" i="4"/>
  <c r="C36" i="4"/>
  <c r="A10" i="4"/>
  <c r="B10" i="4" s="1"/>
  <c r="F7" i="4"/>
  <c r="R72" i="8" l="1"/>
  <c r="R76" i="8" s="1"/>
  <c r="E7" i="4"/>
  <c r="I98" i="8"/>
  <c r="F37" i="4"/>
  <c r="C37" i="4"/>
  <c r="F30" i="4"/>
  <c r="C30" i="4"/>
  <c r="F9" i="4"/>
  <c r="C9" i="4"/>
  <c r="F8" i="4"/>
  <c r="C8" i="4"/>
  <c r="A11" i="4"/>
  <c r="B11" i="4" s="1"/>
  <c r="O36" i="1"/>
  <c r="O37" i="1" s="1"/>
  <c r="G36" i="1"/>
  <c r="D36" i="1"/>
  <c r="C33" i="9" s="1"/>
  <c r="C34" i="9" s="1"/>
  <c r="E34" i="9" s="1"/>
  <c r="E36" i="9" s="1"/>
  <c r="H36" i="1"/>
  <c r="E36" i="1"/>
  <c r="C21" i="9" s="1"/>
  <c r="E21" i="9" s="1"/>
  <c r="C37" i="1"/>
  <c r="C73" i="1" s="1"/>
  <c r="E37" i="9" l="1"/>
  <c r="E38" i="9" s="1"/>
  <c r="B59" i="4"/>
  <c r="G7" i="4"/>
  <c r="H72" i="1"/>
  <c r="E39" i="1"/>
  <c r="E72" i="1" s="1"/>
  <c r="D39" i="1"/>
  <c r="J39" i="1" s="1"/>
  <c r="G72" i="1"/>
  <c r="F31" i="4"/>
  <c r="C31" i="4"/>
  <c r="D9" i="4"/>
  <c r="F36" i="1"/>
  <c r="D37" i="1"/>
  <c r="E37" i="1"/>
  <c r="G37" i="1"/>
  <c r="H37" i="1"/>
  <c r="I36" i="1"/>
  <c r="C10" i="4"/>
  <c r="F10" i="4"/>
  <c r="A12" i="4"/>
  <c r="A13" i="4" s="1"/>
  <c r="A14" i="4" s="1"/>
  <c r="B14" i="4" s="1"/>
  <c r="F14" i="4" s="1"/>
  <c r="D8" i="4"/>
  <c r="E8" i="4" s="1"/>
  <c r="K36" i="1"/>
  <c r="J36" i="1"/>
  <c r="N39" i="1" l="1"/>
  <c r="P39" i="1"/>
  <c r="E9" i="4"/>
  <c r="H73" i="1"/>
  <c r="E40" i="1"/>
  <c r="D72" i="1"/>
  <c r="J72" i="1" s="1"/>
  <c r="D40" i="1"/>
  <c r="J40" i="1" s="1"/>
  <c r="G73" i="1"/>
  <c r="K72" i="1"/>
  <c r="I72" i="1"/>
  <c r="K39" i="1"/>
  <c r="F39" i="1"/>
  <c r="F32" i="4"/>
  <c r="C32" i="4"/>
  <c r="D10" i="4"/>
  <c r="J37" i="1"/>
  <c r="N37" i="1" s="1"/>
  <c r="I37" i="1"/>
  <c r="F37" i="1"/>
  <c r="K37" i="1"/>
  <c r="L36" i="1"/>
  <c r="A15" i="4"/>
  <c r="B15" i="4" s="1"/>
  <c r="C11" i="4"/>
  <c r="F11" i="4"/>
  <c r="H71" i="1"/>
  <c r="G71" i="1"/>
  <c r="E71" i="1"/>
  <c r="D71" i="1"/>
  <c r="C71" i="1"/>
  <c r="J68" i="1"/>
  <c r="L68" i="1" s="1"/>
  <c r="H68" i="1"/>
  <c r="G68" i="1"/>
  <c r="E68" i="1"/>
  <c r="D68" i="1"/>
  <c r="C68" i="1"/>
  <c r="J65" i="1"/>
  <c r="G65" i="1"/>
  <c r="E65" i="1"/>
  <c r="D65" i="1"/>
  <c r="C65" i="1"/>
  <c r="J62" i="1"/>
  <c r="L62" i="1" s="1"/>
  <c r="H62" i="1"/>
  <c r="G62" i="1"/>
  <c r="E62" i="1"/>
  <c r="D62" i="1"/>
  <c r="C62" i="1"/>
  <c r="J59" i="1"/>
  <c r="L59" i="1" s="1"/>
  <c r="H59" i="1"/>
  <c r="G59" i="1"/>
  <c r="E59" i="1"/>
  <c r="D59" i="1"/>
  <c r="C59" i="1"/>
  <c r="J56" i="1"/>
  <c r="L56" i="1" s="1"/>
  <c r="H56" i="1"/>
  <c r="G56" i="1"/>
  <c r="E56" i="1"/>
  <c r="D56" i="1"/>
  <c r="C56" i="1"/>
  <c r="J53" i="1"/>
  <c r="L53" i="1" s="1"/>
  <c r="H53" i="1"/>
  <c r="G53" i="1"/>
  <c r="E53" i="1"/>
  <c r="D53" i="1"/>
  <c r="C53" i="1"/>
  <c r="H50" i="1"/>
  <c r="G50" i="1"/>
  <c r="E50" i="1"/>
  <c r="D50" i="1"/>
  <c r="C50" i="1"/>
  <c r="J47" i="1"/>
  <c r="L47" i="1" s="1"/>
  <c r="H47" i="1"/>
  <c r="G47" i="1"/>
  <c r="E47" i="1"/>
  <c r="D47" i="1"/>
  <c r="C47" i="1"/>
  <c r="J44" i="1"/>
  <c r="L44" i="1" s="1"/>
  <c r="H44" i="1"/>
  <c r="G44" i="1"/>
  <c r="E44" i="1"/>
  <c r="D44" i="1"/>
  <c r="C44" i="1"/>
  <c r="H41" i="1"/>
  <c r="G41" i="1"/>
  <c r="C41" i="1"/>
  <c r="H38" i="1"/>
  <c r="G38" i="1"/>
  <c r="E38" i="1"/>
  <c r="D38" i="1"/>
  <c r="C38" i="1"/>
  <c r="F72" i="1" l="1"/>
  <c r="P37" i="1"/>
  <c r="Q37" i="1" s="1"/>
  <c r="I47" i="1"/>
  <c r="I56" i="1"/>
  <c r="F62" i="1"/>
  <c r="N40" i="1"/>
  <c r="N41" i="1" s="1"/>
  <c r="P40" i="1"/>
  <c r="I50" i="1"/>
  <c r="F53" i="1"/>
  <c r="I68" i="1"/>
  <c r="Q39" i="1"/>
  <c r="E10" i="4"/>
  <c r="F15" i="4"/>
  <c r="C15" i="4"/>
  <c r="F40" i="1"/>
  <c r="K40" i="1"/>
  <c r="L40" i="1" s="1"/>
  <c r="D41" i="1"/>
  <c r="D74" i="1" s="1"/>
  <c r="E41" i="1"/>
  <c r="L72" i="1"/>
  <c r="D73" i="1"/>
  <c r="J73" i="1" s="1"/>
  <c r="L65" i="1"/>
  <c r="I71" i="1"/>
  <c r="I73" i="1"/>
  <c r="E73" i="1"/>
  <c r="J41" i="1"/>
  <c r="F71" i="1"/>
  <c r="L39" i="1"/>
  <c r="F68" i="1"/>
  <c r="I65" i="1"/>
  <c r="F65" i="1"/>
  <c r="I62" i="1"/>
  <c r="I59" i="1"/>
  <c r="F59" i="1"/>
  <c r="F56" i="1"/>
  <c r="I53" i="1"/>
  <c r="F50" i="1"/>
  <c r="F47" i="1"/>
  <c r="H74" i="1"/>
  <c r="I44" i="1"/>
  <c r="I41" i="1"/>
  <c r="G74" i="1"/>
  <c r="F44" i="1"/>
  <c r="C74" i="1"/>
  <c r="L37" i="1"/>
  <c r="K38" i="1"/>
  <c r="C14" i="4"/>
  <c r="D11" i="4"/>
  <c r="E11" i="4" s="1"/>
  <c r="A16" i="4"/>
  <c r="B16" i="4" s="1"/>
  <c r="I38" i="1"/>
  <c r="F38" i="1"/>
  <c r="D95" i="1"/>
  <c r="N73" i="1" l="1"/>
  <c r="P73" i="1"/>
  <c r="P41" i="1"/>
  <c r="Q40" i="1"/>
  <c r="Q41" i="1" s="1"/>
  <c r="F41" i="1"/>
  <c r="D15" i="4"/>
  <c r="E15" i="4" s="1"/>
  <c r="F16" i="4"/>
  <c r="C16" i="4"/>
  <c r="E74" i="1"/>
  <c r="K41" i="1"/>
  <c r="L41" i="1" s="1"/>
  <c r="F73" i="1"/>
  <c r="K73" i="1"/>
  <c r="I74" i="1"/>
  <c r="F74" i="1"/>
  <c r="A17" i="4"/>
  <c r="B17" i="4" s="1"/>
  <c r="D14" i="4"/>
  <c r="O104" i="1"/>
  <c r="E14" i="4" l="1"/>
  <c r="F17" i="4"/>
  <c r="C17" i="4"/>
  <c r="D16" i="4"/>
  <c r="E16" i="4" s="1"/>
  <c r="L73" i="1"/>
  <c r="K74" i="1"/>
  <c r="A18" i="4"/>
  <c r="B18" i="4" s="1"/>
  <c r="G15" i="4"/>
  <c r="N108" i="1"/>
  <c r="G14" i="4" l="1"/>
  <c r="BV15" i="4"/>
  <c r="BM15" i="4"/>
  <c r="CE15" i="4"/>
  <c r="CB15" i="4"/>
  <c r="BY15" i="4"/>
  <c r="BJ15" i="4"/>
  <c r="BG15" i="4"/>
  <c r="BA15" i="4"/>
  <c r="AU15" i="4"/>
  <c r="BD15" i="4"/>
  <c r="AO15" i="4"/>
  <c r="W15" i="4"/>
  <c r="Q15" i="4"/>
  <c r="AL15" i="4"/>
  <c r="AI15" i="4"/>
  <c r="AF15" i="4"/>
  <c r="K15" i="4"/>
  <c r="AX15" i="4"/>
  <c r="AR15" i="4"/>
  <c r="AC15" i="4"/>
  <c r="BP15" i="4"/>
  <c r="T15" i="4"/>
  <c r="N15" i="4"/>
  <c r="BS15" i="4"/>
  <c r="Z15" i="4"/>
  <c r="G16" i="4"/>
  <c r="D17" i="4"/>
  <c r="E17" i="4" s="1"/>
  <c r="G17" i="4" s="1"/>
  <c r="C18" i="4"/>
  <c r="F18" i="4"/>
  <c r="A19" i="4"/>
  <c r="A20" i="4" s="1"/>
  <c r="A21" i="4" s="1"/>
  <c r="B21" i="4" s="1"/>
  <c r="J13" i="1"/>
  <c r="G13" i="1"/>
  <c r="G11" i="1" s="1"/>
  <c r="D13" i="1"/>
  <c r="D11" i="1" s="1"/>
  <c r="J11" i="1" l="1"/>
  <c r="CE14" i="4"/>
  <c r="CB14" i="4"/>
  <c r="BY14" i="4"/>
  <c r="BS14" i="4"/>
  <c r="BP14" i="4"/>
  <c r="BV14" i="4"/>
  <c r="BM14" i="4"/>
  <c r="BD14" i="4"/>
  <c r="AX14" i="4"/>
  <c r="BJ14" i="4"/>
  <c r="BG14" i="4"/>
  <c r="Z14" i="4"/>
  <c r="T14" i="4"/>
  <c r="N14" i="4"/>
  <c r="AF14" i="4"/>
  <c r="AC14" i="4"/>
  <c r="AL14" i="4"/>
  <c r="AU14" i="4"/>
  <c r="AI14" i="4"/>
  <c r="K14" i="4"/>
  <c r="BA14" i="4"/>
  <c r="AO14" i="4"/>
  <c r="W14" i="4"/>
  <c r="AR14" i="4"/>
  <c r="Q14" i="4"/>
  <c r="CE16" i="4"/>
  <c r="CB16" i="4"/>
  <c r="BY16" i="4"/>
  <c r="BS16" i="4"/>
  <c r="BD16" i="4"/>
  <c r="AX16" i="4"/>
  <c r="AR16" i="4"/>
  <c r="AL16" i="4"/>
  <c r="AI16" i="4"/>
  <c r="Z16" i="4"/>
  <c r="T16" i="4"/>
  <c r="BV16" i="4"/>
  <c r="BA16" i="4"/>
  <c r="AF16" i="4"/>
  <c r="AC16" i="4"/>
  <c r="K16" i="4"/>
  <c r="W16" i="4"/>
  <c r="Q16" i="4"/>
  <c r="BM16" i="4"/>
  <c r="BJ16" i="4"/>
  <c r="BP16" i="4"/>
  <c r="AO16" i="4"/>
  <c r="N16" i="4"/>
  <c r="BG16" i="4"/>
  <c r="AU16" i="4"/>
  <c r="BP17" i="4"/>
  <c r="BM17" i="4"/>
  <c r="CE17" i="4"/>
  <c r="CB17" i="4"/>
  <c r="BY17" i="4"/>
  <c r="BS17" i="4"/>
  <c r="BJ17" i="4"/>
  <c r="BG17" i="4"/>
  <c r="BA17" i="4"/>
  <c r="BV17" i="4"/>
  <c r="AO17" i="4"/>
  <c r="AL17" i="4"/>
  <c r="AU17" i="4"/>
  <c r="K17" i="4"/>
  <c r="BD17" i="4"/>
  <c r="Z17" i="4"/>
  <c r="T17" i="4"/>
  <c r="N17" i="4"/>
  <c r="AX17" i="4"/>
  <c r="AR17" i="4"/>
  <c r="AI17" i="4"/>
  <c r="AF17" i="4"/>
  <c r="AC17" i="4"/>
  <c r="W17" i="4"/>
  <c r="Q17" i="4"/>
  <c r="D18" i="4"/>
  <c r="E18" i="4" s="1"/>
  <c r="F21" i="4"/>
  <c r="C21" i="4"/>
  <c r="A22" i="4"/>
  <c r="B22" i="4" s="1"/>
  <c r="M105" i="1"/>
  <c r="O105" i="1" s="1"/>
  <c r="M106" i="1"/>
  <c r="O106" i="1" s="1"/>
  <c r="M107" i="1"/>
  <c r="O107" i="1" s="1"/>
  <c r="J108" i="1"/>
  <c r="G108" i="1"/>
  <c r="B57" i="4" l="1"/>
  <c r="F22" i="4"/>
  <c r="F23" i="4" s="1"/>
  <c r="F24" i="4" s="1"/>
  <c r="F25" i="4" s="1"/>
  <c r="C22" i="4"/>
  <c r="D21" i="4"/>
  <c r="E21" i="4"/>
  <c r="G21" i="4" s="1"/>
  <c r="A23" i="4"/>
  <c r="B23" i="4" s="1"/>
  <c r="D23" i="4" s="1"/>
  <c r="G18" i="4"/>
  <c r="M108" i="1"/>
  <c r="D108" i="1"/>
  <c r="C108" i="1"/>
  <c r="BV18" i="4" l="1"/>
  <c r="BM18" i="4"/>
  <c r="CE18" i="4"/>
  <c r="CB18" i="4"/>
  <c r="BD18" i="4"/>
  <c r="BJ18" i="4"/>
  <c r="AU18" i="4"/>
  <c r="AR18" i="4"/>
  <c r="AI18" i="4"/>
  <c r="AL18" i="4"/>
  <c r="AC18" i="4"/>
  <c r="N18" i="4"/>
  <c r="BY18" i="4"/>
  <c r="BS18" i="4"/>
  <c r="BP18" i="4"/>
  <c r="AX18" i="4"/>
  <c r="W18" i="4"/>
  <c r="Q18" i="4"/>
  <c r="AF18" i="4"/>
  <c r="AO18" i="4"/>
  <c r="BG18" i="4"/>
  <c r="BA18" i="4"/>
  <c r="K18" i="4"/>
  <c r="Z18" i="4"/>
  <c r="T18" i="4"/>
  <c r="CE21" i="4"/>
  <c r="CB21" i="4"/>
  <c r="BS21" i="4"/>
  <c r="BP21" i="4"/>
  <c r="BY21" i="4"/>
  <c r="BG21" i="4"/>
  <c r="BA21" i="4"/>
  <c r="AL21" i="4"/>
  <c r="BV21" i="4"/>
  <c r="Z21" i="4"/>
  <c r="BM21" i="4"/>
  <c r="AU21" i="4"/>
  <c r="AO21" i="4"/>
  <c r="AF21" i="4"/>
  <c r="T21" i="4"/>
  <c r="BJ21" i="4"/>
  <c r="BD21" i="4"/>
  <c r="AC21" i="4"/>
  <c r="Q21" i="4"/>
  <c r="N21" i="4"/>
  <c r="K21" i="4"/>
  <c r="AI21" i="4"/>
  <c r="W21" i="4"/>
  <c r="AR21" i="4"/>
  <c r="AX21" i="4"/>
  <c r="B60" i="4"/>
  <c r="C57" i="4"/>
  <c r="F39" i="4"/>
  <c r="C23" i="4"/>
  <c r="D22" i="4"/>
  <c r="E22" i="4" s="1"/>
  <c r="F38" i="4"/>
  <c r="A24" i="4"/>
  <c r="B24" i="4" s="1"/>
  <c r="D24" i="4" s="1"/>
  <c r="J50" i="1"/>
  <c r="L50" i="1" s="1"/>
  <c r="J38" i="1"/>
  <c r="J74" i="1" l="1"/>
  <c r="L74" i="1" s="1"/>
  <c r="J57" i="4"/>
  <c r="C59" i="4"/>
  <c r="J59" i="4" s="1"/>
  <c r="C58" i="4"/>
  <c r="J58" i="4" s="1"/>
  <c r="E62" i="4"/>
  <c r="E23" i="4"/>
  <c r="C24" i="4"/>
  <c r="L38" i="1"/>
  <c r="G22" i="4"/>
  <c r="A25" i="4"/>
  <c r="B25" i="4" s="1"/>
  <c r="D25" i="4" s="1"/>
  <c r="P36" i="1"/>
  <c r="P72" i="1" s="1"/>
  <c r="N36" i="1"/>
  <c r="N72" i="1" s="1"/>
  <c r="BV22" i="4" l="1"/>
  <c r="BP22" i="4"/>
  <c r="BM22" i="4"/>
  <c r="BY22" i="4"/>
  <c r="BD22" i="4"/>
  <c r="BS22" i="4"/>
  <c r="BJ22" i="4"/>
  <c r="AR22" i="4"/>
  <c r="AI22" i="4"/>
  <c r="BA22" i="4"/>
  <c r="AC22" i="4"/>
  <c r="Q22" i="4"/>
  <c r="CE22" i="4"/>
  <c r="BG22" i="4"/>
  <c r="AL22" i="4"/>
  <c r="W22" i="4"/>
  <c r="AU22" i="4"/>
  <c r="CB22" i="4"/>
  <c r="AO22" i="4"/>
  <c r="Z22" i="4"/>
  <c r="T22" i="4"/>
  <c r="AX22" i="4"/>
  <c r="AF22" i="4"/>
  <c r="K22" i="4"/>
  <c r="N22" i="4"/>
  <c r="J60" i="4"/>
  <c r="J61" i="4" s="1"/>
  <c r="C60" i="4"/>
  <c r="D63" i="4" s="1"/>
  <c r="G23" i="4"/>
  <c r="E24" i="4"/>
  <c r="C25" i="4"/>
  <c r="N38" i="1"/>
  <c r="N74" i="1" s="1"/>
  <c r="Q36" i="1"/>
  <c r="P38" i="1"/>
  <c r="A26" i="4"/>
  <c r="A27" i="4" s="1"/>
  <c r="A28" i="4" s="1"/>
  <c r="B28" i="4" s="1"/>
  <c r="N15" i="1"/>
  <c r="N14" i="1"/>
  <c r="N13" i="1"/>
  <c r="N12" i="1"/>
  <c r="P74" i="1" l="1"/>
  <c r="P78" i="1" s="1"/>
  <c r="Q38" i="1"/>
  <c r="Q74" i="1" s="1"/>
  <c r="Q76" i="1" s="1"/>
  <c r="Q72" i="1"/>
  <c r="E25" i="4"/>
  <c r="BY23" i="4"/>
  <c r="BV23" i="4"/>
  <c r="BS23" i="4"/>
  <c r="BM23" i="4"/>
  <c r="CE23" i="4"/>
  <c r="CB23" i="4"/>
  <c r="BD23" i="4"/>
  <c r="AX23" i="4"/>
  <c r="AU23" i="4"/>
  <c r="BG23" i="4"/>
  <c r="AF23" i="4"/>
  <c r="T23" i="4"/>
  <c r="AO23" i="4"/>
  <c r="AC23" i="4"/>
  <c r="Q23" i="4"/>
  <c r="N23" i="4"/>
  <c r="K23" i="4"/>
  <c r="BP23" i="4"/>
  <c r="Z23" i="4"/>
  <c r="BA23" i="4"/>
  <c r="W23" i="4"/>
  <c r="AR23" i="4"/>
  <c r="AL23" i="4"/>
  <c r="BJ23" i="4"/>
  <c r="AI23" i="4"/>
  <c r="C38" i="4"/>
  <c r="C39" i="4"/>
  <c r="G25" i="4"/>
  <c r="A29" i="4"/>
  <c r="B29" i="4" s="1"/>
  <c r="D28" i="4"/>
  <c r="E28" i="4" s="1"/>
  <c r="G24" i="4"/>
  <c r="Q73" i="1"/>
  <c r="BY25" i="4" l="1"/>
  <c r="BY39" i="4" s="1"/>
  <c r="BM25" i="4"/>
  <c r="BS25" i="4"/>
  <c r="BP25" i="4"/>
  <c r="BJ25" i="4"/>
  <c r="BJ39" i="4" s="1"/>
  <c r="BD25" i="4"/>
  <c r="AX25" i="4"/>
  <c r="AU25" i="4"/>
  <c r="AU39" i="4" s="1"/>
  <c r="CB25" i="4"/>
  <c r="CB39" i="4" s="1"/>
  <c r="AR25" i="4"/>
  <c r="AL25" i="4"/>
  <c r="AI25" i="4"/>
  <c r="AI39" i="4" s="1"/>
  <c r="T25" i="4"/>
  <c r="T39" i="4" s="1"/>
  <c r="Q25" i="4"/>
  <c r="BV25" i="4"/>
  <c r="BV39" i="4" s="1"/>
  <c r="BA25" i="4"/>
  <c r="AO25" i="4"/>
  <c r="AC25" i="4"/>
  <c r="W25" i="4"/>
  <c r="W39" i="4" s="1"/>
  <c r="BG25" i="4"/>
  <c r="AF25" i="4"/>
  <c r="Z25" i="4"/>
  <c r="CE25" i="4"/>
  <c r="CE39" i="4" s="1"/>
  <c r="K25" i="4"/>
  <c r="N25" i="4"/>
  <c r="CE24" i="4"/>
  <c r="CB24" i="4"/>
  <c r="BV24" i="4"/>
  <c r="BS24" i="4"/>
  <c r="BP24" i="4"/>
  <c r="BY24" i="4"/>
  <c r="BG24" i="4"/>
  <c r="BA24" i="4"/>
  <c r="BD24" i="4"/>
  <c r="W24" i="4"/>
  <c r="N24" i="4"/>
  <c r="K24" i="4"/>
  <c r="AL24" i="4"/>
  <c r="AF24" i="4"/>
  <c r="Z24" i="4"/>
  <c r="BM24" i="4"/>
  <c r="AX24" i="4"/>
  <c r="AR24" i="4"/>
  <c r="AU24" i="4"/>
  <c r="AI24" i="4"/>
  <c r="AC24" i="4"/>
  <c r="Q24" i="4"/>
  <c r="BJ24" i="4"/>
  <c r="T24" i="4"/>
  <c r="AO24" i="4"/>
  <c r="D96" i="1"/>
  <c r="D97" i="1" s="1"/>
  <c r="A30" i="4"/>
  <c r="B30" i="4" s="1"/>
  <c r="D29" i="4"/>
  <c r="E29" i="4" s="1"/>
  <c r="D98" i="1" l="1"/>
  <c r="G98" i="1" s="1"/>
  <c r="N39" i="4"/>
  <c r="Z39" i="4"/>
  <c r="BP39" i="4"/>
  <c r="AF39" i="4"/>
  <c r="AC39" i="4"/>
  <c r="AL39" i="4"/>
  <c r="AX39" i="4"/>
  <c r="BS39" i="4"/>
  <c r="BA39" i="4"/>
  <c r="K39" i="4"/>
  <c r="BG39" i="4"/>
  <c r="AO39" i="4"/>
  <c r="Q39" i="4"/>
  <c r="AR39" i="4"/>
  <c r="BD39" i="4"/>
  <c r="BM39" i="4"/>
  <c r="G29" i="4"/>
  <c r="G28" i="4"/>
  <c r="A31" i="4"/>
  <c r="B31" i="4" s="1"/>
  <c r="D30" i="4"/>
  <c r="E30" i="4" s="1"/>
  <c r="A32" i="4" l="1"/>
  <c r="B32" i="4" s="1"/>
  <c r="D31" i="4"/>
  <c r="E31" i="4" s="1"/>
  <c r="G31" i="4" l="1"/>
  <c r="A33" i="4"/>
  <c r="A34" i="4" s="1"/>
  <c r="A35" i="4" s="1"/>
  <c r="B35" i="4" s="1"/>
  <c r="D32" i="4"/>
  <c r="E32" i="4" s="1"/>
  <c r="G30" i="4"/>
  <c r="G32" i="4" l="1"/>
  <c r="D35" i="4"/>
  <c r="E35" i="4" s="1"/>
  <c r="A36" i="4"/>
  <c r="B36" i="4" s="1"/>
  <c r="A37" i="4" l="1"/>
  <c r="B37" i="4" s="1"/>
  <c r="D36" i="4"/>
  <c r="E36" i="4" s="1"/>
  <c r="G36" i="4" l="1"/>
  <c r="G35" i="4"/>
  <c r="D37" i="4"/>
  <c r="E37" i="4" s="1"/>
  <c r="B38" i="4"/>
  <c r="D39" i="4" l="1"/>
  <c r="D38" i="4"/>
  <c r="G37" i="4" l="1"/>
  <c r="E38" i="4"/>
  <c r="E39" i="4"/>
  <c r="C40" i="4" l="1"/>
  <c r="G38" i="4"/>
  <c r="G39" i="4"/>
  <c r="G41" i="4" l="1"/>
  <c r="K41" i="4" s="1"/>
  <c r="P21" i="4"/>
  <c r="CD35" i="4"/>
  <c r="BU35" i="4"/>
  <c r="CD30" i="4"/>
  <c r="BO32" i="4"/>
  <c r="AT28" i="4"/>
  <c r="F41" i="4"/>
  <c r="BL36" i="4"/>
  <c r="BI36" i="4"/>
  <c r="CA30" i="4"/>
  <c r="AN36" i="4"/>
  <c r="AB11" i="4"/>
  <c r="P29" i="4"/>
  <c r="AT35" i="4"/>
  <c r="M30" i="4"/>
  <c r="BL8" i="4"/>
  <c r="AW35" i="4"/>
  <c r="BU29" i="4"/>
  <c r="V10" i="4"/>
  <c r="P17" i="4"/>
  <c r="BX17" i="4"/>
  <c r="J14" i="4"/>
  <c r="BF17" i="4"/>
  <c r="CD8" i="4"/>
  <c r="BU7" i="4"/>
  <c r="P7" i="4"/>
  <c r="J10" i="4"/>
  <c r="AE11" i="4"/>
  <c r="J11" i="4"/>
  <c r="AE7" i="4"/>
  <c r="M10" i="4"/>
  <c r="M29" i="4"/>
  <c r="Y29" i="4"/>
  <c r="BI14" i="4"/>
  <c r="CD17" i="4"/>
  <c r="AE18" i="4"/>
  <c r="AN18" i="4"/>
  <c r="BO29" i="4"/>
  <c r="AQ35" i="4"/>
  <c r="CA7" i="4"/>
  <c r="S29" i="4"/>
  <c r="M37" i="4"/>
  <c r="AK11" i="4"/>
  <c r="J9" i="4"/>
  <c r="BF11" i="4"/>
  <c r="AN35" i="4"/>
  <c r="P35" i="4"/>
  <c r="P15" i="4"/>
  <c r="BU17" i="4"/>
  <c r="J16" i="4"/>
  <c r="BC17" i="4"/>
  <c r="J21" i="4"/>
  <c r="AZ11" i="4"/>
  <c r="AH29" i="4"/>
  <c r="BO35" i="4"/>
  <c r="M11" i="4"/>
  <c r="P31" i="4"/>
  <c r="J29" i="4"/>
  <c r="M14" i="4"/>
  <c r="BI17" i="4"/>
  <c r="CA14" i="4"/>
  <c r="AH17" i="4"/>
  <c r="CD18" i="4"/>
  <c r="Y18" i="4"/>
  <c r="M22" i="4"/>
  <c r="AK23" i="4"/>
  <c r="AQ23" i="4"/>
  <c r="BU23" i="4"/>
  <c r="V23" i="4"/>
  <c r="AH23" i="4"/>
  <c r="J23" i="4"/>
  <c r="CA23" i="4"/>
  <c r="BF23" i="4"/>
  <c r="AN24" i="4"/>
  <c r="J24" i="4"/>
  <c r="BR24" i="4"/>
  <c r="J25" i="4"/>
  <c r="CC30" i="4"/>
  <c r="BZ30" i="4"/>
  <c r="BW35" i="4"/>
  <c r="BX35" i="4" s="1"/>
  <c r="BW31" i="4"/>
  <c r="BX31" i="4" s="1"/>
  <c r="BT32" i="4"/>
  <c r="BU32" i="4" s="1"/>
  <c r="BT30" i="4"/>
  <c r="BU30" i="4" s="1"/>
  <c r="BQ30" i="4"/>
  <c r="BR30" i="4" s="1"/>
  <c r="BN35" i="4"/>
  <c r="BK35" i="4"/>
  <c r="BL35" i="4" s="1"/>
  <c r="BK31" i="4"/>
  <c r="BL31" i="4" s="1"/>
  <c r="BK28" i="4"/>
  <c r="BL28" i="4" s="1"/>
  <c r="CC35" i="4"/>
  <c r="CC31" i="4"/>
  <c r="CD31" i="4" s="1"/>
  <c r="CC28" i="4"/>
  <c r="CD28" i="4" s="1"/>
  <c r="BZ35" i="4"/>
  <c r="CA35" i="4" s="1"/>
  <c r="BZ31" i="4"/>
  <c r="CA31" i="4" s="1"/>
  <c r="BZ28" i="4"/>
  <c r="CA28" i="4" s="1"/>
  <c r="BW36" i="4"/>
  <c r="BX36" i="4" s="1"/>
  <c r="BW29" i="4"/>
  <c r="BX29" i="4" s="1"/>
  <c r="BW7" i="4"/>
  <c r="BX7" i="4" s="1"/>
  <c r="BT37" i="4"/>
  <c r="BU37" i="4" s="1"/>
  <c r="BT28" i="4"/>
  <c r="BU28" i="4" s="1"/>
  <c r="BQ35" i="4"/>
  <c r="BR35" i="4" s="1"/>
  <c r="BQ31" i="4"/>
  <c r="BR31" i="4" s="1"/>
  <c r="BQ28" i="4"/>
  <c r="BR28" i="4" s="1"/>
  <c r="BN36" i="4"/>
  <c r="BO36" i="4" s="1"/>
  <c r="BN31" i="4"/>
  <c r="BO31" i="4" s="1"/>
  <c r="BN28" i="4"/>
  <c r="BO28" i="4" s="1"/>
  <c r="BK36" i="4"/>
  <c r="CC29" i="4"/>
  <c r="CD29" i="4" s="1"/>
  <c r="BZ29" i="4"/>
  <c r="CA29" i="4" s="1"/>
  <c r="BW28" i="4"/>
  <c r="BX28" i="4" s="1"/>
  <c r="BT31" i="4"/>
  <c r="BU31" i="4" s="1"/>
  <c r="BT29" i="4"/>
  <c r="BQ37" i="4"/>
  <c r="BR37" i="4" s="1"/>
  <c r="BN37" i="4"/>
  <c r="BO37" i="4" s="1"/>
  <c r="BK29" i="4"/>
  <c r="BL29" i="4" s="1"/>
  <c r="BH35" i="4"/>
  <c r="BI35" i="4" s="1"/>
  <c r="BH31" i="4"/>
  <c r="BI31" i="4" s="1"/>
  <c r="BH28" i="4"/>
  <c r="BI28" i="4" s="1"/>
  <c r="BE36" i="4"/>
  <c r="BF36" i="4" s="1"/>
  <c r="BE29" i="4"/>
  <c r="BF29" i="4" s="1"/>
  <c r="BE7" i="4"/>
  <c r="BF7" i="4" s="1"/>
  <c r="BB37" i="4"/>
  <c r="BC37" i="4" s="1"/>
  <c r="BB28" i="4"/>
  <c r="BC28" i="4" s="1"/>
  <c r="AY36" i="4"/>
  <c r="AZ36" i="4" s="1"/>
  <c r="AY29" i="4"/>
  <c r="AZ29" i="4" s="1"/>
  <c r="AY7" i="4"/>
  <c r="CC37" i="4"/>
  <c r="CD37" i="4" s="1"/>
  <c r="BZ37" i="4"/>
  <c r="CA37" i="4" s="1"/>
  <c r="BW37" i="4"/>
  <c r="BX37" i="4" s="1"/>
  <c r="BW30" i="4"/>
  <c r="BX30" i="4" s="1"/>
  <c r="BT35" i="4"/>
  <c r="BQ32" i="4"/>
  <c r="BR32" i="4" s="1"/>
  <c r="BN30" i="4"/>
  <c r="BO30" i="4" s="1"/>
  <c r="BK37" i="4"/>
  <c r="BL37" i="4" s="1"/>
  <c r="BH36" i="4"/>
  <c r="BE32" i="4"/>
  <c r="BF32" i="4" s="1"/>
  <c r="BE30" i="4"/>
  <c r="BF30" i="4" s="1"/>
  <c r="BB35" i="4"/>
  <c r="BC35" i="4" s="1"/>
  <c r="BB31" i="4"/>
  <c r="BC31" i="4" s="1"/>
  <c r="AY32" i="4"/>
  <c r="AZ32" i="4" s="1"/>
  <c r="AY30" i="4"/>
  <c r="AZ30" i="4" s="1"/>
  <c r="AV35" i="4"/>
  <c r="AV31" i="4"/>
  <c r="AW31" i="4" s="1"/>
  <c r="AS29" i="4"/>
  <c r="AT29" i="4" s="1"/>
  <c r="AS7" i="4"/>
  <c r="AT7" i="4" s="1"/>
  <c r="AP37" i="4"/>
  <c r="AQ37" i="4" s="1"/>
  <c r="AP28" i="4"/>
  <c r="AQ28" i="4" s="1"/>
  <c r="AM35" i="4"/>
  <c r="AM31" i="4"/>
  <c r="AN31" i="4" s="1"/>
  <c r="AM28" i="4"/>
  <c r="AN28" i="4" s="1"/>
  <c r="AJ36" i="4"/>
  <c r="AK36" i="4" s="1"/>
  <c r="AJ29" i="4"/>
  <c r="AK29" i="4" s="1"/>
  <c r="AJ7" i="4"/>
  <c r="AG37" i="4"/>
  <c r="AH37" i="4" s="1"/>
  <c r="AG28" i="4"/>
  <c r="AH28" i="4" s="1"/>
  <c r="CC7" i="4"/>
  <c r="BQ29" i="4"/>
  <c r="BR29" i="4" s="1"/>
  <c r="BN32" i="4"/>
  <c r="BN29" i="4"/>
  <c r="BK32" i="4"/>
  <c r="BL32" i="4" s="1"/>
  <c r="BH37" i="4"/>
  <c r="BI37" i="4" s="1"/>
  <c r="BE31" i="4"/>
  <c r="BF31" i="4" s="1"/>
  <c r="BB32" i="4"/>
  <c r="BC32" i="4" s="1"/>
  <c r="AY37" i="4"/>
  <c r="AZ37" i="4" s="1"/>
  <c r="AY35" i="4"/>
  <c r="AZ35" i="4" s="1"/>
  <c r="AY28" i="4"/>
  <c r="AZ28" i="4" s="1"/>
  <c r="AV30" i="4"/>
  <c r="AW30" i="4" s="1"/>
  <c r="AV28" i="4"/>
  <c r="AW28" i="4" s="1"/>
  <c r="AS32" i="4"/>
  <c r="AT32" i="4" s="1"/>
  <c r="AS30" i="4"/>
  <c r="AT30" i="4" s="1"/>
  <c r="AM36" i="4"/>
  <c r="AM32" i="4"/>
  <c r="AN32" i="4" s="1"/>
  <c r="AM30" i="4"/>
  <c r="AN30" i="4" s="1"/>
  <c r="AG7" i="4"/>
  <c r="AH7" i="4" s="1"/>
  <c r="AH39" i="4" s="1"/>
  <c r="AD37" i="4"/>
  <c r="AE37" i="4" s="1"/>
  <c r="AD32" i="4"/>
  <c r="AE32" i="4" s="1"/>
  <c r="AD29" i="4"/>
  <c r="AE29" i="4" s="1"/>
  <c r="AD7" i="4"/>
  <c r="AA37" i="4"/>
  <c r="AB37" i="4" s="1"/>
  <c r="AA28" i="4"/>
  <c r="AB28" i="4" s="1"/>
  <c r="X36" i="4"/>
  <c r="Y36" i="4" s="1"/>
  <c r="X29" i="4"/>
  <c r="U32" i="4"/>
  <c r="V32" i="4" s="1"/>
  <c r="U30" i="4"/>
  <c r="V30" i="4" s="1"/>
  <c r="R35" i="4"/>
  <c r="S35" i="4" s="1"/>
  <c r="R31" i="4"/>
  <c r="S31" i="4" s="1"/>
  <c r="O36" i="4"/>
  <c r="P36" i="4" s="1"/>
  <c r="O31" i="4"/>
  <c r="CC32" i="4"/>
  <c r="CD32" i="4" s="1"/>
  <c r="BZ7" i="4"/>
  <c r="BT36" i="4"/>
  <c r="BU36" i="4" s="1"/>
  <c r="BQ36" i="4"/>
  <c r="BR36" i="4" s="1"/>
  <c r="BK7" i="4"/>
  <c r="BL7" i="4" s="1"/>
  <c r="BH32" i="4"/>
  <c r="BI32" i="4" s="1"/>
  <c r="BH30" i="4"/>
  <c r="BI30" i="4" s="1"/>
  <c r="BE37" i="4"/>
  <c r="BF37" i="4" s="1"/>
  <c r="BE35" i="4"/>
  <c r="BF35" i="4" s="1"/>
  <c r="BE28" i="4"/>
  <c r="BF28" i="4" s="1"/>
  <c r="BB36" i="4"/>
  <c r="BC36" i="4" s="1"/>
  <c r="BB29" i="4"/>
  <c r="BC29" i="4" s="1"/>
  <c r="BB7" i="4"/>
  <c r="AV36" i="4"/>
  <c r="AW36" i="4" s="1"/>
  <c r="AV32" i="4"/>
  <c r="AW32" i="4" s="1"/>
  <c r="AV7" i="4"/>
  <c r="AW7" i="4" s="1"/>
  <c r="AS37" i="4"/>
  <c r="AT37" i="4" s="1"/>
  <c r="AS28" i="4"/>
  <c r="AP35" i="4"/>
  <c r="AP31" i="4"/>
  <c r="AQ31" i="4" s="1"/>
  <c r="AJ37" i="4"/>
  <c r="AK37" i="4" s="1"/>
  <c r="AJ35" i="4"/>
  <c r="AK35" i="4" s="1"/>
  <c r="AJ31" i="4"/>
  <c r="AK31" i="4" s="1"/>
  <c r="AG35" i="4"/>
  <c r="AH35" i="4" s="1"/>
  <c r="AG31" i="4"/>
  <c r="AH31" i="4" s="1"/>
  <c r="AD30" i="4"/>
  <c r="AE30" i="4" s="1"/>
  <c r="AA35" i="4"/>
  <c r="AB35" i="4" s="1"/>
  <c r="AA31" i="4"/>
  <c r="AB31" i="4" s="1"/>
  <c r="X32" i="4"/>
  <c r="Y32" i="4" s="1"/>
  <c r="X30" i="4"/>
  <c r="Y30" i="4" s="1"/>
  <c r="X7" i="4"/>
  <c r="Y7" i="4" s="1"/>
  <c r="U37" i="4"/>
  <c r="V37" i="4" s="1"/>
  <c r="U28" i="4"/>
  <c r="V28" i="4" s="1"/>
  <c r="R36" i="4"/>
  <c r="S36" i="4" s="1"/>
  <c r="R29" i="4"/>
  <c r="R7" i="4"/>
  <c r="O32" i="4"/>
  <c r="P32" i="4" s="1"/>
  <c r="O29" i="4"/>
  <c r="O7" i="4"/>
  <c r="BZ36" i="4"/>
  <c r="CA36" i="4" s="1"/>
  <c r="BN7" i="4"/>
  <c r="BO7" i="4" s="1"/>
  <c r="BK30" i="4"/>
  <c r="BL30" i="4" s="1"/>
  <c r="BH29" i="4"/>
  <c r="BI29" i="4" s="1"/>
  <c r="AY31" i="4"/>
  <c r="AZ31" i="4" s="1"/>
  <c r="AS31" i="4"/>
  <c r="AT31" i="4" s="1"/>
  <c r="AP30" i="4"/>
  <c r="AQ30" i="4" s="1"/>
  <c r="AP7" i="4"/>
  <c r="AM29" i="4"/>
  <c r="AN29" i="4" s="1"/>
  <c r="AM7" i="4"/>
  <c r="AN7" i="4" s="1"/>
  <c r="AJ28" i="4"/>
  <c r="AK28" i="4" s="1"/>
  <c r="AG36" i="4"/>
  <c r="AH36" i="4" s="1"/>
  <c r="AG29" i="4"/>
  <c r="AD31" i="4"/>
  <c r="AE31" i="4" s="1"/>
  <c r="AA30" i="4"/>
  <c r="AB30" i="4" s="1"/>
  <c r="X31" i="4"/>
  <c r="Y31" i="4" s="1"/>
  <c r="U7" i="4"/>
  <c r="V7" i="4" s="1"/>
  <c r="O30" i="4"/>
  <c r="P30" i="4" s="1"/>
  <c r="L36" i="4"/>
  <c r="M36" i="4" s="1"/>
  <c r="L30" i="4"/>
  <c r="I37" i="4"/>
  <c r="J37" i="4" s="1"/>
  <c r="I31" i="4"/>
  <c r="J31" i="4" s="1"/>
  <c r="BT7" i="4"/>
  <c r="AV29" i="4"/>
  <c r="AW29" i="4" s="1"/>
  <c r="AP36" i="4"/>
  <c r="AQ36" i="4" s="1"/>
  <c r="AJ32" i="4"/>
  <c r="AK32" i="4" s="1"/>
  <c r="AA36" i="4"/>
  <c r="AB36" i="4" s="1"/>
  <c r="U31" i="4"/>
  <c r="V31" i="4" s="1"/>
  <c r="BW32" i="4"/>
  <c r="BX32" i="4" s="1"/>
  <c r="BQ7" i="4"/>
  <c r="BR7" i="4" s="1"/>
  <c r="AS35" i="4"/>
  <c r="AP32" i="4"/>
  <c r="AQ32" i="4" s="1"/>
  <c r="AJ30" i="4"/>
  <c r="AK30" i="4" s="1"/>
  <c r="AD35" i="4"/>
  <c r="AE35" i="4" s="1"/>
  <c r="AD28" i="4"/>
  <c r="AE28" i="4" s="1"/>
  <c r="AA32" i="4"/>
  <c r="AB32" i="4" s="1"/>
  <c r="X37" i="4"/>
  <c r="Y37" i="4" s="1"/>
  <c r="X35" i="4"/>
  <c r="Y35" i="4" s="1"/>
  <c r="X28" i="4"/>
  <c r="Y28" i="4" s="1"/>
  <c r="U36" i="4"/>
  <c r="V36" i="4" s="1"/>
  <c r="R28" i="4"/>
  <c r="S28" i="4" s="1"/>
  <c r="L35" i="4"/>
  <c r="M35" i="4" s="1"/>
  <c r="L29" i="4"/>
  <c r="L7" i="4"/>
  <c r="M7" i="4" s="1"/>
  <c r="I36" i="4"/>
  <c r="J36" i="4" s="1"/>
  <c r="I30" i="4"/>
  <c r="J30" i="4" s="1"/>
  <c r="CC36" i="4"/>
  <c r="CD36" i="4" s="1"/>
  <c r="AV37" i="4"/>
  <c r="AW37" i="4" s="1"/>
  <c r="AP29" i="4"/>
  <c r="AQ29" i="4" s="1"/>
  <c r="AM37" i="4"/>
  <c r="AN37" i="4" s="1"/>
  <c r="AG30" i="4"/>
  <c r="AH30" i="4" s="1"/>
  <c r="AA29" i="4"/>
  <c r="AB29" i="4" s="1"/>
  <c r="AA7" i="4"/>
  <c r="U29" i="4"/>
  <c r="V29" i="4" s="1"/>
  <c r="R37" i="4"/>
  <c r="S37" i="4" s="1"/>
  <c r="R30" i="4"/>
  <c r="S30" i="4" s="1"/>
  <c r="L32" i="4"/>
  <c r="M32" i="4" s="1"/>
  <c r="L28" i="4"/>
  <c r="M28" i="4" s="1"/>
  <c r="BZ32" i="4"/>
  <c r="CA32" i="4" s="1"/>
  <c r="AS36" i="4"/>
  <c r="AT36" i="4" s="1"/>
  <c r="R32" i="4"/>
  <c r="S32" i="4" s="1"/>
  <c r="O28" i="4"/>
  <c r="P28" i="4" s="1"/>
  <c r="I28" i="4"/>
  <c r="J28" i="4" s="1"/>
  <c r="AG32" i="4"/>
  <c r="AH32" i="4" s="1"/>
  <c r="U35" i="4"/>
  <c r="V35" i="4" s="1"/>
  <c r="I35" i="4"/>
  <c r="J35" i="4" s="1"/>
  <c r="O35" i="4"/>
  <c r="L37" i="4"/>
  <c r="BH7" i="4"/>
  <c r="O37" i="4"/>
  <c r="P37" i="4" s="1"/>
  <c r="L31" i="4"/>
  <c r="M31" i="4" s="1"/>
  <c r="I7" i="4"/>
  <c r="BB30" i="4"/>
  <c r="BC30" i="4" s="1"/>
  <c r="AD36" i="4"/>
  <c r="AE36" i="4" s="1"/>
  <c r="I32" i="4"/>
  <c r="J32" i="4" s="1"/>
  <c r="I29" i="4"/>
  <c r="BE8" i="4"/>
  <c r="BF8" i="4" s="1"/>
  <c r="AD8" i="4"/>
  <c r="AE8" i="4" s="1"/>
  <c r="O8" i="4"/>
  <c r="P8" i="4" s="1"/>
  <c r="AY8" i="4"/>
  <c r="AZ8" i="4" s="1"/>
  <c r="AA8" i="4"/>
  <c r="AB8" i="4" s="1"/>
  <c r="BB8" i="4"/>
  <c r="BC8" i="4" s="1"/>
  <c r="BT8" i="4"/>
  <c r="BU8" i="4" s="1"/>
  <c r="AP8" i="4"/>
  <c r="AQ8" i="4" s="1"/>
  <c r="AV8" i="4"/>
  <c r="AW8" i="4" s="1"/>
  <c r="BQ8" i="4"/>
  <c r="BR8" i="4" s="1"/>
  <c r="AJ8" i="4"/>
  <c r="AK8" i="4" s="1"/>
  <c r="AM8" i="4"/>
  <c r="AN8" i="4" s="1"/>
  <c r="CC9" i="4"/>
  <c r="CD9" i="4" s="1"/>
  <c r="AG8" i="4"/>
  <c r="AH8" i="4" s="1"/>
  <c r="L8" i="4"/>
  <c r="M8" i="4" s="1"/>
  <c r="CC8" i="4"/>
  <c r="X8" i="4"/>
  <c r="Y8" i="4" s="1"/>
  <c r="I8" i="4"/>
  <c r="J8" i="4" s="1"/>
  <c r="BB9" i="4"/>
  <c r="BC9" i="4" s="1"/>
  <c r="BZ8" i="4"/>
  <c r="CA8" i="4" s="1"/>
  <c r="U9" i="4"/>
  <c r="V9" i="4" s="1"/>
  <c r="BN8" i="4"/>
  <c r="AS8" i="4"/>
  <c r="U8" i="4"/>
  <c r="V8" i="4" s="1"/>
  <c r="BW8" i="4"/>
  <c r="BX8" i="4" s="1"/>
  <c r="BH8" i="4"/>
  <c r="BI8" i="4" s="1"/>
  <c r="BW9" i="4"/>
  <c r="BX9" i="4" s="1"/>
  <c r="BK8" i="4"/>
  <c r="X9" i="4"/>
  <c r="Y9" i="4" s="1"/>
  <c r="R8" i="4"/>
  <c r="S8" i="4" s="1"/>
  <c r="AY9" i="4"/>
  <c r="AZ9" i="4" s="1"/>
  <c r="AD9" i="4"/>
  <c r="AE9" i="4" s="1"/>
  <c r="AS9" i="4"/>
  <c r="AT9" i="4" s="1"/>
  <c r="O9" i="4"/>
  <c r="P9" i="4" s="1"/>
  <c r="I9" i="4"/>
  <c r="O10" i="4"/>
  <c r="P10" i="4" s="1"/>
  <c r="CC11" i="4"/>
  <c r="CD11" i="4" s="1"/>
  <c r="BT11" i="4"/>
  <c r="BU11" i="4" s="1"/>
  <c r="I11" i="4"/>
  <c r="BN9" i="4"/>
  <c r="BO9" i="4" s="1"/>
  <c r="BQ9" i="4"/>
  <c r="BR9" i="4" s="1"/>
  <c r="BZ10" i="4"/>
  <c r="AJ9" i="4"/>
  <c r="AK9" i="4" s="1"/>
  <c r="AP9" i="4"/>
  <c r="AQ9" i="4" s="1"/>
  <c r="BZ11" i="4"/>
  <c r="CA11" i="4" s="1"/>
  <c r="X11" i="4"/>
  <c r="Y11" i="4" s="1"/>
  <c r="AJ11" i="4"/>
  <c r="BH9" i="4"/>
  <c r="BI9" i="4" s="1"/>
  <c r="AG9" i="4"/>
  <c r="AH9" i="4" s="1"/>
  <c r="L9" i="4"/>
  <c r="M9" i="4" s="1"/>
  <c r="BT9" i="4"/>
  <c r="BU9" i="4" s="1"/>
  <c r="BU39" i="4" s="1"/>
  <c r="BE9" i="4"/>
  <c r="BF9" i="4" s="1"/>
  <c r="AM9" i="4"/>
  <c r="AN9" i="4" s="1"/>
  <c r="AV9" i="4"/>
  <c r="AW9" i="4" s="1"/>
  <c r="BZ9" i="4"/>
  <c r="CA9" i="4" s="1"/>
  <c r="BT10" i="4"/>
  <c r="BU10" i="4" s="1"/>
  <c r="AA9" i="4"/>
  <c r="AB9" i="4" s="1"/>
  <c r="BH11" i="4"/>
  <c r="BI11" i="4" s="1"/>
  <c r="AY11" i="4"/>
  <c r="L11" i="4"/>
  <c r="AM10" i="4"/>
  <c r="BK9" i="4"/>
  <c r="BL9" i="4" s="1"/>
  <c r="AJ10" i="4"/>
  <c r="AK10" i="4" s="1"/>
  <c r="R9" i="4"/>
  <c r="S9" i="4" s="1"/>
  <c r="BB11" i="4"/>
  <c r="BC11" i="4" s="1"/>
  <c r="AS11" i="4"/>
  <c r="AT11" i="4" s="1"/>
  <c r="BE11" i="4"/>
  <c r="AG10" i="4"/>
  <c r="AH10" i="4" s="1"/>
  <c r="BT15" i="4"/>
  <c r="BU15" i="4" s="1"/>
  <c r="BB15" i="4"/>
  <c r="BC15" i="4" s="1"/>
  <c r="AG15" i="4"/>
  <c r="AH15" i="4" s="1"/>
  <c r="AM15" i="4"/>
  <c r="AN15" i="4" s="1"/>
  <c r="I15" i="4"/>
  <c r="J15" i="4" s="1"/>
  <c r="BE15" i="4"/>
  <c r="BF15" i="4" s="1"/>
  <c r="R15" i="4"/>
  <c r="S15" i="4" s="1"/>
  <c r="AD11" i="4"/>
  <c r="BN11" i="4"/>
  <c r="BO11" i="4" s="1"/>
  <c r="AV10" i="4"/>
  <c r="AW10" i="4" s="1"/>
  <c r="L10" i="4"/>
  <c r="CC10" i="4"/>
  <c r="CD10" i="4" s="1"/>
  <c r="O11" i="4"/>
  <c r="P11" i="4" s="1"/>
  <c r="AV11" i="4"/>
  <c r="AW11" i="4" s="1"/>
  <c r="BW10" i="4"/>
  <c r="BX10" i="4" s="1"/>
  <c r="U10" i="4"/>
  <c r="AP10" i="4"/>
  <c r="AQ10" i="4" s="1"/>
  <c r="BB10" i="4"/>
  <c r="BC10" i="4" s="1"/>
  <c r="BH10" i="4"/>
  <c r="BI10" i="4" s="1"/>
  <c r="AA11" i="4"/>
  <c r="BN10" i="4"/>
  <c r="BO10" i="4" s="1"/>
  <c r="X10" i="4"/>
  <c r="BE10" i="4"/>
  <c r="BF10" i="4" s="1"/>
  <c r="AS10" i="4"/>
  <c r="AT10" i="4" s="1"/>
  <c r="AP11" i="4"/>
  <c r="AQ11" i="4" s="1"/>
  <c r="BQ11" i="4"/>
  <c r="BR11" i="4" s="1"/>
  <c r="BN15" i="4"/>
  <c r="BO15" i="4" s="1"/>
  <c r="BZ15" i="4"/>
  <c r="CA15" i="4" s="1"/>
  <c r="AA15" i="4"/>
  <c r="AB15" i="4" s="1"/>
  <c r="BW15" i="4"/>
  <c r="BX15" i="4" s="1"/>
  <c r="O15" i="4"/>
  <c r="AV15" i="4"/>
  <c r="AW15" i="4" s="1"/>
  <c r="R10" i="4"/>
  <c r="S10" i="4" s="1"/>
  <c r="AM11" i="4"/>
  <c r="AN11" i="4" s="1"/>
  <c r="AY10" i="4"/>
  <c r="AZ10" i="4" s="1"/>
  <c r="AD10" i="4"/>
  <c r="AE10" i="4" s="1"/>
  <c r="I10" i="4"/>
  <c r="AG11" i="4"/>
  <c r="AH11" i="4" s="1"/>
  <c r="BW11" i="4"/>
  <c r="BX11" i="4" s="1"/>
  <c r="BK10" i="4"/>
  <c r="BL10" i="4" s="1"/>
  <c r="BK15" i="4"/>
  <c r="BL15" i="4" s="1"/>
  <c r="AP15" i="4"/>
  <c r="AQ15" i="4" s="1"/>
  <c r="AS15" i="4"/>
  <c r="AT15" i="4" s="1"/>
  <c r="X15" i="4"/>
  <c r="Y15" i="4" s="1"/>
  <c r="BH15" i="4"/>
  <c r="BI15" i="4" s="1"/>
  <c r="AJ15" i="4"/>
  <c r="AK15" i="4" s="1"/>
  <c r="U11" i="4"/>
  <c r="V11" i="4" s="1"/>
  <c r="BK11" i="4"/>
  <c r="BL11" i="4" s="1"/>
  <c r="BQ10" i="4"/>
  <c r="AA10" i="4"/>
  <c r="AB10" i="4" s="1"/>
  <c r="R11" i="4"/>
  <c r="S11" i="4" s="1"/>
  <c r="U15" i="4"/>
  <c r="V15" i="4" s="1"/>
  <c r="CC16" i="4"/>
  <c r="CD16" i="4" s="1"/>
  <c r="BN16" i="4"/>
  <c r="BO16" i="4" s="1"/>
  <c r="AM16" i="4"/>
  <c r="AN16" i="4" s="1"/>
  <c r="AP16" i="4"/>
  <c r="AQ16" i="4" s="1"/>
  <c r="L16" i="4"/>
  <c r="M16" i="4" s="1"/>
  <c r="AD15" i="4"/>
  <c r="AE15" i="4" s="1"/>
  <c r="BZ16" i="4"/>
  <c r="CA16" i="4" s="1"/>
  <c r="AJ16" i="4"/>
  <c r="AK16" i="4" s="1"/>
  <c r="U16" i="4"/>
  <c r="V16" i="4" s="1"/>
  <c r="AD16" i="4"/>
  <c r="AE16" i="4" s="1"/>
  <c r="L15" i="4"/>
  <c r="M15" i="4" s="1"/>
  <c r="BE14" i="4"/>
  <c r="BF14" i="4" s="1"/>
  <c r="BE16" i="4"/>
  <c r="BF16" i="4" s="1"/>
  <c r="X16" i="4"/>
  <c r="Y16" i="4" s="1"/>
  <c r="I16" i="4"/>
  <c r="AY15" i="4"/>
  <c r="AZ15" i="4" s="1"/>
  <c r="AA16" i="4"/>
  <c r="AB16" i="4" s="1"/>
  <c r="BH16" i="4"/>
  <c r="BI16" i="4" s="1"/>
  <c r="AG16" i="4"/>
  <c r="AH16" i="4" s="1"/>
  <c r="I14" i="4"/>
  <c r="CC15" i="4"/>
  <c r="CD15" i="4" s="1"/>
  <c r="BW16" i="4"/>
  <c r="BX16" i="4" s="1"/>
  <c r="AS16" i="4"/>
  <c r="AT16" i="4" s="1"/>
  <c r="O16" i="4"/>
  <c r="P16" i="4" s="1"/>
  <c r="X14" i="4"/>
  <c r="Y14" i="4" s="1"/>
  <c r="BQ15" i="4"/>
  <c r="BR15" i="4" s="1"/>
  <c r="BK14" i="4"/>
  <c r="BL14" i="4" s="1"/>
  <c r="AA14" i="4"/>
  <c r="AB14" i="4" s="1"/>
  <c r="BW14" i="4"/>
  <c r="BX14" i="4" s="1"/>
  <c r="R14" i="4"/>
  <c r="S14" i="4" s="1"/>
  <c r="BT14" i="4"/>
  <c r="BU14" i="4" s="1"/>
  <c r="BH14" i="4"/>
  <c r="BB16" i="4"/>
  <c r="BC16" i="4" s="1"/>
  <c r="BQ16" i="4"/>
  <c r="BR16" i="4" s="1"/>
  <c r="BZ14" i="4"/>
  <c r="AV16" i="4"/>
  <c r="AW16" i="4" s="1"/>
  <c r="BB14" i="4"/>
  <c r="BC14" i="4" s="1"/>
  <c r="O14" i="4"/>
  <c r="P14" i="4" s="1"/>
  <c r="BT16" i="4"/>
  <c r="BU16" i="4" s="1"/>
  <c r="BQ14" i="4"/>
  <c r="BR14" i="4" s="1"/>
  <c r="AM14" i="4"/>
  <c r="AN14" i="4" s="1"/>
  <c r="AY14" i="4"/>
  <c r="AZ14" i="4" s="1"/>
  <c r="AS14" i="4"/>
  <c r="AT14" i="4" s="1"/>
  <c r="CC14" i="4"/>
  <c r="CD14" i="4" s="1"/>
  <c r="U14" i="4"/>
  <c r="V14" i="4" s="1"/>
  <c r="R16" i="4"/>
  <c r="S16" i="4" s="1"/>
  <c r="BK16" i="4"/>
  <c r="BL16" i="4" s="1"/>
  <c r="AP14" i="4"/>
  <c r="AQ14" i="4" s="1"/>
  <c r="AV14" i="4"/>
  <c r="AW14" i="4" s="1"/>
  <c r="AJ14" i="4"/>
  <c r="AK14" i="4" s="1"/>
  <c r="L14" i="4"/>
  <c r="AG14" i="4"/>
  <c r="AH14" i="4" s="1"/>
  <c r="AD14" i="4"/>
  <c r="AE14" i="4" s="1"/>
  <c r="BN14" i="4"/>
  <c r="BO14" i="4" s="1"/>
  <c r="AY16" i="4"/>
  <c r="AZ16" i="4" s="1"/>
  <c r="L17" i="4"/>
  <c r="M17" i="4" s="1"/>
  <c r="BZ17" i="4"/>
  <c r="CA17" i="4" s="1"/>
  <c r="AJ17" i="4"/>
  <c r="AK17" i="4" s="1"/>
  <c r="AG17" i="4"/>
  <c r="I17" i="4"/>
  <c r="J17" i="4" s="1"/>
  <c r="X17" i="4"/>
  <c r="Y17" i="4" s="1"/>
  <c r="AV17" i="4"/>
  <c r="AW17" i="4" s="1"/>
  <c r="O17" i="4"/>
  <c r="AP17" i="4"/>
  <c r="AQ17" i="4" s="1"/>
  <c r="AA17" i="4"/>
  <c r="AB17" i="4" s="1"/>
  <c r="BN17" i="4"/>
  <c r="BO17" i="4" s="1"/>
  <c r="BW17" i="4"/>
  <c r="CC17" i="4"/>
  <c r="BT17" i="4"/>
  <c r="BB18" i="4"/>
  <c r="BC18" i="4" s="1"/>
  <c r="AJ18" i="4"/>
  <c r="AK18" i="4" s="1"/>
  <c r="U18" i="4"/>
  <c r="V18" i="4" s="1"/>
  <c r="AS17" i="4"/>
  <c r="AT17" i="4" s="1"/>
  <c r="R17" i="4"/>
  <c r="S17" i="4" s="1"/>
  <c r="BK17" i="4"/>
  <c r="BL17" i="4" s="1"/>
  <c r="BB17" i="4"/>
  <c r="U17" i="4"/>
  <c r="V17" i="4" s="1"/>
  <c r="BQ17" i="4"/>
  <c r="BR17" i="4" s="1"/>
  <c r="BE17" i="4"/>
  <c r="AY17" i="4"/>
  <c r="AZ17" i="4" s="1"/>
  <c r="AM17" i="4"/>
  <c r="AN17" i="4" s="1"/>
  <c r="AD17" i="4"/>
  <c r="AE17" i="4" s="1"/>
  <c r="AM18" i="4"/>
  <c r="AY18" i="4"/>
  <c r="AZ18" i="4" s="1"/>
  <c r="BH17" i="4"/>
  <c r="AA18" i="4"/>
  <c r="AB18" i="4" s="1"/>
  <c r="BN18" i="4"/>
  <c r="BO18" i="4" s="1"/>
  <c r="AP18" i="4"/>
  <c r="AQ18" i="4" s="1"/>
  <c r="BH18" i="4"/>
  <c r="BI18" i="4" s="1"/>
  <c r="O18" i="4"/>
  <c r="P18" i="4" s="1"/>
  <c r="AV18" i="4"/>
  <c r="AW18" i="4" s="1"/>
  <c r="BE18" i="4"/>
  <c r="BF18" i="4" s="1"/>
  <c r="BK18" i="4"/>
  <c r="BL18" i="4" s="1"/>
  <c r="BZ18" i="4"/>
  <c r="CA18" i="4" s="1"/>
  <c r="L18" i="4"/>
  <c r="M18" i="4" s="1"/>
  <c r="BT18" i="4"/>
  <c r="BU18" i="4" s="1"/>
  <c r="BW18" i="4"/>
  <c r="BX18" i="4" s="1"/>
  <c r="I18" i="4"/>
  <c r="J18" i="4" s="1"/>
  <c r="BT21" i="4"/>
  <c r="BU21" i="4" s="1"/>
  <c r="BQ21" i="4"/>
  <c r="BR21" i="4" s="1"/>
  <c r="BE21" i="4"/>
  <c r="BF21" i="4" s="1"/>
  <c r="AV21" i="4"/>
  <c r="AW21" i="4" s="1"/>
  <c r="O21" i="4"/>
  <c r="I21" i="4"/>
  <c r="L21" i="4"/>
  <c r="M21" i="4" s="1"/>
  <c r="AG18" i="4"/>
  <c r="AH18" i="4" s="1"/>
  <c r="CC18" i="4"/>
  <c r="BQ18" i="4"/>
  <c r="BR18" i="4" s="1"/>
  <c r="R18" i="4"/>
  <c r="S18" i="4" s="1"/>
  <c r="AS18" i="4"/>
  <c r="AT18" i="4" s="1"/>
  <c r="AD18" i="4"/>
  <c r="BK21" i="4"/>
  <c r="BL21" i="4" s="1"/>
  <c r="BN21" i="4"/>
  <c r="BO21" i="4" s="1"/>
  <c r="AY21" i="4"/>
  <c r="AZ21" i="4" s="1"/>
  <c r="AP21" i="4"/>
  <c r="AQ21" i="4" s="1"/>
  <c r="X21" i="4"/>
  <c r="Y21" i="4" s="1"/>
  <c r="AS21" i="4"/>
  <c r="AT21" i="4" s="1"/>
  <c r="AD21" i="4"/>
  <c r="AE21" i="4" s="1"/>
  <c r="X18" i="4"/>
  <c r="AJ21" i="4"/>
  <c r="AK21" i="4" s="1"/>
  <c r="BZ21" i="4"/>
  <c r="CA21" i="4" s="1"/>
  <c r="AG21" i="4"/>
  <c r="AH21" i="4" s="1"/>
  <c r="U21" i="4"/>
  <c r="V21" i="4" s="1"/>
  <c r="AA21" i="4"/>
  <c r="AB21" i="4" s="1"/>
  <c r="AM21" i="4"/>
  <c r="AN21" i="4" s="1"/>
  <c r="CC21" i="4"/>
  <c r="CD21" i="4" s="1"/>
  <c r="BW22" i="4"/>
  <c r="BX22" i="4" s="1"/>
  <c r="BN22" i="4"/>
  <c r="BO22" i="4" s="1"/>
  <c r="AD22" i="4"/>
  <c r="AE22" i="4" s="1"/>
  <c r="AA22" i="4"/>
  <c r="AB22" i="4" s="1"/>
  <c r="U22" i="4"/>
  <c r="V22" i="4" s="1"/>
  <c r="X22" i="4"/>
  <c r="Y22" i="4" s="1"/>
  <c r="I22" i="4"/>
  <c r="J22" i="4" s="1"/>
  <c r="BB21" i="4"/>
  <c r="BC21" i="4" s="1"/>
  <c r="BH21" i="4"/>
  <c r="BI21" i="4" s="1"/>
  <c r="BB22" i="4"/>
  <c r="BC22" i="4" s="1"/>
  <c r="BK22" i="4"/>
  <c r="BL22" i="4" s="1"/>
  <c r="R22" i="4"/>
  <c r="S22" i="4" s="1"/>
  <c r="O22" i="4"/>
  <c r="P22" i="4" s="1"/>
  <c r="CC22" i="4"/>
  <c r="CD22" i="4" s="1"/>
  <c r="BT22" i="4"/>
  <c r="BU22" i="4" s="1"/>
  <c r="R21" i="4"/>
  <c r="S21" i="4" s="1"/>
  <c r="BW21" i="4"/>
  <c r="BX21" i="4" s="1"/>
  <c r="AP23" i="4"/>
  <c r="AS22" i="4"/>
  <c r="AT22" i="4" s="1"/>
  <c r="AG22" i="4"/>
  <c r="AH22" i="4" s="1"/>
  <c r="BZ22" i="4"/>
  <c r="CA22" i="4" s="1"/>
  <c r="AV22" i="4"/>
  <c r="AW22" i="4" s="1"/>
  <c r="AY22" i="4"/>
  <c r="AZ22" i="4" s="1"/>
  <c r="BE22" i="4"/>
  <c r="BF22" i="4" s="1"/>
  <c r="AJ22" i="4"/>
  <c r="AK22" i="4" s="1"/>
  <c r="AM22" i="4"/>
  <c r="AN22" i="4" s="1"/>
  <c r="BH22" i="4"/>
  <c r="BI22" i="4" s="1"/>
  <c r="AP22" i="4"/>
  <c r="AQ22" i="4" s="1"/>
  <c r="BQ22" i="4"/>
  <c r="BR22" i="4" s="1"/>
  <c r="BK23" i="4"/>
  <c r="BL23" i="4" s="1"/>
  <c r="BH23" i="4"/>
  <c r="BI23" i="4" s="1"/>
  <c r="BW23" i="4"/>
  <c r="BX23" i="4" s="1"/>
  <c r="AD23" i="4"/>
  <c r="AE23" i="4" s="1"/>
  <c r="AA23" i="4"/>
  <c r="AB23" i="4" s="1"/>
  <c r="L22" i="4"/>
  <c r="CC23" i="4"/>
  <c r="CD23" i="4" s="1"/>
  <c r="AM23" i="4"/>
  <c r="AN23" i="4" s="1"/>
  <c r="I23" i="4"/>
  <c r="AY23" i="4"/>
  <c r="AZ23" i="4" s="1"/>
  <c r="L23" i="4"/>
  <c r="M23" i="4" s="1"/>
  <c r="R23" i="4"/>
  <c r="S23" i="4" s="1"/>
  <c r="BN23" i="4"/>
  <c r="BO23" i="4" s="1"/>
  <c r="BT23" i="4"/>
  <c r="BN24" i="4"/>
  <c r="BO24" i="4" s="1"/>
  <c r="AS24" i="4"/>
  <c r="AT24" i="4" s="1"/>
  <c r="BW24" i="4"/>
  <c r="BX24" i="4" s="1"/>
  <c r="O23" i="4"/>
  <c r="P23" i="4" s="1"/>
  <c r="BK24" i="4"/>
  <c r="BL24" i="4" s="1"/>
  <c r="AM24" i="4"/>
  <c r="BQ24" i="4"/>
  <c r="AS23" i="4"/>
  <c r="AT23" i="4" s="1"/>
  <c r="BQ23" i="4"/>
  <c r="BR23" i="4" s="1"/>
  <c r="BB23" i="4"/>
  <c r="BC23" i="4" s="1"/>
  <c r="BZ23" i="4"/>
  <c r="AG23" i="4"/>
  <c r="X23" i="4"/>
  <c r="Y23" i="4" s="1"/>
  <c r="AJ23" i="4"/>
  <c r="BB24" i="4"/>
  <c r="BC24" i="4" s="1"/>
  <c r="U24" i="4"/>
  <c r="V24" i="4" s="1"/>
  <c r="AJ24" i="4"/>
  <c r="AK24" i="4" s="1"/>
  <c r="AV23" i="4"/>
  <c r="AW23" i="4" s="1"/>
  <c r="U23" i="4"/>
  <c r="BE23" i="4"/>
  <c r="BH24" i="4"/>
  <c r="BI24" i="4" s="1"/>
  <c r="AD24" i="4"/>
  <c r="AE24" i="4" s="1"/>
  <c r="BE24" i="4"/>
  <c r="BF24" i="4" s="1"/>
  <c r="AY25" i="4"/>
  <c r="AZ25" i="4" s="1"/>
  <c r="X25" i="4"/>
  <c r="Y25" i="4" s="1"/>
  <c r="AP25" i="4"/>
  <c r="AQ25" i="4" s="1"/>
  <c r="AA25" i="4"/>
  <c r="AB25" i="4" s="1"/>
  <c r="AM25" i="4"/>
  <c r="AN25" i="4" s="1"/>
  <c r="BK25" i="4"/>
  <c r="BL25" i="4" s="1"/>
  <c r="AV24" i="4"/>
  <c r="AW24" i="4" s="1"/>
  <c r="BZ24" i="4"/>
  <c r="CA24" i="4" s="1"/>
  <c r="X24" i="4"/>
  <c r="Y24" i="4" s="1"/>
  <c r="AP24" i="4"/>
  <c r="AQ24" i="4" s="1"/>
  <c r="I25" i="4"/>
  <c r="O24" i="4"/>
  <c r="P24" i="4" s="1"/>
  <c r="L24" i="4"/>
  <c r="M24" i="4" s="1"/>
  <c r="CC24" i="4"/>
  <c r="CD24" i="4" s="1"/>
  <c r="BE25" i="4"/>
  <c r="BF25" i="4" s="1"/>
  <c r="AD25" i="4"/>
  <c r="AE25" i="4" s="1"/>
  <c r="AV25" i="4"/>
  <c r="AW25" i="4" s="1"/>
  <c r="BQ25" i="4"/>
  <c r="BR25" i="4" s="1"/>
  <c r="BB25" i="4"/>
  <c r="BC25" i="4" s="1"/>
  <c r="R24" i="4"/>
  <c r="S24" i="4" s="1"/>
  <c r="AG24" i="4"/>
  <c r="AH24" i="4" s="1"/>
  <c r="AJ25" i="4"/>
  <c r="AK25" i="4" s="1"/>
  <c r="BZ25" i="4"/>
  <c r="CA25" i="4" s="1"/>
  <c r="AG25" i="4"/>
  <c r="AH25" i="4" s="1"/>
  <c r="O25" i="4"/>
  <c r="P25" i="4" s="1"/>
  <c r="BT25" i="4"/>
  <c r="BU25" i="4" s="1"/>
  <c r="L25" i="4"/>
  <c r="M25" i="4" s="1"/>
  <c r="I24" i="4"/>
  <c r="BT24" i="4"/>
  <c r="BU24" i="4" s="1"/>
  <c r="AY24" i="4"/>
  <c r="AZ24" i="4" s="1"/>
  <c r="BW25" i="4"/>
  <c r="BX25" i="4" s="1"/>
  <c r="CC25" i="4"/>
  <c r="CD25" i="4" s="1"/>
  <c r="BH25" i="4"/>
  <c r="BI25" i="4" s="1"/>
  <c r="R25" i="4"/>
  <c r="S25" i="4" s="1"/>
  <c r="AS25" i="4"/>
  <c r="AT25" i="4" s="1"/>
  <c r="BN25" i="4"/>
  <c r="BO25" i="4" s="1"/>
  <c r="U25" i="4"/>
  <c r="V25" i="4" s="1"/>
  <c r="AA24" i="4"/>
  <c r="AB24" i="4" s="1"/>
  <c r="C41" i="4"/>
  <c r="D41" i="4"/>
  <c r="CI41" i="4" s="1"/>
  <c r="E41" i="4"/>
  <c r="CJ41" i="4" s="1"/>
  <c r="F40" i="4"/>
  <c r="CK41" i="4" s="1"/>
  <c r="BX39" i="4" l="1"/>
  <c r="BL39" i="4"/>
  <c r="BF39" i="4"/>
  <c r="V39" i="4"/>
  <c r="AW39" i="4"/>
  <c r="M39" i="4"/>
  <c r="X39" i="4"/>
  <c r="BZ39" i="4"/>
  <c r="BN39" i="4"/>
  <c r="AJ39" i="4"/>
  <c r="BQ39" i="4"/>
  <c r="BH39" i="4"/>
  <c r="R39" i="4"/>
  <c r="CC39" i="4"/>
  <c r="Y10" i="4"/>
  <c r="Y39" i="4" s="1"/>
  <c r="AE39" i="4"/>
  <c r="P39" i="4"/>
  <c r="CA10" i="4"/>
  <c r="CA39" i="4" s="1"/>
  <c r="U39" i="4"/>
  <c r="I39" i="4"/>
  <c r="AP39" i="4"/>
  <c r="O39" i="4"/>
  <c r="CD7" i="4"/>
  <c r="CD39" i="4" s="1"/>
  <c r="BO8" i="4"/>
  <c r="BO39" i="4" s="1"/>
  <c r="BR10" i="4"/>
  <c r="BR39" i="4" s="1"/>
  <c r="S7" i="4"/>
  <c r="S39" i="4" s="1"/>
  <c r="BB39" i="4"/>
  <c r="BK39" i="4"/>
  <c r="BE39" i="4"/>
  <c r="AK7" i="4"/>
  <c r="AK39" i="4" s="1"/>
  <c r="AM39" i="4"/>
  <c r="AA39" i="4"/>
  <c r="AV39" i="4"/>
  <c r="CH41" i="4"/>
  <c r="BK41" i="4"/>
  <c r="CC41" i="4"/>
  <c r="BZ41" i="4"/>
  <c r="BW41" i="4"/>
  <c r="BQ41" i="4"/>
  <c r="BN41" i="4"/>
  <c r="BT41" i="4"/>
  <c r="BH41" i="4"/>
  <c r="BE41" i="4"/>
  <c r="AY41" i="4"/>
  <c r="AM41" i="4"/>
  <c r="AJ41" i="4"/>
  <c r="AP41" i="4"/>
  <c r="AG41" i="4"/>
  <c r="X41" i="4"/>
  <c r="AV41" i="4"/>
  <c r="R41" i="4"/>
  <c r="BB41" i="4"/>
  <c r="AS41" i="4"/>
  <c r="O41" i="4"/>
  <c r="U41" i="4"/>
  <c r="L41" i="4"/>
  <c r="I41" i="4"/>
  <c r="AD41" i="4"/>
  <c r="AA41" i="4"/>
  <c r="BW39" i="4"/>
  <c r="L39" i="4"/>
  <c r="BT39" i="4"/>
  <c r="AS39" i="4"/>
  <c r="AD39" i="4"/>
  <c r="AG39" i="4"/>
  <c r="AY39" i="4"/>
  <c r="AN10" i="4"/>
  <c r="AN39" i="4" s="1"/>
  <c r="AB7" i="4"/>
  <c r="AB39" i="4" s="1"/>
  <c r="J7" i="4"/>
  <c r="J39" i="4" s="1"/>
  <c r="AZ7" i="4"/>
  <c r="AZ39" i="4" s="1"/>
  <c r="AT8" i="4"/>
  <c r="AT39" i="4" s="1"/>
  <c r="AQ7" i="4"/>
  <c r="AQ39" i="4" s="1"/>
  <c r="BC7" i="4"/>
  <c r="BC39" i="4" s="1"/>
  <c r="CE41" i="4"/>
  <c r="CB41" i="4"/>
  <c r="BY41" i="4"/>
  <c r="BS41" i="4"/>
  <c r="BP41" i="4"/>
  <c r="BD41" i="4"/>
  <c r="AX41" i="4"/>
  <c r="AO41" i="4"/>
  <c r="T41" i="4"/>
  <c r="AF41" i="4"/>
  <c r="AC41" i="4"/>
  <c r="BG41" i="4"/>
  <c r="Q41" i="4"/>
  <c r="BM41" i="4"/>
  <c r="BA41" i="4"/>
  <c r="AL41" i="4"/>
  <c r="AI41" i="4"/>
  <c r="W41" i="4"/>
  <c r="N41" i="4"/>
  <c r="AR41" i="4"/>
  <c r="AU41" i="4"/>
  <c r="Z41" i="4"/>
  <c r="BJ41" i="4"/>
  <c r="BV41" i="4"/>
  <c r="BI7" i="4"/>
  <c r="BI39" i="4" s="1"/>
  <c r="CK10" i="4"/>
  <c r="CK9" i="4"/>
  <c r="CK11" i="4"/>
  <c r="CK31" i="4"/>
  <c r="CK27" i="4"/>
  <c r="CK23" i="4"/>
  <c r="CK19" i="4"/>
  <c r="CK15" i="4"/>
  <c r="CK32" i="4"/>
  <c r="CK30" i="4"/>
  <c r="CK26" i="4"/>
  <c r="CK22" i="4"/>
  <c r="CK18" i="4"/>
  <c r="CK14" i="4"/>
  <c r="CK33" i="4"/>
  <c r="CK28" i="4"/>
  <c r="CK20" i="4"/>
  <c r="CK12" i="4"/>
  <c r="CK29" i="4"/>
  <c r="CK25" i="4"/>
  <c r="CK21" i="4"/>
  <c r="CK17" i="4"/>
  <c r="CK13" i="4"/>
  <c r="CK24" i="4"/>
  <c r="CK16" i="4"/>
  <c r="CL41" i="4"/>
</calcChain>
</file>

<file path=xl/sharedStrings.xml><?xml version="1.0" encoding="utf-8"?>
<sst xmlns="http://schemas.openxmlformats.org/spreadsheetml/2006/main" count="869" uniqueCount="370">
  <si>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</si>
  <si>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</si>
  <si>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</si>
  <si>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</si>
  <si>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</si>
  <si>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</si>
  <si>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</si>
  <si>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</si>
  <si>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</si>
  <si>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</si>
  <si>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</si>
  <si>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</si>
  <si>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</si>
  <si>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</si>
  <si>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</si>
  <si>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</si>
  <si>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</si>
  <si>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</si>
  <si>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</si>
  <si>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</si>
  <si>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</si>
  <si>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</si>
  <si>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</si>
  <si>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</si>
  <si>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</si>
  <si>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</si>
  <si>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</si>
  <si>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</si>
  <si>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</si>
  <si>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</si>
  <si>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</si>
  <si>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</si>
  <si>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</si>
  <si>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</si>
  <si>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</si>
  <si>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</si>
  <si>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</si>
  <si>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</si>
  <si>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</si>
  <si>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</si>
  <si>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</si>
  <si>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</si>
  <si>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</si>
  <si>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</si>
  <si>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</si>
  <si>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</si>
  <si>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</si>
  <si>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</si>
  <si>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</si>
  <si>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</si>
  <si>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</si>
  <si>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</si>
  <si>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</si>
  <si>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</si>
  <si>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</si>
  <si>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</si>
  <si>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</si>
  <si>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</si>
  <si>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</si>
  <si>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</si>
  <si>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</si>
  <si>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</si>
  <si>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</si>
  <si>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</si>
  <si>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</si>
  <si>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</si>
  <si>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</si>
  <si>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</si>
  <si>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</si>
  <si>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</si>
  <si>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</si>
  <si>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</si>
  <si>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</si>
  <si>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</si>
  <si>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</si>
  <si>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</si>
  <si>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</si>
  <si>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</si>
  <si>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</si>
  <si>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</si>
  <si>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</si>
  <si>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</si>
  <si>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</si>
  <si>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</si>
  <si>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</si>
  <si>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</si>
  <si>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</si>
  <si>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</si>
  <si>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</si>
  <si>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</si>
  <si>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</si>
  <si>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</si>
  <si>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</si>
  <si>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</si>
  <si>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</si>
  <si>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</si>
  <si>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</si>
  <si>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</si>
  <si>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</si>
  <si>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</si>
  <si>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</si>
  <si>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</si>
  <si>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</si>
  <si>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</si>
  <si>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</si>
  <si>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</si>
  <si>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</si>
  <si>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</si>
  <si>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</si>
  <si>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</si>
  <si>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</si>
  <si>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</si>
  <si>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</si>
  <si>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</si>
  <si>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</si>
  <si>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</si>
  <si>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</si>
  <si>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</si>
  <si>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</si>
  <si>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</si>
  <si>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</si>
  <si>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</si>
  <si>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</si>
  <si>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</si>
  <si>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</si>
  <si>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</si>
  <si>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</si>
  <si>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</si>
  <si>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</si>
  <si>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</si>
  <si>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</si>
  <si>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</si>
  <si>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</si>
  <si>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</si>
  <si>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</si>
  <si>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</si>
  <si>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</si>
  <si>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</si>
  <si>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</si>
  <si>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</si>
  <si>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</si>
  <si>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</si>
  <si>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</si>
  <si>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</si>
  <si>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</si>
  <si>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</si>
  <si>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</si>
  <si>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</si>
  <si>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</si>
  <si>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</si>
  <si>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</si>
  <si>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</si>
  <si>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</si>
  <si>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Year(s) Requested for Disposition</t>
  </si>
  <si>
    <t xml:space="preserve">Non-RPP Class B Including Loss Adjusted Billed Consumption </t>
  </si>
  <si>
    <t>$</t>
  </si>
  <si>
    <t xml:space="preserve">Deduct Previous Month Unbilled Loss Adjusted Consumption </t>
  </si>
  <si>
    <t>January - Non-interval metered</t>
  </si>
  <si>
    <t>January - Total</t>
  </si>
  <si>
    <t>Non-RPP Class B Including Loss Adjusted Consumption, Adjusted for Unbilled</t>
  </si>
  <si>
    <t>February - Interval metered</t>
  </si>
  <si>
    <t>February - Non-interval metered</t>
  </si>
  <si>
    <t>February - Total</t>
  </si>
  <si>
    <t>March - Interval metered</t>
  </si>
  <si>
    <t>March - Non-interval metered</t>
  </si>
  <si>
    <t>March - Total</t>
  </si>
  <si>
    <t>April - Non-interval metered</t>
  </si>
  <si>
    <t>April - Total</t>
  </si>
  <si>
    <t>April - Interval metered</t>
  </si>
  <si>
    <t>May - Interval metered</t>
  </si>
  <si>
    <t>May - Non-interval metered</t>
  </si>
  <si>
    <t>May - Total</t>
  </si>
  <si>
    <t>June - Interval metered</t>
  </si>
  <si>
    <t>June - Non-interval metered</t>
  </si>
  <si>
    <t>June - Total</t>
  </si>
  <si>
    <t>July - Interval metered</t>
  </si>
  <si>
    <t>July - Non-interval metered</t>
  </si>
  <si>
    <t>July - Total</t>
  </si>
  <si>
    <t>August - Interval metered</t>
  </si>
  <si>
    <t>August - Non-interval metered</t>
  </si>
  <si>
    <t>August - Total</t>
  </si>
  <si>
    <t>Sept - Interval metered</t>
  </si>
  <si>
    <t>Sept - Non-interval metered</t>
  </si>
  <si>
    <t>Sept - Total</t>
  </si>
  <si>
    <t>October - Interval metered</t>
  </si>
  <si>
    <t>October - Non-interval metered</t>
  </si>
  <si>
    <t>October - Total</t>
  </si>
  <si>
    <t>November - Interval metered</t>
  </si>
  <si>
    <t>November - Non-interval metered</t>
  </si>
  <si>
    <t>November - Total</t>
  </si>
  <si>
    <t>December - Interval metered</t>
  </si>
  <si>
    <t>December - Non-interval metered</t>
  </si>
  <si>
    <t>December - Total</t>
  </si>
  <si>
    <t>Rate</t>
  </si>
  <si>
    <t>Non-RPP Class B Actual GA Revenue Adjusted for Unbilled</t>
  </si>
  <si>
    <t>Non-RPP Class B Actual GA Revenue rate including unbilled</t>
  </si>
  <si>
    <t>GA Rate to be Billed for Month ($/kWh)</t>
  </si>
  <si>
    <t>Variance Recorded</t>
  </si>
  <si>
    <t>1st Estimate</t>
  </si>
  <si>
    <t>Non-interval</t>
  </si>
  <si>
    <t>Interval metered</t>
  </si>
  <si>
    <t>Booked</t>
  </si>
  <si>
    <t>Expected</t>
  </si>
  <si>
    <t>Difference</t>
  </si>
  <si>
    <t>Non-interval metered</t>
  </si>
  <si>
    <t>Variance</t>
  </si>
  <si>
    <t>Notes</t>
  </si>
  <si>
    <t>1.</t>
  </si>
  <si>
    <t>Billed re December 2015</t>
  </si>
  <si>
    <t>less accrual</t>
  </si>
  <si>
    <t>Nov 2015 actual rate</t>
  </si>
  <si>
    <t>Dec 2015 actual rate</t>
  </si>
  <si>
    <t>Dec accrued kWhs</t>
  </si>
  <si>
    <t>Dec billed kWhs</t>
  </si>
  <si>
    <t>2015 actual rate results in the following differences:</t>
  </si>
  <si>
    <t>2.</t>
  </si>
  <si>
    <t>Non-interval metered GA revenue:</t>
  </si>
  <si>
    <t>Interval metered GA revenue:</t>
  </si>
  <si>
    <t>3.</t>
  </si>
  <si>
    <t>4.</t>
  </si>
  <si>
    <t>Day of Month</t>
  </si>
  <si>
    <t>Read date</t>
  </si>
  <si>
    <t>last month</t>
  </si>
  <si>
    <t>Billed days</t>
  </si>
  <si>
    <t>this month</t>
  </si>
  <si>
    <t>Unbilled days</t>
  </si>
  <si>
    <t>2nd last month</t>
  </si>
  <si>
    <t>Average days</t>
  </si>
  <si>
    <t>%</t>
  </si>
  <si>
    <t>Bill date</t>
  </si>
  <si>
    <t>GA Billed</t>
  </si>
  <si>
    <t>Days billed</t>
  </si>
  <si>
    <t>days</t>
  </si>
  <si>
    <t>Amount</t>
  </si>
  <si>
    <t>These customers are billed at 1st estimate based on the month of consumption.</t>
  </si>
  <si>
    <t>Assume 31 day month, 23 business/billing days, billing for 31 days.</t>
  </si>
  <si>
    <t>implicit rate ($/kWhs)</t>
  </si>
  <si>
    <t>Example 1:</t>
  </si>
  <si>
    <t>KWhs</t>
  </si>
  <si>
    <t>kWhs</t>
  </si>
  <si>
    <t>January 2016</t>
  </si>
  <si>
    <t>January 2015</t>
  </si>
  <si>
    <t>December 2015</t>
  </si>
  <si>
    <t>December 2016</t>
  </si>
  <si>
    <t>Non-interval 1st estimate</t>
  </si>
  <si>
    <t>December 2014</t>
  </si>
  <si>
    <t>October 2014</t>
  </si>
  <si>
    <t>Assumes billing amounts are spread evenly over the month.</t>
  </si>
  <si>
    <t>Billed</t>
  </si>
  <si>
    <t>Avg Rate</t>
  </si>
  <si>
    <t>Unbilled</t>
  </si>
  <si>
    <t>CC&amp;B Unbilled</t>
  </si>
  <si>
    <t>True Unbilled</t>
  </si>
  <si>
    <t>Total</t>
  </si>
  <si>
    <t>Average</t>
  </si>
  <si>
    <t>weighted average</t>
  </si>
  <si>
    <t>Average billed</t>
  </si>
  <si>
    <t>Average unbilled</t>
  </si>
  <si>
    <t xml:space="preserve">In theory the class A variance should be $0 as these customers are billed at the actual </t>
  </si>
  <si>
    <t>GA cost/final rate.</t>
  </si>
  <si>
    <t>At Dec 31/15, the accrued costs were updated to reflect the actual Dec 2015 IESO</t>
  </si>
  <si>
    <t xml:space="preserve">invoice which was available before the year-end close. However the accrued revenue for </t>
  </si>
  <si>
    <t xml:space="preserve">Class A was not updated to match the actual cost. This resulted in an overaccrual of </t>
  </si>
  <si>
    <t>$275,915 in Dec 2015 fo Class A GA revenue which when reversed in Janaury reduced the</t>
  </si>
  <si>
    <t xml:space="preserve">GA revenue for January 2015 and creating a variance that offsets the Dec 2015 variance. </t>
  </si>
  <si>
    <t>Dec 2015 Accrued revenue</t>
  </si>
  <si>
    <t>Dec 2015 Accrued cost</t>
  </si>
  <si>
    <t>Jan reversal</t>
  </si>
  <si>
    <t>Dec 2015 accrual</t>
  </si>
  <si>
    <t>January - Interval metered</t>
  </si>
  <si>
    <t>2016 year - Total</t>
  </si>
  <si>
    <t>2016 total - Interval metered</t>
  </si>
  <si>
    <t>2016 total - Non-Interval metered</t>
  </si>
  <si>
    <t>2016 Summary Reconciliation - GA Variance</t>
  </si>
  <si>
    <t>Class A - impact of Dec 2015 underaccrued revenue</t>
  </si>
  <si>
    <t>Alectra - PS Rate Zone: GA Variance Analysis</t>
  </si>
  <si>
    <t>2nd previous month</t>
  </si>
  <si>
    <t>Previous month</t>
  </si>
  <si>
    <t>Current month</t>
  </si>
  <si>
    <t>Class B Non-RPP Non-interval Billing - estimated rates for billed and unbilled based on CC&amp;B methodology</t>
  </si>
  <si>
    <t>1st Estimate Rates:</t>
  </si>
  <si>
    <t>2nd prev month</t>
  </si>
  <si>
    <t>prev month</t>
  </si>
  <si>
    <t>Current Month</t>
  </si>
  <si>
    <t>Total billed</t>
  </si>
  <si>
    <t>1st GA rate</t>
  </si>
  <si>
    <t>average billed rate</t>
  </si>
  <si>
    <t>Note</t>
  </si>
  <si>
    <t>Accrued based on past billing amounts</t>
  </si>
  <si>
    <t>Over accrual that will go into 2016 revenues</t>
  </si>
  <si>
    <t>Alectra - PowerStream Rate Zone</t>
  </si>
  <si>
    <t xml:space="preserve">Estimated  accrual based on using 1st estimate rates for the unbilled periods </t>
  </si>
  <si>
    <t>"Typical" Cycle Billing pattern</t>
  </si>
  <si>
    <t>Materiality amount ±</t>
  </si>
  <si>
    <t>N</t>
  </si>
  <si>
    <t>Y</t>
  </si>
  <si>
    <t>See 2016 Summary tab</t>
  </si>
  <si>
    <t>PowerStream books non-RPP GA revenues and costs separately from RPP so no impact. Cost was recorded based on actual rate from IESO invoice at both Dec 31/15 and Dec 31/16.</t>
  </si>
  <si>
    <t>Summary of Reconciling items</t>
  </si>
  <si>
    <t>Impact of opening unbilled accruals:</t>
  </si>
  <si>
    <t>Impact of closing unbilled accruals:</t>
  </si>
  <si>
    <t>1a.</t>
  </si>
  <si>
    <t xml:space="preserve">December accrual was based on December billing of November consumption at November </t>
  </si>
  <si>
    <t>Over accrual due to kWhs</t>
  </si>
  <si>
    <t>Over accrual due to rate</t>
  </si>
  <si>
    <t>Opening Accrual impact from rates and quantities differences</t>
  </si>
  <si>
    <t xml:space="preserve">Class B non-interval - impact of reversal of Dec 2015 under accrued revenue </t>
  </si>
  <si>
    <t>1b.</t>
  </si>
  <si>
    <t>Avg. Rate</t>
  </si>
  <si>
    <t>Unbilled  GA</t>
  </si>
  <si>
    <t>Total unbilled GA</t>
  </si>
  <si>
    <t>Dec 2014 actual rate</t>
  </si>
  <si>
    <t>Dec 2014 accrual</t>
  </si>
  <si>
    <t>Dec 2014 Accrued revenue</t>
  </si>
  <si>
    <t>Dec 2014 Accrued cost</t>
  </si>
  <si>
    <t>At Dec 31/14, the accrued costs were updated to reflect the actual Dec 2014 IESO</t>
  </si>
  <si>
    <t xml:space="preserve">GA revenue for January 2015 and creating a variance that offsets the Dec 2014 variance. </t>
  </si>
  <si>
    <t>2015 Summary Reconciliation - GA Variance</t>
  </si>
  <si>
    <r>
      <t xml:space="preserve">Materiality amount </t>
    </r>
    <r>
      <rPr>
        <sz val="11"/>
        <color theme="1"/>
        <rFont val="Calibri"/>
        <family val="2"/>
      </rPr>
      <t>±</t>
    </r>
  </si>
  <si>
    <t>See 2015 Summary tab</t>
  </si>
  <si>
    <t>Quantity</t>
  </si>
  <si>
    <t xml:space="preserve">Class B non-interval - impact of reversal of Dec 2014 over accrued revenue </t>
  </si>
  <si>
    <t>$239,979 in Dec 2014 for Class A GA revenue which when reversed in Janaury reduced the</t>
  </si>
  <si>
    <t>PowerStream books non-RPP GA revenues and costs separately from RPP so no impact. Cost was recorded based on actual rate from IESO invoice at both Dec 31/14 and Dec 31/15.</t>
  </si>
  <si>
    <t>PowerStream books non-RPP GA revenues and costs separately from RPP so no impact. Cost was recorded based on actual rate from IESO invoice at both Dec 31/14and Dec 31/15.</t>
  </si>
  <si>
    <t>Dec 2014 first estimate rate</t>
  </si>
  <si>
    <t>Under accrual due to rate</t>
  </si>
  <si>
    <t>2014 first estimate rate results in the following differences:</t>
  </si>
  <si>
    <t xml:space="preserve">Calculated GA Cost </t>
  </si>
  <si>
    <t>Variance between Calculated and Actual IESO Costs</t>
  </si>
  <si>
    <t xml:space="preserve">Total calculated costs using published rates compared to the actual IESO costs </t>
  </si>
  <si>
    <t>2015 and 2016</t>
  </si>
  <si>
    <t>Actual Non RPP Class B GL costs are greater than the GA Calculated workform amount . See 2015 Summary tab.</t>
  </si>
  <si>
    <t>Actual IESO Cost [GL]</t>
  </si>
  <si>
    <t>Unresolved difference</t>
  </si>
  <si>
    <t>NON- RPPn class B:</t>
  </si>
  <si>
    <t>Class B - total current year unbilled</t>
  </si>
  <si>
    <t>Class A - impact of Dec 2014 underaccrued revenue:</t>
  </si>
  <si>
    <t>2a.</t>
  </si>
  <si>
    <t>2b.</t>
  </si>
  <si>
    <t>Actual Recorded IESO GA costs are less than the calcuated GA costs per worksheet above. See 2016 Summary tab.</t>
  </si>
  <si>
    <t>December 2015 billed and accrued amounts come from January 2016 activity within the Workform.</t>
  </si>
  <si>
    <t>Dec 2016 unbilled accrual difference:</t>
  </si>
  <si>
    <t>Accrued amount for December 2016:</t>
  </si>
  <si>
    <t>Accrued for December 2016</t>
  </si>
  <si>
    <t>Class B interval - impact of reversal of Dec 2014 over accrued revenue</t>
  </si>
  <si>
    <t>Actual revenue for December 2014 billed in January 2015</t>
  </si>
  <si>
    <t xml:space="preserve">less accrual December 2014 </t>
  </si>
  <si>
    <t>Over accrual  at Dec 31/14 reduced 2015 GA revenue</t>
  </si>
  <si>
    <t>December accrual was based on December billing of November consumption using December</t>
  </si>
  <si>
    <t xml:space="preserve">Estimated  accrual based on using 1st estimate rates from NonInt Billing tab for the unbilled periods </t>
  </si>
  <si>
    <t>Over accrual that will reduce 2015 revenues</t>
  </si>
  <si>
    <t>Over accrual at Dec 31/14 reduced 2015 GA revenue</t>
  </si>
  <si>
    <t>Dec 2015 unbilled accrual</t>
  </si>
  <si>
    <t>Dec unbilled actual kWhs</t>
  </si>
  <si>
    <t>Dec expected unbilled kWhs</t>
  </si>
  <si>
    <t>Over accrual at Dec 31/15 reduced 2016 GA revenue</t>
  </si>
  <si>
    <t>December accrual was based on November consumption and pricing. The expected kWhs is based on current month billed plus the difference between previous and current month unbilled, and the pricing is based on the actual GA pricing:</t>
  </si>
  <si>
    <t>Class B interval - impact of reversal of Dec 2015 over accrued revenue</t>
  </si>
  <si>
    <t>Over accrual at Dec31/15 reduced 2016 GA revenue</t>
  </si>
  <si>
    <t>Over accrual  at Dec 31/15 reduced 2016 GA revenue</t>
  </si>
  <si>
    <t>December 2015 unbilled accrual</t>
  </si>
  <si>
    <t>December 2014 unbilled accrual</t>
  </si>
  <si>
    <t>Under accrual that will increase 2016 revenues</t>
  </si>
  <si>
    <t>Class B interval - impact of Dec 2016 over accrued revenue at Nov rate rather than Dec</t>
  </si>
  <si>
    <t>Class B non-interval - impact of 2016 over accrued revenue at previously billed rate vs. expected</t>
  </si>
  <si>
    <t>Over accrual at Dec31/15 increased 2015 GA revenue</t>
  </si>
  <si>
    <t>Under accrual that decreased 2015 revenues</t>
  </si>
  <si>
    <t xml:space="preserve">Unbilled vs. Estimated </t>
  </si>
  <si>
    <t>Closing Accrual impact from rates and quantities differences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</si>
</sst>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0.0%"/>
    <numFmt numFmtId="167" formatCode="_-&quot;$&quot;* #,##0_-;\-&quot;$&quot;* #,##0_-;_-&quot;$&quot;* &quot;-&quot;??_-;_-@_-"/>
    <numFmt numFmtId="168" formatCode="0.00000"/>
    <numFmt numFmtId="169" formatCode="_-* #,##0_-;\-* #,##0_-;_-* &quot;-&quot;??_-;_-@_-"/>
    <numFmt numFmtId="170" formatCode="_-&quot;$&quot;* #,##0.00000_-;\-&quot;$&quot;* #,##0.00000_-;_-&quot;$&quot;* &quot;-&quot;??_-;_-@_-"/>
    <numFmt numFmtId="171" formatCode="&quot;$&quot;#,##0;\(&quot;$&quot;#,##0\)"/>
    <numFmt numFmtId="172" formatCode="_-* #,##0.00000_-;\-* #,##0.00000_-;_-* &quot;-&quot;??_-;_-@_-"/>
    <numFmt numFmtId="173" formatCode="_-* #,##0.000000_-;\-* #,##0.000000_-;_-* &quot;-&quot;??_-;_-@_-"/>
    <numFmt numFmtId="174" formatCode="_(* #,##0_);_(* \(#,##0\);_(* &quot;-&quot;??_);_(@_)"/>
    <numFmt numFmtId="175" formatCode="&quot;$&quot;#,##0"/>
    <numFmt numFmtId="176" formatCode="mmmm\ yyyy"/>
    <numFmt numFmtId="177" formatCode="&quot;$&quot;#,##0.00000;\(&quot;$&quot;#,##0.00000\)"/>
    <numFmt numFmtId="178" formatCode="&quot;$&quot;#,##0.0000000;\(&quot;$&quot;#,##0.0000000\)"/>
    <numFmt numFmtId="179" formatCode="_(&quot;$&quot;* #,##0_);_(&quot;$&quot;* \(#,##0\);_(&quot;$&quot;* &quot;-&quot;??_);_(@_)"/>
  </numFmts>
  <fonts count="2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
      <b/>
      <sz val="10"/>
      <color theme="1"/>
      <name val="Arial Narrow"/>
      <family val="2"/>
    </font>
    <font>
      <b/>
      <sz val="10"/>
      <name val="Arial Narrow"/>
      <family val="2"/>
    </font>
    <font>
      <b/>
      <sz val="11"/>
      <color theme="1"/>
      <name val="Calibri"/>
      <family val="2"/>
      <scheme val="minor"/>
    </font>
    <font>
      <sz val="11"/>
      <color theme="1"/>
      <name val="Calibri"/>
      <family val="2"/>
    </font>
    <font>
      <sz val="11"/>
      <name val="Calibri"/>
      <family val="2"/>
      <scheme val="minor"/>
    </font>
    <font>
      <b/>
      <sz val="11"/>
      <name val="Calibri"/>
      <family val="2"/>
      <scheme val="minor"/>
    </font>
    <font>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s>
  <cellStyleXfs count="9">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cellStyleXfs>
  <cellXfs count="41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2" fillId="2" borderId="3" xfId="0" applyFont="1" applyFill="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7" fontId="2" fillId="2" borderId="0" xfId="1" applyNumberFormat="1" applyFont="1" applyFill="1"/>
    <xf numFmtId="44" fontId="2" fillId="0" borderId="0" xfId="1" applyFont="1"/>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xf numFmtId="0" fontId="13" fillId="0" borderId="0" xfId="0" applyFont="1" applyAlignment="1">
      <alignment horizontal="right"/>
    </xf>
    <xf numFmtId="0" fontId="2" fillId="2" borderId="9" xfId="0" applyFont="1" applyFill="1" applyBorder="1"/>
    <xf numFmtId="0" fontId="14" fillId="0" borderId="0" xfId="0" applyFont="1" applyBorder="1"/>
    <xf numFmtId="44" fontId="12" fillId="0" borderId="0" xfId="1" applyFont="1" applyBorder="1"/>
    <xf numFmtId="9" fontId="12" fillId="0" borderId="0" xfId="4" applyFont="1" applyBorder="1"/>
    <xf numFmtId="169" fontId="2" fillId="2" borderId="2" xfId="5" applyNumberFormat="1" applyFont="1" applyFill="1" applyBorder="1"/>
    <xf numFmtId="166" fontId="2" fillId="0" borderId="19"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6" fillId="0" borderId="16"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9" fontId="13" fillId="0" borderId="10" xfId="4" applyFont="1" applyBorder="1"/>
    <xf numFmtId="9" fontId="13" fillId="0" borderId="0" xfId="4" applyFont="1" applyBorder="1"/>
    <xf numFmtId="0" fontId="7" fillId="0" borderId="0" xfId="0" applyFont="1" applyAlignment="1">
      <alignment horizontal="right"/>
    </xf>
    <xf numFmtId="0" fontId="6" fillId="0" borderId="13"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17" xfId="0" applyFont="1" applyFill="1" applyBorder="1" applyAlignment="1"/>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5"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7" fillId="0" borderId="0" xfId="0" applyFont="1" applyAlignment="1"/>
    <xf numFmtId="0" fontId="10" fillId="0" borderId="0" xfId="0" applyFont="1" applyAlignment="1">
      <alignment horizontal="left"/>
    </xf>
    <xf numFmtId="0" fontId="16" fillId="0" borderId="0" xfId="0" applyFont="1" applyAlignment="1">
      <alignment horizontal="left"/>
    </xf>
    <xf numFmtId="0" fontId="10" fillId="0" borderId="0" xfId="0" applyFont="1" applyAlignment="1">
      <alignment horizontal="left" wrapText="1"/>
    </xf>
    <xf numFmtId="0" fontId="17" fillId="0" borderId="0" xfId="0" applyFont="1" applyAlignment="1">
      <alignment vertical="top" wrapText="1"/>
    </xf>
    <xf numFmtId="0" fontId="17"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3"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0" fontId="7" fillId="2" borderId="2" xfId="0" applyFont="1" applyFill="1" applyBorder="1"/>
    <xf numFmtId="166" fontId="7" fillId="0" borderId="14"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4" xfId="1" applyNumberFormat="1" applyFont="1" applyFill="1" applyBorder="1"/>
    <xf numFmtId="167" fontId="7" fillId="0" borderId="14" xfId="1" applyNumberFormat="1" applyFont="1" applyFill="1" applyBorder="1"/>
    <xf numFmtId="169" fontId="7" fillId="0" borderId="14" xfId="5" applyNumberFormat="1" applyFont="1" applyFill="1" applyBorder="1" applyAlignment="1">
      <alignment horizontal="center" vertical="center"/>
    </xf>
    <xf numFmtId="169" fontId="7" fillId="2" borderId="20"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0" fontId="3" fillId="0" borderId="2" xfId="0" applyFont="1" applyBorder="1" applyAlignment="1">
      <alignment horizontal="center"/>
    </xf>
    <xf numFmtId="0" fontId="3" fillId="0" borderId="21" xfId="0" applyFont="1" applyBorder="1" applyAlignment="1">
      <alignment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3" fillId="0" borderId="23" xfId="0" applyFont="1" applyBorder="1" applyAlignment="1">
      <alignment horizontal="center" wrapText="1"/>
    </xf>
    <xf numFmtId="0" fontId="6" fillId="0" borderId="24" xfId="0" applyFont="1" applyBorder="1" applyAlignment="1">
      <alignment horizontal="center" wrapText="1"/>
    </xf>
    <xf numFmtId="0" fontId="7" fillId="0" borderId="3" xfId="0" applyFont="1" applyBorder="1" applyAlignment="1">
      <alignment horizontal="left" vertical="center"/>
    </xf>
    <xf numFmtId="0" fontId="7" fillId="0" borderId="20" xfId="0" applyFont="1" applyBorder="1" applyAlignment="1">
      <alignment horizontal="left" vertical="center"/>
    </xf>
    <xf numFmtId="0" fontId="2" fillId="3" borderId="0" xfId="0" applyFont="1" applyFill="1" applyBorder="1"/>
    <xf numFmtId="167" fontId="2" fillId="2" borderId="9" xfId="1" applyNumberFormat="1" applyFont="1" applyFill="1" applyBorder="1"/>
    <xf numFmtId="167" fontId="2" fillId="0" borderId="0" xfId="1" applyNumberFormat="1" applyFont="1" applyBorder="1"/>
    <xf numFmtId="166" fontId="2" fillId="0" borderId="0" xfId="4" applyNumberFormat="1" applyFont="1" applyBorder="1"/>
    <xf numFmtId="0" fontId="2" fillId="0" borderId="2" xfId="0" applyFont="1" applyFill="1" applyBorder="1"/>
    <xf numFmtId="0" fontId="3" fillId="0" borderId="7" xfId="0" applyFont="1" applyBorder="1"/>
    <xf numFmtId="169" fontId="3" fillId="0" borderId="1" xfId="5" applyNumberFormat="1" applyFont="1" applyFill="1" applyBorder="1"/>
    <xf numFmtId="0" fontId="6" fillId="2" borderId="9" xfId="0" applyFont="1" applyFill="1" applyBorder="1" applyAlignment="1">
      <alignment horizontal="center" vertical="center"/>
    </xf>
    <xf numFmtId="169" fontId="7" fillId="0" borderId="3" xfId="5" applyNumberFormat="1" applyFont="1" applyFill="1" applyBorder="1" applyAlignment="1">
      <alignment horizontal="center" vertical="center"/>
    </xf>
    <xf numFmtId="0" fontId="7" fillId="0" borderId="0" xfId="0" applyFont="1" applyFill="1" applyBorder="1" applyAlignment="1"/>
    <xf numFmtId="167" fontId="3" fillId="0" borderId="1" xfId="1" applyNumberFormat="1" applyFont="1" applyFill="1" applyBorder="1"/>
    <xf numFmtId="0" fontId="18" fillId="0" borderId="15" xfId="0" applyFont="1" applyBorder="1" applyAlignment="1">
      <alignment wrapText="1"/>
    </xf>
    <xf numFmtId="0" fontId="19" fillId="0" borderId="12" xfId="0" applyFont="1" applyBorder="1" applyAlignment="1">
      <alignment horizontal="center" wrapText="1"/>
    </xf>
    <xf numFmtId="0" fontId="18" fillId="0" borderId="12" xfId="0" applyFont="1" applyBorder="1" applyAlignment="1">
      <alignment horizontal="center" wrapText="1"/>
    </xf>
    <xf numFmtId="0" fontId="6" fillId="0" borderId="25" xfId="0" applyFont="1" applyBorder="1" applyAlignment="1">
      <alignment horizontal="center" wrapText="1"/>
    </xf>
    <xf numFmtId="170" fontId="2" fillId="0" borderId="2" xfId="1" applyNumberFormat="1" applyFont="1" applyFill="1" applyBorder="1"/>
    <xf numFmtId="170" fontId="2" fillId="2" borderId="2" xfId="0" applyNumberFormat="1" applyFont="1" applyFill="1" applyBorder="1"/>
    <xf numFmtId="0" fontId="19" fillId="0" borderId="26" xfId="0" applyFont="1" applyBorder="1" applyAlignment="1">
      <alignment horizontal="center" wrapText="1"/>
    </xf>
    <xf numFmtId="171" fontId="2" fillId="0" borderId="0" xfId="0" applyNumberFormat="1" applyFont="1"/>
    <xf numFmtId="167" fontId="3" fillId="0" borderId="18" xfId="1" applyNumberFormat="1" applyFont="1" applyFill="1" applyBorder="1"/>
    <xf numFmtId="171" fontId="2" fillId="0" borderId="2" xfId="0" applyNumberFormat="1" applyFont="1" applyBorder="1"/>
    <xf numFmtId="0" fontId="0" fillId="0" borderId="2" xfId="0" applyBorder="1"/>
    <xf numFmtId="167" fontId="3" fillId="0" borderId="2" xfId="1" applyNumberFormat="1" applyFont="1" applyBorder="1"/>
    <xf numFmtId="167" fontId="2" fillId="0" borderId="0" xfId="0" applyNumberFormat="1" applyFont="1"/>
    <xf numFmtId="0" fontId="3" fillId="0" borderId="0" xfId="0" applyFont="1" applyAlignment="1">
      <alignment horizontal="center"/>
    </xf>
    <xf numFmtId="0" fontId="2" fillId="0" borderId="0" xfId="0" applyFont="1" applyAlignment="1">
      <alignment horizontal="center"/>
    </xf>
    <xf numFmtId="0" fontId="2" fillId="0" borderId="0" xfId="0" quotePrefix="1" applyFont="1" applyAlignment="1">
      <alignment horizontal="center"/>
    </xf>
    <xf numFmtId="167" fontId="2" fillId="0" borderId="3" xfId="1" applyNumberFormat="1" applyFont="1" applyBorder="1"/>
    <xf numFmtId="170" fontId="2" fillId="0" borderId="0" xfId="1" applyNumberFormat="1" applyFont="1"/>
    <xf numFmtId="169" fontId="2" fillId="0" borderId="0" xfId="5" applyNumberFormat="1" applyFont="1"/>
    <xf numFmtId="169" fontId="2" fillId="0" borderId="0" xfId="0" applyNumberFormat="1" applyFont="1"/>
    <xf numFmtId="170" fontId="2" fillId="0" borderId="0" xfId="0" applyNumberFormat="1" applyFont="1"/>
    <xf numFmtId="167" fontId="2" fillId="0" borderId="18" xfId="1" applyNumberFormat="1" applyFont="1" applyBorder="1"/>
    <xf numFmtId="167" fontId="3" fillId="0" borderId="19" xfId="1" applyNumberFormat="1" applyFont="1" applyBorder="1"/>
    <xf numFmtId="167" fontId="3" fillId="0" borderId="0" xfId="1" applyNumberFormat="1" applyFont="1" applyBorder="1"/>
    <xf numFmtId="0" fontId="0" fillId="0" borderId="2" xfId="0" applyBorder="1" applyAlignment="1">
      <alignment horizontal="center" wrapText="1"/>
    </xf>
    <xf numFmtId="169" fontId="0" fillId="0" borderId="2" xfId="5" applyNumberFormat="1" applyFont="1" applyBorder="1"/>
    <xf numFmtId="169" fontId="0" fillId="0" borderId="2" xfId="0" applyNumberFormat="1" applyBorder="1"/>
    <xf numFmtId="169" fontId="0" fillId="4" borderId="2" xfId="5" applyNumberFormat="1" applyFont="1" applyFill="1" applyBorder="1"/>
    <xf numFmtId="0" fontId="0" fillId="4" borderId="2" xfId="0" applyFill="1" applyBorder="1"/>
    <xf numFmtId="169" fontId="0" fillId="4" borderId="2" xfId="0" applyNumberFormat="1" applyFill="1" applyBorder="1"/>
    <xf numFmtId="0" fontId="0" fillId="0" borderId="2" xfId="0" applyBorder="1" applyAlignment="1">
      <alignment horizontal="center" wrapText="1"/>
    </xf>
    <xf numFmtId="169" fontId="0" fillId="0" borderId="2" xfId="0" applyNumberFormat="1" applyFill="1" applyBorder="1"/>
    <xf numFmtId="169" fontId="0" fillId="0" borderId="0" xfId="0" applyNumberFormat="1"/>
    <xf numFmtId="43" fontId="0" fillId="0" borderId="0" xfId="5" applyFont="1"/>
    <xf numFmtId="43" fontId="0" fillId="0" borderId="2" xfId="5" applyFont="1" applyBorder="1"/>
    <xf numFmtId="43" fontId="0" fillId="0" borderId="0" xfId="5" applyFont="1" applyBorder="1" applyAlignment="1">
      <alignment horizontal="center"/>
    </xf>
    <xf numFmtId="166" fontId="0" fillId="0" borderId="2" xfId="4" applyNumberFormat="1" applyFont="1" applyBorder="1" applyAlignment="1">
      <alignment horizontal="center"/>
    </xf>
    <xf numFmtId="17" fontId="0" fillId="0" borderId="0" xfId="0" applyNumberFormat="1"/>
    <xf numFmtId="169" fontId="0" fillId="0" borderId="0" xfId="5" applyNumberFormat="1" applyFont="1"/>
    <xf numFmtId="0" fontId="0" fillId="0" borderId="0" xfId="0" applyAlignment="1">
      <alignment horizontal="center"/>
    </xf>
    <xf numFmtId="0" fontId="20" fillId="0" borderId="0" xfId="0" applyFont="1"/>
    <xf numFmtId="44" fontId="0" fillId="0" borderId="0" xfId="1" applyFont="1"/>
    <xf numFmtId="44" fontId="0" fillId="0" borderId="0" xfId="0" applyNumberFormat="1"/>
    <xf numFmtId="43" fontId="20" fillId="0" borderId="0" xfId="5" applyFont="1"/>
    <xf numFmtId="44" fontId="20" fillId="0" borderId="0" xfId="0" applyNumberFormat="1" applyFont="1"/>
    <xf numFmtId="170" fontId="0" fillId="0" borderId="0" xfId="1" applyNumberFormat="1" applyFont="1"/>
    <xf numFmtId="0" fontId="2" fillId="0" borderId="2" xfId="0" quotePrefix="1" applyFont="1" applyBorder="1"/>
    <xf numFmtId="0" fontId="2" fillId="0" borderId="3" xfId="0" quotePrefix="1" applyFont="1" applyBorder="1"/>
    <xf numFmtId="0" fontId="3" fillId="0" borderId="9" xfId="0" applyFont="1" applyFill="1" applyBorder="1" applyAlignment="1">
      <alignment horizontal="center" wrapText="1"/>
    </xf>
    <xf numFmtId="168" fontId="2" fillId="0" borderId="9" xfId="0" applyNumberFormat="1" applyFont="1" applyBorder="1"/>
    <xf numFmtId="168" fontId="2" fillId="0" borderId="28" xfId="0" applyNumberFormat="1" applyFont="1" applyBorder="1"/>
    <xf numFmtId="0" fontId="20" fillId="0" borderId="2" xfId="0" applyFont="1" applyBorder="1" applyAlignment="1">
      <alignment horizontal="right"/>
    </xf>
    <xf numFmtId="0" fontId="20" fillId="0" borderId="2" xfId="0" applyFont="1" applyBorder="1" applyAlignment="1">
      <alignment horizontal="center" wrapText="1"/>
    </xf>
    <xf numFmtId="168" fontId="0" fillId="0" borderId="2" xfId="0" applyNumberFormat="1" applyBorder="1"/>
    <xf numFmtId="0" fontId="0" fillId="0" borderId="2" xfId="0" applyBorder="1" applyAlignment="1">
      <alignment horizontal="center" wrapText="1"/>
    </xf>
    <xf numFmtId="0" fontId="0" fillId="0" borderId="2" xfId="0" applyBorder="1" applyAlignment="1">
      <alignment horizontal="center" wrapText="1"/>
    </xf>
    <xf numFmtId="166" fontId="0" fillId="0" borderId="0" xfId="4" applyNumberFormat="1"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left" vertical="center"/>
    </xf>
    <xf numFmtId="0" fontId="6" fillId="0" borderId="2" xfId="0" applyFont="1" applyBorder="1" applyAlignment="1">
      <alignment horizontal="center"/>
    </xf>
    <xf numFmtId="0" fontId="0" fillId="5" borderId="0" xfId="0" applyFill="1"/>
    <xf numFmtId="166" fontId="0" fillId="0" borderId="2" xfId="0" applyNumberFormat="1" applyBorder="1"/>
    <xf numFmtId="168" fontId="0" fillId="0" borderId="3" xfId="0" applyNumberFormat="1" applyBorder="1"/>
    <xf numFmtId="0" fontId="2" fillId="0" borderId="2" xfId="0" quotePrefix="1" applyFont="1" applyFill="1" applyBorder="1"/>
    <xf numFmtId="168" fontId="2" fillId="0" borderId="2" xfId="0" applyNumberFormat="1" applyFont="1" applyFill="1" applyBorder="1" applyAlignment="1">
      <alignment wrapText="1"/>
    </xf>
    <xf numFmtId="168" fontId="2" fillId="0" borderId="9" xfId="0" applyNumberFormat="1" applyFont="1" applyFill="1" applyBorder="1" applyAlignment="1">
      <alignment wrapText="1"/>
    </xf>
    <xf numFmtId="168" fontId="0" fillId="0" borderId="2" xfId="0" applyNumberFormat="1" applyFill="1" applyBorder="1"/>
    <xf numFmtId="0" fontId="0" fillId="0" borderId="0" xfId="0" applyFill="1"/>
    <xf numFmtId="169" fontId="20" fillId="0" borderId="0" xfId="5" applyNumberFormat="1" applyFont="1"/>
    <xf numFmtId="44" fontId="20" fillId="0" borderId="0" xfId="1" applyFont="1"/>
    <xf numFmtId="172" fontId="0" fillId="0" borderId="0" xfId="1" applyNumberFormat="1" applyFont="1"/>
    <xf numFmtId="0" fontId="2" fillId="0" borderId="0" xfId="0" applyFont="1" applyAlignment="1">
      <alignment horizontal="right"/>
    </xf>
    <xf numFmtId="170" fontId="2" fillId="0" borderId="1" xfId="1" applyNumberFormat="1" applyFont="1" applyFill="1" applyBorder="1"/>
    <xf numFmtId="167" fontId="2" fillId="0" borderId="11" xfId="1" applyNumberFormat="1" applyFont="1" applyFill="1" applyBorder="1"/>
    <xf numFmtId="170" fontId="2" fillId="0" borderId="11" xfId="1" applyNumberFormat="1" applyFont="1" applyFill="1" applyBorder="1"/>
    <xf numFmtId="167" fontId="3" fillId="0" borderId="2" xfId="1" applyNumberFormat="1" applyFont="1" applyFill="1" applyBorder="1"/>
    <xf numFmtId="169" fontId="3" fillId="0" borderId="2" xfId="5" applyNumberFormat="1" applyFont="1" applyFill="1" applyBorder="1"/>
    <xf numFmtId="167" fontId="2" fillId="0" borderId="1" xfId="1" applyNumberFormat="1" applyFont="1" applyFill="1" applyBorder="1"/>
    <xf numFmtId="0" fontId="0" fillId="0" borderId="2" xfId="0" applyBorder="1" applyAlignment="1">
      <alignment horizontal="center"/>
    </xf>
    <xf numFmtId="0" fontId="0" fillId="0" borderId="2" xfId="0" applyBorder="1" applyAlignment="1">
      <alignment horizontal="center" wrapText="1"/>
    </xf>
    <xf numFmtId="43" fontId="0" fillId="0" borderId="2" xfId="5" applyFont="1" applyBorder="1" applyAlignment="1">
      <alignment horizontal="center"/>
    </xf>
    <xf numFmtId="171" fontId="2" fillId="0" borderId="0" xfId="1" applyNumberFormat="1" applyFont="1"/>
    <xf numFmtId="171" fontId="3" fillId="0" borderId="2" xfId="0" applyNumberFormat="1" applyFont="1" applyBorder="1"/>
    <xf numFmtId="0" fontId="3" fillId="0" borderId="2" xfId="0" applyFont="1" applyBorder="1" applyAlignment="1">
      <alignment horizontal="center"/>
    </xf>
    <xf numFmtId="174" fontId="5" fillId="0" borderId="0" xfId="5" applyNumberFormat="1" applyFont="1" applyFill="1" applyBorder="1"/>
    <xf numFmtId="0" fontId="7" fillId="0" borderId="0" xfId="0" applyFont="1" applyFill="1" applyBorder="1"/>
    <xf numFmtId="168" fontId="0" fillId="0" borderId="0" xfId="0" applyNumberFormat="1"/>
    <xf numFmtId="167" fontId="0" fillId="0" borderId="0" xfId="0" applyNumberFormat="1"/>
    <xf numFmtId="0" fontId="20" fillId="0" borderId="2" xfId="0" applyFont="1" applyBorder="1"/>
    <xf numFmtId="172" fontId="0" fillId="0" borderId="2" xfId="5" applyNumberFormat="1" applyFont="1" applyBorder="1"/>
    <xf numFmtId="168" fontId="0" fillId="0" borderId="2" xfId="0" applyNumberFormat="1" applyFont="1" applyBorder="1"/>
    <xf numFmtId="172" fontId="0" fillId="0" borderId="2" xfId="0" applyNumberFormat="1" applyFill="1" applyBorder="1"/>
    <xf numFmtId="172" fontId="0" fillId="0" borderId="0" xfId="5" applyNumberFormat="1" applyFont="1" applyFill="1" applyBorder="1"/>
    <xf numFmtId="172" fontId="0" fillId="0" borderId="0" xfId="5" applyNumberFormat="1" applyFont="1" applyBorder="1" applyAlignment="1">
      <alignment horizontal="center"/>
    </xf>
    <xf numFmtId="172" fontId="0" fillId="0" borderId="2" xfId="5" applyNumberFormat="1" applyFont="1" applyFill="1" applyBorder="1"/>
    <xf numFmtId="172" fontId="0" fillId="0" borderId="0" xfId="0" applyNumberFormat="1"/>
    <xf numFmtId="44" fontId="0" fillId="0" borderId="2" xfId="1" applyFont="1" applyBorder="1"/>
    <xf numFmtId="44" fontId="0" fillId="0" borderId="2" xfId="0" applyNumberFormat="1" applyBorder="1"/>
    <xf numFmtId="171" fontId="20" fillId="0" borderId="0" xfId="0" applyNumberFormat="1" applyFont="1"/>
    <xf numFmtId="167" fontId="0" fillId="0" borderId="2" xfId="1" applyNumberFormat="1" applyFont="1" applyBorder="1"/>
    <xf numFmtId="9" fontId="0" fillId="0" borderId="0" xfId="0" applyNumberFormat="1" applyFont="1"/>
    <xf numFmtId="167" fontId="1" fillId="0" borderId="0" xfId="1" applyNumberFormat="1" applyFont="1" applyAlignment="1">
      <alignment horizontal="right"/>
    </xf>
    <xf numFmtId="9" fontId="21" fillId="0" borderId="0" xfId="4" applyFont="1" applyBorder="1"/>
    <xf numFmtId="0" fontId="2" fillId="2" borderId="2" xfId="0" applyFont="1" applyFill="1" applyBorder="1" applyAlignment="1">
      <alignment horizontal="center" vertical="center"/>
    </xf>
    <xf numFmtId="171" fontId="2" fillId="2" borderId="2" xfId="1" applyNumberFormat="1" applyFont="1" applyFill="1" applyBorder="1"/>
    <xf numFmtId="0" fontId="20" fillId="0" borderId="0" xfId="0" applyFont="1" applyAlignment="1">
      <alignment horizontal="center"/>
    </xf>
    <xf numFmtId="0" fontId="0" fillId="0" borderId="0" xfId="0" applyFont="1"/>
    <xf numFmtId="0" fontId="0" fillId="0" borderId="0" xfId="0" applyFont="1" applyAlignment="1">
      <alignment horizontal="center"/>
    </xf>
    <xf numFmtId="0" fontId="0" fillId="0" borderId="0" xfId="0" applyFont="1" applyBorder="1"/>
    <xf numFmtId="171" fontId="0" fillId="0" borderId="0" xfId="0" applyNumberFormat="1" applyFont="1" applyBorder="1"/>
    <xf numFmtId="0" fontId="0" fillId="0" borderId="0" xfId="0" quotePrefix="1" applyFont="1" applyAlignment="1">
      <alignment horizontal="center"/>
    </xf>
    <xf numFmtId="0" fontId="0" fillId="0" borderId="2" xfId="0" applyFont="1" applyBorder="1" applyAlignment="1">
      <alignment wrapText="1"/>
    </xf>
    <xf numFmtId="171" fontId="0" fillId="0" borderId="2" xfId="0" applyNumberFormat="1" applyFont="1" applyBorder="1"/>
    <xf numFmtId="0" fontId="0" fillId="0" borderId="2" xfId="0" applyFont="1" applyBorder="1"/>
    <xf numFmtId="171" fontId="0" fillId="0" borderId="0" xfId="0" applyNumberFormat="1" applyFont="1"/>
    <xf numFmtId="170" fontId="0" fillId="0" borderId="2" xfId="1" applyNumberFormat="1" applyFont="1" applyFill="1" applyBorder="1"/>
    <xf numFmtId="169" fontId="0" fillId="0" borderId="2" xfId="5" applyNumberFormat="1" applyFont="1" applyFill="1" applyBorder="1"/>
    <xf numFmtId="167" fontId="0" fillId="0" borderId="2" xfId="1" applyNumberFormat="1" applyFont="1" applyFill="1" applyBorder="1"/>
    <xf numFmtId="0" fontId="0" fillId="0" borderId="0" xfId="0" applyFont="1" applyAlignment="1">
      <alignment wrapText="1"/>
    </xf>
    <xf numFmtId="169" fontId="0" fillId="0" borderId="2" xfId="0" applyNumberFormat="1" applyFont="1" applyBorder="1"/>
    <xf numFmtId="0" fontId="22" fillId="0" borderId="2" xfId="0" applyFont="1" applyFill="1" applyBorder="1" applyAlignment="1">
      <alignment horizontal="right"/>
    </xf>
    <xf numFmtId="0" fontId="22" fillId="0" borderId="2" xfId="0" applyFont="1" applyFill="1" applyBorder="1" applyAlignment="1">
      <alignment wrapText="1"/>
    </xf>
    <xf numFmtId="171" fontId="0" fillId="0" borderId="2" xfId="1" applyNumberFormat="1" applyFont="1" applyFill="1" applyBorder="1"/>
    <xf numFmtId="0" fontId="22" fillId="0" borderId="0" xfId="0" applyFont="1" applyFill="1" applyBorder="1" applyAlignment="1">
      <alignment horizontal="right"/>
    </xf>
    <xf numFmtId="0" fontId="23" fillId="0" borderId="2" xfId="0" applyFont="1" applyFill="1" applyBorder="1" applyAlignment="1">
      <alignment wrapText="1"/>
    </xf>
    <xf numFmtId="171" fontId="20" fillId="0" borderId="2" xfId="1" applyNumberFormat="1" applyFont="1" applyFill="1" applyBorder="1"/>
    <xf numFmtId="171" fontId="2" fillId="0" borderId="10" xfId="1" applyNumberFormat="1" applyFont="1" applyBorder="1"/>
    <xf numFmtId="0" fontId="20" fillId="0" borderId="2" xfId="0" applyFont="1" applyBorder="1" applyAlignment="1">
      <alignment wrapText="1"/>
    </xf>
    <xf numFmtId="171" fontId="20" fillId="0" borderId="2" xfId="0" applyNumberFormat="1" applyFont="1" applyBorder="1"/>
    <xf numFmtId="0" fontId="0" fillId="0" borderId="0" xfId="0" applyFont="1" applyBorder="1" applyAlignment="1">
      <alignment wrapText="1"/>
    </xf>
    <xf numFmtId="0" fontId="0" fillId="0" borderId="0" xfId="0" applyFont="1" applyBorder="1" applyAlignment="1">
      <alignment horizontal="center"/>
    </xf>
    <xf numFmtId="0" fontId="20" fillId="0" borderId="0" xfId="0" applyFont="1" applyBorder="1"/>
    <xf numFmtId="18" fontId="0" fillId="0" borderId="0" xfId="0" applyNumberFormat="1" applyFont="1" applyAlignment="1">
      <alignment horizontal="center"/>
    </xf>
    <xf numFmtId="170" fontId="0" fillId="0" borderId="2" xfId="1" applyNumberFormat="1" applyFont="1" applyBorder="1"/>
    <xf numFmtId="0" fontId="20" fillId="0" borderId="0" xfId="0" quotePrefix="1" applyFont="1" applyAlignment="1">
      <alignment horizontal="center"/>
    </xf>
    <xf numFmtId="0" fontId="20" fillId="0" borderId="0" xfId="0" applyFont="1" applyBorder="1" applyAlignment="1">
      <alignment horizontal="center"/>
    </xf>
    <xf numFmtId="0" fontId="20" fillId="0" borderId="0" xfId="0" quotePrefix="1" applyFont="1" applyBorder="1" applyAlignment="1">
      <alignment horizontal="center"/>
    </xf>
    <xf numFmtId="43" fontId="0" fillId="0" borderId="0" xfId="0" applyNumberFormat="1"/>
    <xf numFmtId="168" fontId="2" fillId="2" borderId="2" xfId="0" applyNumberFormat="1" applyFont="1" applyFill="1" applyBorder="1"/>
    <xf numFmtId="168" fontId="2" fillId="2" borderId="2" xfId="1" applyNumberFormat="1" applyFont="1" applyFill="1" applyBorder="1"/>
    <xf numFmtId="168" fontId="2" fillId="2" borderId="3" xfId="0" applyNumberFormat="1" applyFont="1" applyFill="1" applyBorder="1"/>
    <xf numFmtId="171" fontId="2" fillId="0" borderId="0" xfId="0" applyNumberFormat="1" applyFont="1" applyBorder="1"/>
    <xf numFmtId="9" fontId="7" fillId="0" borderId="0" xfId="4" applyFont="1" applyAlignment="1">
      <alignment horizontal="right"/>
    </xf>
    <xf numFmtId="167" fontId="7" fillId="0" borderId="0" xfId="1" applyNumberFormat="1" applyFont="1" applyAlignment="1">
      <alignment horizontal="right"/>
    </xf>
    <xf numFmtId="167" fontId="2" fillId="5" borderId="8" xfId="1" applyNumberFormat="1" applyFont="1" applyFill="1" applyBorder="1"/>
    <xf numFmtId="175" fontId="2" fillId="2" borderId="2" xfId="1" applyNumberFormat="1" applyFont="1" applyFill="1" applyBorder="1"/>
    <xf numFmtId="164" fontId="2" fillId="2" borderId="2" xfId="1" applyNumberFormat="1" applyFont="1" applyFill="1" applyBorder="1"/>
    <xf numFmtId="171" fontId="3" fillId="0" borderId="30" xfId="0" applyNumberFormat="1" applyFont="1" applyBorder="1" applyAlignment="1">
      <alignment wrapText="1"/>
    </xf>
    <xf numFmtId="0" fontId="3" fillId="0" borderId="30" xfId="0" applyFont="1" applyBorder="1" applyAlignment="1">
      <alignment horizontal="center" wrapText="1"/>
    </xf>
    <xf numFmtId="0" fontId="6" fillId="0" borderId="31" xfId="0" quotePrefix="1" applyFont="1" applyBorder="1" applyAlignment="1">
      <alignment horizontal="center" wrapText="1"/>
    </xf>
    <xf numFmtId="167" fontId="3" fillId="0" borderId="0" xfId="1" applyNumberFormat="1" applyFont="1" applyAlignment="1">
      <alignment horizontal="center" vertical="center"/>
    </xf>
    <xf numFmtId="0" fontId="2" fillId="0" borderId="0" xfId="0" applyFont="1" applyBorder="1" applyAlignment="1">
      <alignment horizontal="center"/>
    </xf>
    <xf numFmtId="0" fontId="2" fillId="0" borderId="0" xfId="0" applyFont="1" applyAlignment="1">
      <alignment wrapText="1"/>
    </xf>
    <xf numFmtId="0" fontId="2" fillId="2" borderId="9" xfId="0" applyFont="1" applyFill="1" applyBorder="1" applyAlignment="1">
      <alignment horizontal="center" vertical="center"/>
    </xf>
    <xf numFmtId="0" fontId="3" fillId="0" borderId="2" xfId="0" applyFont="1" applyBorder="1" applyAlignment="1">
      <alignment horizontal="center"/>
    </xf>
    <xf numFmtId="171" fontId="2" fillId="0" borderId="2" xfId="1" applyNumberFormat="1" applyFont="1" applyFill="1" applyBorder="1"/>
    <xf numFmtId="0" fontId="7" fillId="0" borderId="0" xfId="0" applyFont="1" applyFill="1" applyBorder="1" applyAlignment="1">
      <alignment horizontal="right"/>
    </xf>
    <xf numFmtId="0" fontId="6" fillId="0" borderId="2" xfId="0" applyFont="1" applyFill="1" applyBorder="1" applyAlignment="1">
      <alignment wrapText="1"/>
    </xf>
    <xf numFmtId="171" fontId="3" fillId="0" borderId="2" xfId="1" applyNumberFormat="1" applyFont="1" applyFill="1" applyBorder="1"/>
    <xf numFmtId="0" fontId="3" fillId="0" borderId="0" xfId="0" quotePrefix="1" applyFont="1" applyAlignment="1">
      <alignment horizontal="center"/>
    </xf>
    <xf numFmtId="0" fontId="3" fillId="0" borderId="0" xfId="0" applyFont="1" applyBorder="1"/>
    <xf numFmtId="0" fontId="2" fillId="0" borderId="2" xfId="0" applyFont="1" applyBorder="1" applyAlignment="1">
      <alignment wrapText="1"/>
    </xf>
    <xf numFmtId="18" fontId="2" fillId="0" borderId="0" xfId="0" applyNumberFormat="1" applyFont="1" applyAlignment="1">
      <alignment horizontal="center"/>
    </xf>
    <xf numFmtId="0" fontId="2" fillId="0" borderId="0" xfId="0" applyFont="1" applyBorder="1" applyAlignment="1">
      <alignment wrapText="1"/>
    </xf>
    <xf numFmtId="0" fontId="3" fillId="0" borderId="0" xfId="0" applyFont="1" applyBorder="1" applyAlignment="1">
      <alignment horizontal="center"/>
    </xf>
    <xf numFmtId="169" fontId="2" fillId="0" borderId="2" xfId="0" applyNumberFormat="1" applyFont="1" applyBorder="1"/>
    <xf numFmtId="171" fontId="3" fillId="0" borderId="0" xfId="0" applyNumberFormat="1" applyFont="1"/>
    <xf numFmtId="0" fontId="2" fillId="0" borderId="0" xfId="0" applyFont="1" applyBorder="1" applyAlignment="1"/>
    <xf numFmtId="0" fontId="3" fillId="0" borderId="0" xfId="0" quotePrefix="1" applyFont="1" applyBorder="1" applyAlignment="1">
      <alignment horizontal="center"/>
    </xf>
    <xf numFmtId="165" fontId="3" fillId="0" borderId="0" xfId="1" applyNumberFormat="1" applyFont="1"/>
    <xf numFmtId="0" fontId="3" fillId="0" borderId="0" xfId="0" applyFont="1" applyBorder="1" applyAlignment="1">
      <alignment horizontal="center" wrapText="1"/>
    </xf>
    <xf numFmtId="171" fontId="3" fillId="0" borderId="0" xfId="0" applyNumberFormat="1" applyFont="1" applyBorder="1" applyAlignment="1">
      <alignment wrapText="1"/>
    </xf>
    <xf numFmtId="171" fontId="3" fillId="0" borderId="0" xfId="0" applyNumberFormat="1" applyFont="1" applyBorder="1" applyAlignment="1">
      <alignment horizontal="center" wrapText="1"/>
    </xf>
    <xf numFmtId="169" fontId="3" fillId="0" borderId="0" xfId="5" applyNumberFormat="1" applyFont="1" applyBorder="1"/>
    <xf numFmtId="178" fontId="2" fillId="0" borderId="0" xfId="0" applyNumberFormat="1" applyFont="1" applyBorder="1"/>
    <xf numFmtId="177" fontId="3" fillId="0" borderId="0" xfId="5" applyNumberFormat="1" applyFont="1" applyBorder="1"/>
    <xf numFmtId="171" fontId="3" fillId="0" borderId="0" xfId="0" applyNumberFormat="1" applyFont="1" applyBorder="1"/>
    <xf numFmtId="178" fontId="3" fillId="0" borderId="0" xfId="0" applyNumberFormat="1" applyFont="1" applyBorder="1"/>
    <xf numFmtId="171" fontId="5" fillId="0" borderId="0" xfId="5" applyNumberFormat="1" applyFont="1" applyFill="1" applyBorder="1"/>
    <xf numFmtId="178" fontId="3" fillId="0" borderId="0" xfId="0" applyNumberFormat="1" applyFont="1" applyBorder="1" applyAlignment="1">
      <alignment horizontal="center" wrapText="1"/>
    </xf>
    <xf numFmtId="0" fontId="3" fillId="0" borderId="29" xfId="0" applyFont="1" applyBorder="1" applyAlignment="1">
      <alignment horizontal="center" wrapText="1"/>
    </xf>
    <xf numFmtId="171" fontId="3" fillId="0" borderId="29" xfId="0" applyNumberFormat="1" applyFont="1" applyBorder="1" applyAlignment="1">
      <alignment wrapText="1"/>
    </xf>
    <xf numFmtId="179" fontId="2" fillId="2" borderId="2" xfId="1" applyNumberFormat="1" applyFont="1" applyFill="1" applyBorder="1"/>
    <xf numFmtId="169" fontId="7" fillId="0" borderId="0" xfId="0" applyNumberFormat="1" applyFont="1" applyFill="1" applyBorder="1" applyAlignment="1">
      <alignment horizontal="right" vertical="center"/>
    </xf>
    <xf numFmtId="0" fontId="0" fillId="0" borderId="0" xfId="0" applyFill="1" applyBorder="1"/>
    <xf numFmtId="0" fontId="0" fillId="0" borderId="0" xfId="0" applyFill="1" applyBorder="1" applyAlignment="1">
      <alignment horizontal="center" vertical="center" wrapText="1"/>
    </xf>
    <xf numFmtId="179" fontId="7" fillId="0" borderId="0" xfId="0" applyNumberFormat="1" applyFont="1" applyFill="1" applyBorder="1" applyAlignment="1">
      <alignment horizontal="right" vertical="center"/>
    </xf>
    <xf numFmtId="0" fontId="7" fillId="0" borderId="0" xfId="0" applyFont="1" applyFill="1" applyBorder="1" applyAlignment="1">
      <alignment vertical="center" wrapText="1"/>
    </xf>
    <xf numFmtId="167" fontId="2" fillId="0" borderId="32" xfId="1" applyNumberFormat="1" applyFont="1" applyBorder="1"/>
    <xf numFmtId="0" fontId="2" fillId="0" borderId="3" xfId="0" applyFont="1" applyBorder="1" applyAlignment="1">
      <alignment horizontal="center"/>
    </xf>
    <xf numFmtId="0" fontId="2" fillId="0" borderId="20" xfId="0" applyFont="1" applyBorder="1" applyAlignment="1">
      <alignment horizontal="center"/>
    </xf>
    <xf numFmtId="0" fontId="2" fillId="0" borderId="20" xfId="0" applyFont="1" applyBorder="1" applyAlignment="1">
      <alignment horizontal="right"/>
    </xf>
    <xf numFmtId="17" fontId="2" fillId="0" borderId="0" xfId="0" applyNumberFormat="1" applyFont="1" applyAlignment="1">
      <alignment horizontal="center"/>
    </xf>
    <xf numFmtId="0" fontId="2" fillId="0" borderId="0" xfId="0" applyFont="1" applyAlignment="1">
      <alignment horizontal="center" vertical="center"/>
    </xf>
    <xf numFmtId="17" fontId="2" fillId="0" borderId="0" xfId="0" applyNumberFormat="1" applyFont="1" applyAlignment="1">
      <alignment horizontal="center" vertical="center"/>
    </xf>
    <xf numFmtId="165" fontId="2" fillId="0" borderId="0" xfId="0" applyNumberFormat="1" applyFont="1"/>
    <xf numFmtId="165" fontId="2" fillId="0" borderId="18" xfId="1" applyNumberFormat="1" applyFont="1" applyBorder="1"/>
    <xf numFmtId="165" fontId="3" fillId="0" borderId="6" xfId="0" applyNumberFormat="1" applyFont="1" applyBorder="1" applyAlignment="1">
      <alignment wrapText="1"/>
    </xf>
    <xf numFmtId="0" fontId="6" fillId="0" borderId="36" xfId="0" applyFont="1" applyBorder="1" applyAlignment="1">
      <alignment horizontal="center" wrapText="1"/>
    </xf>
    <xf numFmtId="171" fontId="3" fillId="0" borderId="33" xfId="0" applyNumberFormat="1" applyFont="1" applyBorder="1" applyAlignment="1">
      <alignment wrapText="1"/>
    </xf>
    <xf numFmtId="0" fontId="3" fillId="0" borderId="0" xfId="0" applyFont="1" applyFill="1" applyBorder="1" applyAlignment="1">
      <alignment horizontal="center"/>
    </xf>
    <xf numFmtId="170" fontId="3" fillId="0" borderId="1" xfId="1" applyNumberFormat="1" applyFont="1" applyFill="1" applyBorder="1"/>
    <xf numFmtId="0" fontId="6" fillId="0" borderId="0" xfId="0" applyFont="1" applyFill="1" applyBorder="1" applyAlignment="1">
      <alignment horizontal="center" vertical="center"/>
    </xf>
    <xf numFmtId="0" fontId="2" fillId="0" borderId="0" xfId="0" applyFont="1" applyFill="1" applyBorder="1"/>
    <xf numFmtId="171" fontId="20" fillId="0" borderId="0" xfId="0" applyNumberFormat="1" applyFont="1" applyAlignment="1">
      <alignment horizontal="center"/>
    </xf>
    <xf numFmtId="167" fontId="0" fillId="0" borderId="0" xfId="1" applyNumberFormat="1" applyFont="1"/>
    <xf numFmtId="165" fontId="2" fillId="0" borderId="3" xfId="0" applyNumberFormat="1" applyFont="1" applyBorder="1"/>
    <xf numFmtId="165" fontId="2" fillId="0" borderId="20" xfId="0" applyNumberFormat="1" applyFont="1" applyBorder="1"/>
    <xf numFmtId="165" fontId="3" fillId="0" borderId="2" xfId="0" applyNumberFormat="1" applyFont="1" applyBorder="1"/>
    <xf numFmtId="171" fontId="3" fillId="0" borderId="37" xfId="0" applyNumberFormat="1" applyFont="1" applyBorder="1" applyAlignment="1">
      <alignment wrapText="1"/>
    </xf>
    <xf numFmtId="173" fontId="2" fillId="0" borderId="2" xfId="0" applyNumberFormat="1" applyFont="1" applyFill="1" applyBorder="1"/>
    <xf numFmtId="165" fontId="7" fillId="0" borderId="0" xfId="1" applyNumberFormat="1" applyFont="1" applyFill="1" applyBorder="1" applyAlignment="1">
      <alignment horizontal="right" vertical="center"/>
    </xf>
    <xf numFmtId="169" fontId="3" fillId="2" borderId="1" xfId="5" applyNumberFormat="1" applyFont="1" applyFill="1" applyBorder="1"/>
    <xf numFmtId="167" fontId="2" fillId="0" borderId="3" xfId="1" applyNumberFormat="1" applyFont="1" applyFill="1" applyBorder="1"/>
    <xf numFmtId="172" fontId="2" fillId="2" borderId="2" xfId="5" applyNumberFormat="1" applyFont="1" applyFill="1" applyBorder="1"/>
    <xf numFmtId="173" fontId="2" fillId="2" borderId="3" xfId="0" applyNumberFormat="1" applyFont="1" applyFill="1" applyBorder="1"/>
    <xf numFmtId="167" fontId="3" fillId="0" borderId="34" xfId="1" applyNumberFormat="1" applyFont="1" applyBorder="1"/>
    <xf numFmtId="167" fontId="3" fillId="0" borderId="3" xfId="1" applyNumberFormat="1" applyFont="1" applyBorder="1"/>
    <xf numFmtId="167" fontId="2" fillId="2" borderId="10" xfId="1" applyNumberFormat="1" applyFont="1" applyFill="1" applyBorder="1"/>
    <xf numFmtId="0" fontId="2" fillId="2" borderId="2" xfId="0" applyFont="1" applyFill="1" applyBorder="1"/>
    <xf numFmtId="167" fontId="2" fillId="0" borderId="34" xfId="1" applyNumberFormat="1" applyFont="1" applyBorder="1"/>
    <xf numFmtId="167" fontId="2" fillId="0" borderId="2" xfId="1" applyNumberFormat="1" applyFont="1" applyBorder="1"/>
    <xf numFmtId="0" fontId="2" fillId="2" borderId="3" xfId="0" applyFont="1" applyFill="1" applyBorder="1"/>
    <xf numFmtId="9" fontId="13" fillId="0" borderId="0" xfId="4" applyFont="1" applyBorder="1"/>
    <xf numFmtId="169" fontId="2" fillId="0" borderId="1" xfId="5" applyNumberFormat="1" applyFont="1" applyFill="1" applyBorder="1"/>
    <xf numFmtId="167" fontId="2" fillId="0" borderId="9" xfId="1" applyNumberFormat="1" applyFont="1" applyFill="1" applyBorder="1"/>
    <xf numFmtId="165" fontId="2" fillId="0" borderId="34" xfId="0" applyNumberFormat="1" applyFont="1" applyFill="1" applyBorder="1"/>
    <xf numFmtId="167" fontId="2" fillId="0" borderId="34" xfId="1" applyNumberFormat="1" applyFont="1" applyFill="1" applyBorder="1"/>
    <xf numFmtId="169" fontId="3" fillId="0" borderId="14" xfId="5" applyNumberFormat="1" applyFont="1" applyFill="1" applyBorder="1"/>
    <xf numFmtId="167" fontId="3" fillId="0" borderId="14" xfId="1" applyNumberFormat="1" applyFont="1" applyFill="1" applyBorder="1"/>
    <xf numFmtId="0" fontId="3" fillId="0" borderId="14" xfId="0" applyFont="1" applyFill="1" applyBorder="1"/>
    <xf numFmtId="169" fontId="3" fillId="0" borderId="27" xfId="5" applyNumberFormat="1" applyFont="1" applyFill="1" applyBorder="1"/>
    <xf numFmtId="167" fontId="3" fillId="0" borderId="35" xfId="1" applyNumberFormat="1" applyFont="1" applyFill="1" applyBorder="1"/>
    <xf numFmtId="170" fontId="2" fillId="2" borderId="2" xfId="1" applyNumberFormat="1" applyFont="1" applyFill="1" applyBorder="1"/>
    <xf numFmtId="0" fontId="19" fillId="0" borderId="2" xfId="0" applyFont="1" applyBorder="1" applyAlignment="1">
      <alignment horizontal="center" wrapText="1"/>
    </xf>
    <xf numFmtId="165" fontId="3" fillId="0" borderId="19" xfId="1" applyNumberFormat="1" applyFont="1" applyBorder="1"/>
    <xf numFmtId="165" fontId="3" fillId="0" borderId="0" xfId="1" applyNumberFormat="1" applyFont="1" applyBorder="1"/>
    <xf numFmtId="167" fontId="3" fillId="0" borderId="8" xfId="1" applyNumberFormat="1" applyFont="1" applyBorder="1"/>
    <xf numFmtId="165" fontId="20" fillId="0" borderId="0" xfId="0" applyNumberFormat="1" applyFont="1"/>
    <xf numFmtId="165" fontId="0" fillId="0" borderId="0" xfId="1"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6"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19" fillId="0" borderId="2" xfId="0" applyFont="1" applyFill="1" applyBorder="1" applyAlignment="1">
      <alignment horizontal="center" wrapText="1"/>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18" xfId="0" applyFont="1" applyFill="1" applyBorder="1" applyAlignment="1">
      <alignment horizontal="left" wrapText="1"/>
    </xf>
    <xf numFmtId="0" fontId="2" fillId="2" borderId="1" xfId="0" applyFont="1" applyFill="1" applyBorder="1" applyAlignment="1">
      <alignment horizontal="left" wrapText="1"/>
    </xf>
    <xf numFmtId="0" fontId="7" fillId="0" borderId="0" xfId="0" applyFont="1" applyFill="1" applyBorder="1" applyAlignment="1">
      <alignment horizontal="center" vertical="center" wrapText="1"/>
    </xf>
    <xf numFmtId="0" fontId="6" fillId="0" borderId="2" xfId="0" applyFont="1" applyBorder="1" applyAlignment="1">
      <alignment horizontal="center"/>
    </xf>
    <xf numFmtId="0" fontId="2" fillId="0" borderId="0" xfId="0" applyFont="1" applyAlignment="1">
      <alignment horizontal="left" wrapText="1"/>
    </xf>
    <xf numFmtId="0" fontId="19" fillId="0" borderId="2" xfId="0" applyFont="1" applyBorder="1" applyAlignment="1">
      <alignment horizontal="center" wrapText="1"/>
    </xf>
    <xf numFmtId="0" fontId="2" fillId="0" borderId="0" xfId="0" applyFont="1" applyBorder="1" applyAlignment="1">
      <alignment horizontal="left" wrapText="1"/>
    </xf>
    <xf numFmtId="176" fontId="20" fillId="0" borderId="2" xfId="0" quotePrefix="1" applyNumberFormat="1" applyFont="1" applyFill="1" applyBorder="1" applyAlignment="1">
      <alignment horizontal="center"/>
    </xf>
    <xf numFmtId="0" fontId="0" fillId="0" borderId="2" xfId="0" applyBorder="1" applyAlignment="1">
      <alignment horizontal="center"/>
    </xf>
    <xf numFmtId="0" fontId="0" fillId="0" borderId="2" xfId="0" applyBorder="1" applyAlignment="1">
      <alignment horizontal="center" wrapText="1"/>
    </xf>
    <xf numFmtId="43" fontId="0" fillId="0" borderId="2" xfId="5" applyFont="1" applyBorder="1" applyAlignment="1">
      <alignment horizontal="center"/>
    </xf>
    <xf numFmtId="176" fontId="20" fillId="0" borderId="2" xfId="0" quotePrefix="1" applyNumberFormat="1" applyFont="1" applyBorder="1" applyAlignment="1">
      <alignment horizontal="center"/>
    </xf>
    <xf numFmtId="0" fontId="0" fillId="0" borderId="9" xfId="0" applyBorder="1" applyAlignment="1">
      <alignment horizontal="center" wrapText="1"/>
    </xf>
    <xf numFmtId="0" fontId="0" fillId="0" borderId="18" xfId="0" applyBorder="1" applyAlignment="1">
      <alignment horizontal="center" wrapText="1"/>
    </xf>
    <xf numFmtId="0" fontId="0" fillId="0" borderId="1" xfId="0" applyBorder="1" applyAlignment="1">
      <alignment horizontal="center" wrapText="1"/>
    </xf>
    <xf numFmtId="0" fontId="2" fillId="0" borderId="9" xfId="0" applyFont="1" applyBorder="1" applyAlignment="1"/>
    <xf numFmtId="0" fontId="2" fillId="0" borderId="1" xfId="0" applyFont="1" applyBorder="1" applyAlignment="1"/>
    <xf numFmtId="171" fontId="3" fillId="0" borderId="0" xfId="1" applyNumberFormat="1" applyFont="1" applyBorder="1"/>
    <xf numFmtId="171" fontId="3" fillId="0" borderId="8" xfId="1" applyNumberFormat="1" applyFont="1" applyBorder="1"/>
    <xf numFmtId="171" fontId="2" fillId="0" borderId="8" xfId="1" applyNumberFormat="1" applyFont="1" applyBorder="1"/>
    <xf numFmtId="0" fontId="3" fillId="0" borderId="9" xfId="0" applyFont="1" applyBorder="1" applyAlignment="1">
      <alignment horizontal="center"/>
    </xf>
    <xf numFmtId="171" fontId="2" fillId="0" borderId="0" xfId="1" applyNumberFormat="1" applyFont="1" applyBorder="1"/>
  </cellXfs>
  <cellStyles count="9">
    <cellStyle name="Comma" xfId="5" builtinId="3"/>
    <cellStyle name="Comma 2" xfId="7"/>
    <cellStyle name="Currency" xfId="1" builtinId="4"/>
    <cellStyle name="Normal" xfId="0" builtinId="0"/>
    <cellStyle name="Normal 2" xfId="2"/>
    <cellStyle name="Normal 3" xfId="6"/>
    <cellStyle name="Percent" xfId="4" builtinId="5"/>
    <cellStyle name="Percent 2" xfId="3"/>
    <cellStyle name="Percent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14</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Non-interval metered customers are billed throughout the month and consumption is allocated between months based on the number of days in each month in the billing period. The consumption for each month is billed at the 1st estimate rate for that month.</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Interval metered customers are billed for the calendar month in the middle of the next month. Consumption is for a single month and the actual GA rate is known at the time of billing and used to bill GA.</a:t>
          </a:r>
        </a:p>
        <a:p>
          <a:endParaRPr lang="en-CA" sz="1100" baseline="0"/>
        </a:p>
        <a:p>
          <a:r>
            <a:rPr lang="en-CA" sz="1100" baseline="0"/>
            <a:t>Limitations of PowerStream's billing system calcualtion of unbilled amounts will lead to significant timing differences between the GA revenue booked in the year versusthat shown in the GA Workform. Please see the attached note for a detailed discussion. </a:t>
          </a:r>
        </a:p>
        <a:p>
          <a:endParaRPr lang="en-CA" sz="1100"/>
        </a:p>
      </xdr:txBody>
    </xdr:sp>
    <xdr:clientData/>
  </xdr:twoCellAnchor>
  <xdr:twoCellAnchor>
    <xdr:from>
      <xdr:col>1</xdr:col>
      <xdr:colOff>38100</xdr:colOff>
      <xdr:row>111</xdr:row>
      <xdr:rowOff>123825</xdr:rowOff>
    </xdr:from>
    <xdr:to>
      <xdr:col>14</xdr:col>
      <xdr:colOff>0</xdr:colOff>
      <xdr:row>123</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16</xdr:col>
      <xdr:colOff>57150</xdr:colOff>
      <xdr:row>29</xdr:row>
      <xdr:rowOff>0</xdr:rowOff>
    </xdr:to>
    <xdr:sp macro="" textlink="">
      <xdr:nvSpPr>
        <xdr:cNvPr id="3" name="TextBox 2"/>
        <xdr:cNvSpPr txBox="1"/>
      </xdr:nvSpPr>
      <xdr:spPr>
        <a:xfrm>
          <a:off x="552450" y="4371974"/>
          <a:ext cx="163068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Non-interval</a:t>
          </a:r>
          <a:r>
            <a:rPr lang="en-CA" sz="1100" baseline="0"/>
            <a:t> metered customers </a:t>
          </a:r>
          <a:r>
            <a:rPr lang="en-CA" sz="1100" baseline="0">
              <a:solidFill>
                <a:schemeClr val="dk1"/>
              </a:solidFill>
              <a:effectLst/>
              <a:latin typeface="+mn-lt"/>
              <a:ea typeface="+mn-ea"/>
              <a:cs typeface="+mn-cs"/>
            </a:rPr>
            <a:t>are billed throughout the month and  consumption is allocated between months </a:t>
          </a:r>
          <a:r>
            <a:rPr lang="en-CA" sz="1100" baseline="0"/>
            <a:t>based  on the number of days in each month in the billing period. The consumption for each month is  billed at the 1st estimate rate for that month.</a:t>
          </a:r>
        </a:p>
        <a:p>
          <a:endParaRPr lang="en-CA" sz="1100" baseline="0"/>
        </a:p>
        <a:p>
          <a:r>
            <a:rPr lang="en-CA" sz="1100" baseline="0"/>
            <a:t>Interval metered customers are billed for the calendar month in the middle of the next month. Consumption is  for a single month and the actual GA rate is known at the time of billing and used to bill GA.</a:t>
          </a:r>
        </a:p>
        <a:p>
          <a:endParaRPr lang="en-CA" sz="1100" baseline="0"/>
        </a:p>
        <a:p>
          <a:r>
            <a:rPr lang="en-CA" sz="1100" baseline="0"/>
            <a:t>Limitations of Powerstream's billing system calculation of unbilled amounts will lead to  significant timing difference between the GA revenue booked in the year versus that shown in the GA workform. Please see the attached note for a detailed discussion.</a:t>
          </a:r>
        </a:p>
      </xdr:txBody>
    </xdr:sp>
    <xdr:clientData/>
  </xdr:twoCellAnchor>
  <xdr:twoCellAnchor>
    <xdr:from>
      <xdr:col>1</xdr:col>
      <xdr:colOff>38100</xdr:colOff>
      <xdr:row>111</xdr:row>
      <xdr:rowOff>123825</xdr:rowOff>
    </xdr:from>
    <xdr:to>
      <xdr:col>16</xdr:col>
      <xdr:colOff>0</xdr:colOff>
      <xdr:row>123</xdr:row>
      <xdr:rowOff>0</xdr:rowOff>
    </xdr:to>
    <xdr:sp macro="" textlink="">
      <xdr:nvSpPr>
        <xdr:cNvPr id="4" name="TextBox 3"/>
        <xdr:cNvSpPr txBox="1"/>
      </xdr:nvSpPr>
      <xdr:spPr>
        <a:xfrm>
          <a:off x="533400" y="27089100"/>
          <a:ext cx="162687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C35" sqref="C35"/>
    </sheetView>
  </sheetViews>
  <sheetFormatPr defaultRowHeight="15" x14ac:dyDescent="0.2"/>
  <cols>
    <col min="1" max="1" width="5.5703125" style="41" customWidth="1"/>
    <col min="2" max="2" width="16.140625" style="85" customWidth="1"/>
    <col min="3" max="3" width="164.5703125" style="39" customWidth="1"/>
    <col min="4" max="16384" width="9.140625" style="39"/>
  </cols>
  <sheetData>
    <row r="1" spans="1:3" ht="15.75" x14ac:dyDescent="0.2">
      <c r="A1" s="42" t="s">
        <v>134</v>
      </c>
    </row>
    <row r="3" spans="1:3" ht="15.75" x14ac:dyDescent="0.2">
      <c r="A3" s="43" t="s">
        <v>32</v>
      </c>
    </row>
    <row r="4" spans="1:3" ht="34.5" customHeight="1" x14ac:dyDescent="0.2">
      <c r="A4" s="378" t="s">
        <v>93</v>
      </c>
      <c r="B4" s="378"/>
      <c r="C4" s="378"/>
    </row>
    <row r="6" spans="1:3" ht="15.75" x14ac:dyDescent="0.2">
      <c r="A6" s="43" t="s">
        <v>52</v>
      </c>
    </row>
    <row r="7" spans="1:3" x14ac:dyDescent="0.2">
      <c r="A7" s="41" t="s">
        <v>53</v>
      </c>
    </row>
    <row r="8" spans="1:3" ht="33" customHeight="1" x14ac:dyDescent="0.2">
      <c r="A8" s="379" t="s">
        <v>94</v>
      </c>
      <c r="B8" s="379"/>
      <c r="C8" s="379"/>
    </row>
    <row r="10" spans="1:3" x14ac:dyDescent="0.2">
      <c r="A10" s="41">
        <v>1</v>
      </c>
      <c r="B10" s="381" t="s">
        <v>41</v>
      </c>
      <c r="C10" s="381"/>
    </row>
    <row r="11" spans="1:3" x14ac:dyDescent="0.2">
      <c r="B11" s="92"/>
      <c r="C11" s="92"/>
    </row>
    <row r="13" spans="1:3" ht="31.5" customHeight="1" x14ac:dyDescent="0.2">
      <c r="A13" s="41">
        <v>2</v>
      </c>
      <c r="B13" s="378" t="s">
        <v>95</v>
      </c>
      <c r="C13" s="378"/>
    </row>
    <row r="14" spans="1:3" x14ac:dyDescent="0.2">
      <c r="B14" s="65"/>
      <c r="C14" s="65"/>
    </row>
    <row r="16" spans="1:3" x14ac:dyDescent="0.2">
      <c r="A16" s="41">
        <v>3</v>
      </c>
      <c r="B16" s="380" t="s">
        <v>119</v>
      </c>
      <c r="C16" s="380"/>
    </row>
    <row r="17" spans="1:26" ht="32.25" customHeight="1" x14ac:dyDescent="0.2">
      <c r="B17" s="378" t="s">
        <v>129</v>
      </c>
      <c r="C17" s="378"/>
    </row>
    <row r="18" spans="1:26" ht="63" customHeight="1" x14ac:dyDescent="0.2">
      <c r="B18" s="378" t="s">
        <v>151</v>
      </c>
      <c r="C18" s="378"/>
      <c r="D18" s="44"/>
      <c r="E18" s="40"/>
      <c r="F18" s="40"/>
      <c r="G18" s="40"/>
      <c r="H18" s="40"/>
      <c r="I18" s="40"/>
      <c r="J18" s="40"/>
      <c r="K18" s="40"/>
      <c r="L18" s="40"/>
      <c r="M18" s="40"/>
      <c r="N18" s="40"/>
      <c r="O18" s="40"/>
      <c r="P18" s="40"/>
      <c r="Q18" s="40"/>
      <c r="R18" s="40"/>
      <c r="S18" s="40"/>
      <c r="T18" s="40"/>
      <c r="U18" s="40"/>
      <c r="V18" s="40"/>
      <c r="W18" s="40"/>
      <c r="X18" s="40"/>
      <c r="Y18" s="40"/>
      <c r="Z18" s="40"/>
    </row>
    <row r="19" spans="1:26" ht="30" customHeight="1" x14ac:dyDescent="0.2">
      <c r="B19" s="378" t="s">
        <v>130</v>
      </c>
      <c r="C19" s="378"/>
      <c r="D19" s="44"/>
      <c r="E19" s="40"/>
      <c r="F19" s="40"/>
      <c r="G19" s="40"/>
      <c r="H19" s="40"/>
      <c r="I19" s="40"/>
      <c r="J19" s="40"/>
      <c r="K19" s="40"/>
      <c r="L19" s="40"/>
      <c r="M19" s="40"/>
      <c r="N19" s="40"/>
      <c r="O19" s="40"/>
      <c r="P19" s="40"/>
      <c r="Q19" s="40"/>
      <c r="R19" s="40"/>
      <c r="S19" s="40"/>
      <c r="T19" s="40"/>
      <c r="U19" s="40"/>
      <c r="V19" s="40"/>
      <c r="W19" s="40"/>
      <c r="X19" s="40"/>
      <c r="Y19" s="40"/>
      <c r="Z19" s="40"/>
    </row>
    <row r="20" spans="1:26" x14ac:dyDescent="0.2">
      <c r="B20" s="89" t="s">
        <v>48</v>
      </c>
    </row>
    <row r="21" spans="1:26" x14ac:dyDescent="0.2">
      <c r="B21" s="89"/>
    </row>
    <row r="22" spans="1:26" x14ac:dyDescent="0.2">
      <c r="B22" s="87"/>
    </row>
    <row r="23" spans="1:26" x14ac:dyDescent="0.2">
      <c r="A23" s="41">
        <v>4</v>
      </c>
      <c r="B23" s="380" t="s">
        <v>120</v>
      </c>
      <c r="C23" s="380"/>
    </row>
    <row r="24" spans="1:26" ht="35.25" customHeight="1" x14ac:dyDescent="0.2">
      <c r="B24" s="378" t="s">
        <v>135</v>
      </c>
      <c r="C24" s="378"/>
    </row>
    <row r="25" spans="1:26" x14ac:dyDescent="0.2">
      <c r="B25" s="94"/>
      <c r="C25" s="94"/>
    </row>
    <row r="26" spans="1:26" ht="62.25" customHeight="1" x14ac:dyDescent="0.2">
      <c r="B26" s="378" t="s">
        <v>121</v>
      </c>
      <c r="C26" s="378"/>
    </row>
    <row r="27" spans="1:26" ht="65.25" customHeight="1" x14ac:dyDescent="0.2">
      <c r="B27" s="378" t="s">
        <v>137</v>
      </c>
      <c r="C27" s="378"/>
    </row>
    <row r="28" spans="1:26" ht="31.5" customHeight="1" x14ac:dyDescent="0.2">
      <c r="B28" s="378" t="s">
        <v>136</v>
      </c>
      <c r="C28" s="378"/>
    </row>
    <row r="29" spans="1:26" ht="30" customHeight="1" x14ac:dyDescent="0.2">
      <c r="B29" s="378" t="s">
        <v>138</v>
      </c>
      <c r="C29" s="378"/>
    </row>
    <row r="30" spans="1:26" x14ac:dyDescent="0.2">
      <c r="B30" s="94"/>
      <c r="C30" s="94"/>
    </row>
    <row r="31" spans="1:26" ht="47.25" customHeight="1" x14ac:dyDescent="0.2">
      <c r="B31" s="95" t="s">
        <v>122</v>
      </c>
      <c r="C31" s="40" t="s">
        <v>96</v>
      </c>
    </row>
    <row r="32" spans="1:26" ht="33.75" customHeight="1" x14ac:dyDescent="0.2">
      <c r="B32" s="95" t="s">
        <v>124</v>
      </c>
      <c r="C32" s="40" t="s">
        <v>123</v>
      </c>
    </row>
    <row r="33" spans="1:3" x14ac:dyDescent="0.2">
      <c r="B33" s="95" t="s">
        <v>127</v>
      </c>
      <c r="C33" s="40" t="s">
        <v>125</v>
      </c>
    </row>
    <row r="34" spans="1:3" x14ac:dyDescent="0.2">
      <c r="B34" s="96" t="s">
        <v>128</v>
      </c>
      <c r="C34" s="86" t="s">
        <v>126</v>
      </c>
    </row>
    <row r="35" spans="1:3" x14ac:dyDescent="0.2">
      <c r="B35" s="91"/>
      <c r="C35" s="86"/>
    </row>
    <row r="37" spans="1:3" ht="29.25" customHeight="1" x14ac:dyDescent="0.2">
      <c r="A37" s="41">
        <v>5</v>
      </c>
      <c r="B37" s="378" t="s">
        <v>139</v>
      </c>
      <c r="C37" s="378"/>
    </row>
    <row r="38" spans="1:3" x14ac:dyDescent="0.2">
      <c r="B38" s="92"/>
      <c r="C38" s="92"/>
    </row>
    <row r="40" spans="1:3" x14ac:dyDescent="0.2">
      <c r="A40" s="41">
        <v>6</v>
      </c>
      <c r="B40" s="93" t="s">
        <v>131</v>
      </c>
    </row>
    <row r="41" spans="1:3" ht="30" customHeight="1" x14ac:dyDescent="0.2">
      <c r="B41" s="378" t="s">
        <v>132</v>
      </c>
      <c r="C41" s="378"/>
    </row>
    <row r="42" spans="1:3" ht="30" customHeight="1" x14ac:dyDescent="0.2">
      <c r="B42" s="378" t="s">
        <v>97</v>
      </c>
      <c r="C42" s="378"/>
    </row>
    <row r="43" spans="1:3" x14ac:dyDescent="0.2">
      <c r="B43" s="65"/>
      <c r="C43" s="65"/>
    </row>
    <row r="44" spans="1:3" x14ac:dyDescent="0.2">
      <c r="B44" s="88" t="s">
        <v>98</v>
      </c>
    </row>
    <row r="45" spans="1:3" x14ac:dyDescent="0.2">
      <c r="B45" s="97" t="s">
        <v>99</v>
      </c>
      <c r="C45" s="40" t="s">
        <v>100</v>
      </c>
    </row>
    <row r="46" spans="1:3" ht="30" x14ac:dyDescent="0.2">
      <c r="B46" s="97"/>
      <c r="C46" s="40" t="s">
        <v>141</v>
      </c>
    </row>
    <row r="47" spans="1:3" x14ac:dyDescent="0.2">
      <c r="B47" s="97"/>
      <c r="C47" s="39" t="s">
        <v>101</v>
      </c>
    </row>
    <row r="48" spans="1:3" x14ac:dyDescent="0.2">
      <c r="B48" s="97"/>
      <c r="C48" s="39" t="s">
        <v>102</v>
      </c>
    </row>
    <row r="49" spans="2:3" x14ac:dyDescent="0.2">
      <c r="B49" s="98" t="s">
        <v>105</v>
      </c>
      <c r="C49" s="39" t="s">
        <v>104</v>
      </c>
    </row>
    <row r="50" spans="2:3" ht="18" customHeight="1" x14ac:dyDescent="0.2">
      <c r="B50" s="98"/>
      <c r="C50" s="40" t="s">
        <v>103</v>
      </c>
    </row>
    <row r="51" spans="2:3" x14ac:dyDescent="0.2">
      <c r="B51" s="98"/>
      <c r="C51" s="39" t="s">
        <v>106</v>
      </c>
    </row>
    <row r="52" spans="2:3" x14ac:dyDescent="0.2">
      <c r="B52" s="98"/>
      <c r="C52" s="39" t="s">
        <v>107</v>
      </c>
    </row>
    <row r="53" spans="2:3" x14ac:dyDescent="0.2">
      <c r="B53" s="98" t="s">
        <v>109</v>
      </c>
      <c r="C53" s="39" t="s">
        <v>108</v>
      </c>
    </row>
    <row r="54" spans="2:3" ht="45" x14ac:dyDescent="0.2">
      <c r="B54" s="98"/>
      <c r="C54" s="65" t="s">
        <v>110</v>
      </c>
    </row>
    <row r="55" spans="2:3" x14ac:dyDescent="0.2">
      <c r="B55" s="98"/>
      <c r="C55" s="39" t="s">
        <v>111</v>
      </c>
    </row>
    <row r="56" spans="2:3" x14ac:dyDescent="0.2">
      <c r="B56" s="98"/>
      <c r="C56" s="39" t="s">
        <v>142</v>
      </c>
    </row>
    <row r="57" spans="2:3" x14ac:dyDescent="0.2">
      <c r="B57" s="98" t="s">
        <v>113</v>
      </c>
      <c r="C57" s="39" t="s">
        <v>112</v>
      </c>
    </row>
    <row r="58" spans="2:3" ht="61.5" customHeight="1" x14ac:dyDescent="0.2">
      <c r="B58" s="98"/>
      <c r="C58" s="65" t="s">
        <v>152</v>
      </c>
    </row>
    <row r="59" spans="2:3" x14ac:dyDescent="0.2">
      <c r="B59" s="98" t="s">
        <v>115</v>
      </c>
      <c r="C59" s="39" t="s">
        <v>114</v>
      </c>
    </row>
    <row r="60" spans="2:3" ht="30" x14ac:dyDescent="0.2">
      <c r="B60" s="98"/>
      <c r="C60" s="65" t="s">
        <v>116</v>
      </c>
    </row>
    <row r="61" spans="2:3" x14ac:dyDescent="0.2">
      <c r="B61" s="98" t="s">
        <v>117</v>
      </c>
      <c r="C61" s="65" t="s">
        <v>143</v>
      </c>
    </row>
    <row r="62" spans="2:3" ht="30" x14ac:dyDescent="0.2">
      <c r="B62" s="98"/>
      <c r="C62" s="94" t="s">
        <v>144</v>
      </c>
    </row>
    <row r="63" spans="2:3" x14ac:dyDescent="0.2">
      <c r="B63" s="90"/>
      <c r="C63" s="65"/>
    </row>
    <row r="65" spans="1:3" ht="30.75" customHeight="1" x14ac:dyDescent="0.2">
      <c r="A65" s="41">
        <v>7</v>
      </c>
      <c r="B65" s="378" t="s">
        <v>145</v>
      </c>
      <c r="C65" s="378"/>
    </row>
    <row r="66" spans="1:3" x14ac:dyDescent="0.2">
      <c r="B66" s="65"/>
      <c r="C66" s="65"/>
    </row>
    <row r="67" spans="1:3" ht="15.75" customHeight="1" x14ac:dyDescent="0.2">
      <c r="B67" s="381" t="s">
        <v>118</v>
      </c>
      <c r="C67" s="381"/>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9"/>
  <sheetViews>
    <sheetView topLeftCell="F123" zoomScale="75" zoomScaleNormal="75" zoomScaleSheetLayoutView="100" workbookViewId="0">
      <selection activeCell="L36" sqref="L36"/>
    </sheetView>
  </sheetViews>
  <sheetFormatPr defaultRowHeight="14.25" x14ac:dyDescent="0.2"/>
  <cols>
    <col min="1" max="1" width="7.42578125" style="1" customWidth="1"/>
    <col min="2" max="2" width="36.5703125" style="1" customWidth="1"/>
    <col min="3" max="3" width="18.85546875" style="1" customWidth="1"/>
    <col min="4" max="4" width="16.5703125" style="1" customWidth="1"/>
    <col min="5" max="5" width="15.5703125" style="1" customWidth="1"/>
    <col min="6" max="6" width="12.7109375" style="1" customWidth="1"/>
    <col min="7" max="7" width="15.7109375" style="1" customWidth="1"/>
    <col min="8" max="8" width="15.28515625" style="1" customWidth="1"/>
    <col min="9" max="9" width="12.85546875" style="1" customWidth="1"/>
    <col min="10" max="10" width="16.5703125" style="1" customWidth="1"/>
    <col min="11" max="11" width="15.28515625" style="1" customWidth="1"/>
    <col min="12" max="12" width="12.42578125" style="1" customWidth="1"/>
    <col min="13" max="13" width="14.28515625" style="1" bestFit="1" customWidth="1"/>
    <col min="14" max="14" width="20.28515625" style="1" bestFit="1" customWidth="1"/>
    <col min="15" max="15" width="13" style="1" customWidth="1"/>
    <col min="16" max="16" width="16.42578125" style="1" customWidth="1"/>
    <col min="17" max="17" width="15.5703125" style="1" bestFit="1" customWidth="1"/>
    <col min="18" max="18" width="14.28515625" style="1" bestFit="1" customWidth="1"/>
    <col min="19" max="20" width="14.140625" style="1" customWidth="1"/>
    <col min="21" max="21" width="17.42578125" style="1" bestFit="1" customWidth="1"/>
    <col min="22" max="22" width="14.140625" style="1" customWidth="1"/>
    <col min="23" max="23" width="11.85546875" style="1" customWidth="1"/>
    <col min="24" max="24" width="10.7109375" style="1" customWidth="1"/>
    <col min="25" max="25" width="10.28515625" style="1" customWidth="1"/>
    <col min="26" max="26" width="10.7109375" style="1" customWidth="1"/>
    <col min="27" max="27" width="10.5703125" style="1" customWidth="1"/>
    <col min="28" max="28" width="11" style="1" customWidth="1"/>
    <col min="29" max="29" width="13" style="1" customWidth="1"/>
    <col min="30" max="30" width="10.85546875" style="1" customWidth="1"/>
    <col min="31" max="31" width="11.28515625" style="1" customWidth="1"/>
    <col min="32" max="16384" width="9.140625" style="1"/>
  </cols>
  <sheetData>
    <row r="1" spans="1:33" ht="15" x14ac:dyDescent="0.25">
      <c r="A1" s="46" t="s">
        <v>55</v>
      </c>
      <c r="B1" s="4"/>
      <c r="C1" s="46"/>
    </row>
    <row r="2" spans="1:33" x14ac:dyDescent="0.2">
      <c r="A2" s="4"/>
      <c r="B2" s="4"/>
      <c r="C2" s="4"/>
    </row>
    <row r="3" spans="1:33" ht="15" x14ac:dyDescent="0.2">
      <c r="A3" s="4"/>
      <c r="B3" s="4" t="s">
        <v>33</v>
      </c>
      <c r="C3" s="25"/>
      <c r="D3" s="4"/>
      <c r="E3" s="4"/>
      <c r="F3" s="4"/>
      <c r="G3" s="4"/>
      <c r="H3" s="4"/>
      <c r="I3" s="4"/>
      <c r="J3" s="4"/>
      <c r="K3" s="4"/>
      <c r="L3" s="4"/>
      <c r="AG3" s="1">
        <v>2014</v>
      </c>
    </row>
    <row r="4" spans="1:33" ht="15" x14ac:dyDescent="0.2">
      <c r="A4" s="4"/>
      <c r="B4" s="4" t="s">
        <v>66</v>
      </c>
      <c r="C4" s="54"/>
      <c r="D4" s="4"/>
      <c r="E4" s="4"/>
      <c r="F4" s="4"/>
      <c r="G4" s="4"/>
      <c r="H4" s="4"/>
      <c r="I4" s="4"/>
      <c r="J4" s="4"/>
      <c r="K4" s="4"/>
      <c r="L4" s="4"/>
    </row>
    <row r="5" spans="1:33" ht="15" x14ac:dyDescent="0.2">
      <c r="A5" s="4"/>
      <c r="B5" s="15"/>
      <c r="C5" s="15"/>
      <c r="D5" s="4"/>
      <c r="E5" s="4"/>
      <c r="F5" s="4"/>
      <c r="G5" s="4"/>
      <c r="H5" s="4"/>
      <c r="I5" s="4"/>
      <c r="J5" s="4"/>
      <c r="K5" s="4"/>
      <c r="L5" s="4"/>
      <c r="AG5" s="1">
        <v>2015</v>
      </c>
    </row>
    <row r="6" spans="1:33" ht="15" x14ac:dyDescent="0.2">
      <c r="A6" s="4" t="s">
        <v>34</v>
      </c>
      <c r="B6" s="15" t="s">
        <v>153</v>
      </c>
      <c r="C6" s="26" t="s">
        <v>331</v>
      </c>
      <c r="D6" s="4"/>
      <c r="E6" s="4"/>
      <c r="F6" s="4"/>
      <c r="G6" s="4"/>
      <c r="H6" s="4"/>
      <c r="I6" s="4"/>
      <c r="J6" s="4"/>
      <c r="K6" s="4"/>
      <c r="L6" s="4"/>
      <c r="AG6" s="1">
        <v>2016</v>
      </c>
    </row>
    <row r="7" spans="1:33" ht="15" x14ac:dyDescent="0.2">
      <c r="A7" s="4"/>
      <c r="B7" s="15"/>
      <c r="C7" s="15"/>
      <c r="D7" s="4"/>
      <c r="E7" s="4"/>
      <c r="F7" s="4"/>
      <c r="G7" s="4"/>
      <c r="H7" s="4"/>
      <c r="I7" s="4"/>
      <c r="J7" s="4"/>
      <c r="K7" s="4"/>
      <c r="L7" s="4"/>
    </row>
    <row r="8" spans="1:33" ht="15" x14ac:dyDescent="0.2">
      <c r="A8" s="4"/>
      <c r="B8" s="15"/>
      <c r="C8" s="15"/>
      <c r="D8" s="4"/>
      <c r="E8" s="4"/>
      <c r="F8" s="4"/>
      <c r="G8" s="4"/>
      <c r="H8" s="4"/>
      <c r="I8" s="4"/>
      <c r="J8" s="4"/>
      <c r="K8" s="4"/>
      <c r="L8" s="4"/>
    </row>
    <row r="9" spans="1:33" ht="15" x14ac:dyDescent="0.2">
      <c r="A9" s="4" t="s">
        <v>35</v>
      </c>
      <c r="B9" s="24" t="s">
        <v>91</v>
      </c>
      <c r="C9" s="23"/>
      <c r="D9" s="23"/>
      <c r="E9" s="23"/>
      <c r="F9" s="23"/>
      <c r="G9" s="23"/>
      <c r="H9" s="23"/>
      <c r="I9" s="23"/>
      <c r="J9" s="23"/>
      <c r="K9" s="23"/>
      <c r="L9" s="23"/>
      <c r="O9" s="83"/>
      <c r="P9" s="83"/>
      <c r="Q9" s="83"/>
      <c r="R9" s="83"/>
      <c r="S9" s="83"/>
      <c r="T9" s="83"/>
      <c r="U9" s="83"/>
      <c r="V9" s="83"/>
      <c r="W9" s="83"/>
      <c r="X9" s="83"/>
      <c r="Y9" s="83"/>
      <c r="Z9" s="83"/>
      <c r="AA9" s="83"/>
      <c r="AB9" s="83"/>
    </row>
    <row r="10" spans="1:33" ht="15" x14ac:dyDescent="0.2">
      <c r="A10" s="4"/>
      <c r="B10" s="383" t="s">
        <v>26</v>
      </c>
      <c r="C10" s="383"/>
      <c r="D10" s="26">
        <v>2016</v>
      </c>
      <c r="E10" s="26"/>
      <c r="F10" s="26"/>
      <c r="G10" s="26"/>
      <c r="H10" s="26"/>
      <c r="I10" s="26"/>
      <c r="J10" s="26"/>
      <c r="K10" s="134"/>
      <c r="L10" s="134"/>
      <c r="M10" s="384"/>
      <c r="N10" s="385"/>
      <c r="O10" s="83"/>
      <c r="P10" s="83"/>
      <c r="Q10" s="83"/>
      <c r="R10" s="83"/>
      <c r="S10" s="83"/>
      <c r="T10" s="83"/>
      <c r="U10" s="83"/>
      <c r="V10" s="83"/>
      <c r="W10" s="83"/>
      <c r="X10" s="83"/>
      <c r="Y10" s="83"/>
      <c r="Z10" s="83"/>
      <c r="AA10" s="83"/>
      <c r="AB10" s="83"/>
    </row>
    <row r="11" spans="1:33" ht="15" thickBot="1" x14ac:dyDescent="0.25">
      <c r="A11" s="4"/>
      <c r="B11" s="5" t="s">
        <v>3</v>
      </c>
      <c r="C11" s="5" t="s">
        <v>2</v>
      </c>
      <c r="D11" s="116">
        <f>D12+D13</f>
        <v>8518219055.9799995</v>
      </c>
      <c r="E11" s="116"/>
      <c r="F11" s="116"/>
      <c r="G11" s="116">
        <f>G12+G13</f>
        <v>0</v>
      </c>
      <c r="H11" s="116"/>
      <c r="I11" s="116"/>
      <c r="J11" s="116">
        <f>J12+J13</f>
        <v>0</v>
      </c>
      <c r="K11" s="135"/>
      <c r="L11" s="135"/>
      <c r="M11" s="6" t="s">
        <v>0</v>
      </c>
      <c r="N11" s="7">
        <v>1</v>
      </c>
      <c r="O11" s="83"/>
      <c r="P11" s="83"/>
      <c r="Q11" s="83"/>
      <c r="R11" s="83"/>
      <c r="S11" s="83"/>
      <c r="T11" s="83"/>
      <c r="U11" s="83"/>
      <c r="V11" s="83"/>
      <c r="W11" s="83"/>
      <c r="X11" s="83"/>
      <c r="Y11" s="83"/>
      <c r="Z11" s="83"/>
      <c r="AA11" s="83"/>
      <c r="AB11" s="83"/>
    </row>
    <row r="12" spans="1:33" x14ac:dyDescent="0.2">
      <c r="B12" s="5" t="s">
        <v>7</v>
      </c>
      <c r="C12" s="5" t="s">
        <v>1</v>
      </c>
      <c r="D12" s="117">
        <v>3938250839.6100001</v>
      </c>
      <c r="E12" s="117"/>
      <c r="F12" s="117"/>
      <c r="G12" s="117"/>
      <c r="H12" s="117"/>
      <c r="I12" s="117"/>
      <c r="J12" s="117"/>
      <c r="K12" s="117"/>
      <c r="L12" s="117"/>
      <c r="M12" s="6" t="s">
        <v>0</v>
      </c>
      <c r="N12" s="8">
        <f>IFERROR(D12/$D$11,0)</f>
        <v>0.4623326558906995</v>
      </c>
    </row>
    <row r="13" spans="1:33" ht="15" thickBot="1" x14ac:dyDescent="0.25">
      <c r="B13" s="5" t="s">
        <v>8</v>
      </c>
      <c r="C13" s="5" t="s">
        <v>6</v>
      </c>
      <c r="D13" s="116">
        <f>D14+D15</f>
        <v>4579968216.3699999</v>
      </c>
      <c r="E13" s="116"/>
      <c r="F13" s="116"/>
      <c r="G13" s="116">
        <f>G14+G15</f>
        <v>0</v>
      </c>
      <c r="H13" s="116"/>
      <c r="I13" s="116"/>
      <c r="J13" s="116">
        <f>J14+J15</f>
        <v>0</v>
      </c>
      <c r="K13" s="135"/>
      <c r="L13" s="135"/>
      <c r="M13" s="6" t="s">
        <v>0</v>
      </c>
      <c r="N13" s="8">
        <f>IFERROR(D13/$D$11,0)</f>
        <v>0.53766734410930062</v>
      </c>
    </row>
    <row r="14" spans="1:33" x14ac:dyDescent="0.2">
      <c r="B14" s="5" t="s">
        <v>9</v>
      </c>
      <c r="C14" s="5" t="s">
        <v>4</v>
      </c>
      <c r="D14" s="117">
        <v>347276451.75</v>
      </c>
      <c r="E14" s="117"/>
      <c r="F14" s="117"/>
      <c r="G14" s="117"/>
      <c r="H14" s="117"/>
      <c r="I14" s="117"/>
      <c r="J14" s="117"/>
      <c r="K14" s="117"/>
      <c r="L14" s="117"/>
      <c r="M14" s="6" t="s">
        <v>0</v>
      </c>
      <c r="N14" s="8">
        <f>IFERROR(D14/$D$11,0)</f>
        <v>4.0768668834150652E-2</v>
      </c>
    </row>
    <row r="15" spans="1:33" x14ac:dyDescent="0.2">
      <c r="B15" s="5" t="s">
        <v>67</v>
      </c>
      <c r="C15" s="5" t="s">
        <v>5</v>
      </c>
      <c r="D15" s="118">
        <v>4232691764.6199999</v>
      </c>
      <c r="E15" s="118"/>
      <c r="F15" s="118"/>
      <c r="G15" s="118"/>
      <c r="H15" s="118"/>
      <c r="I15" s="118"/>
      <c r="J15" s="118"/>
      <c r="K15" s="118"/>
      <c r="L15" s="118"/>
      <c r="M15" s="6" t="s">
        <v>0</v>
      </c>
      <c r="N15" s="8">
        <f>IFERROR(D15/$D$11,0)</f>
        <v>0.49689867527514991</v>
      </c>
    </row>
    <row r="16" spans="1:33" ht="34.5" customHeight="1" x14ac:dyDescent="0.2">
      <c r="B16" s="386" t="s">
        <v>84</v>
      </c>
      <c r="C16" s="386"/>
      <c r="D16" s="386"/>
      <c r="E16" s="386"/>
      <c r="F16" s="386"/>
      <c r="G16" s="386"/>
      <c r="H16" s="386"/>
      <c r="I16" s="386"/>
      <c r="J16" s="386"/>
      <c r="K16" s="386"/>
      <c r="L16" s="386"/>
      <c r="M16" s="386"/>
      <c r="N16" s="386"/>
    </row>
    <row r="17" spans="1:23" x14ac:dyDescent="0.2">
      <c r="D17" s="37"/>
      <c r="E17" s="37"/>
      <c r="F17" s="37"/>
      <c r="G17" s="37"/>
      <c r="H17" s="37"/>
      <c r="I17" s="37"/>
      <c r="J17" s="37"/>
      <c r="K17" s="37"/>
      <c r="L17" s="37"/>
      <c r="M17" s="37"/>
    </row>
    <row r="18" spans="1:23" ht="15" x14ac:dyDescent="0.25">
      <c r="A18" s="1" t="s">
        <v>36</v>
      </c>
      <c r="B18" s="3" t="s">
        <v>45</v>
      </c>
    </row>
    <row r="19" spans="1:23" ht="15" x14ac:dyDescent="0.25">
      <c r="B19" s="3"/>
    </row>
    <row r="20" spans="1:23" ht="15" x14ac:dyDescent="0.25">
      <c r="B20" s="2" t="s">
        <v>22</v>
      </c>
      <c r="C20" s="51" t="s">
        <v>198</v>
      </c>
      <c r="E20" s="127" t="s">
        <v>29</v>
      </c>
      <c r="G20" s="83"/>
      <c r="H20" s="83"/>
      <c r="I20" s="83"/>
      <c r="J20" s="37"/>
      <c r="K20" s="37"/>
      <c r="L20" s="37"/>
      <c r="M20" s="37"/>
      <c r="N20" s="37"/>
      <c r="O20" s="37"/>
      <c r="P20" s="37"/>
      <c r="Q20" s="37"/>
    </row>
    <row r="21" spans="1:23" x14ac:dyDescent="0.2">
      <c r="C21" s="1" t="s">
        <v>204</v>
      </c>
      <c r="E21" s="1" t="s">
        <v>200</v>
      </c>
      <c r="G21" s="83"/>
      <c r="H21" s="83"/>
      <c r="I21" s="83"/>
      <c r="J21" s="37"/>
      <c r="K21" s="37"/>
      <c r="L21" s="37"/>
      <c r="M21" s="37"/>
      <c r="N21" s="37"/>
      <c r="O21" s="37"/>
      <c r="P21" s="37"/>
      <c r="Q21" s="37"/>
    </row>
    <row r="22" spans="1:23" ht="15" x14ac:dyDescent="0.25">
      <c r="B22" s="2" t="s">
        <v>46</v>
      </c>
    </row>
    <row r="23" spans="1:23" ht="15" customHeight="1" x14ac:dyDescent="0.25">
      <c r="B23" s="38"/>
      <c r="C23" s="38"/>
      <c r="D23" s="38"/>
      <c r="E23" s="38"/>
      <c r="F23" s="38"/>
      <c r="G23" s="38"/>
      <c r="H23" s="38"/>
      <c r="I23" s="38"/>
      <c r="J23" s="38"/>
      <c r="K23" s="38"/>
      <c r="L23" s="38"/>
      <c r="M23" s="38"/>
      <c r="N23" s="38"/>
    </row>
    <row r="24" spans="1:23" ht="15" customHeight="1" x14ac:dyDescent="0.25">
      <c r="B24" s="38"/>
      <c r="C24" s="38"/>
      <c r="D24" s="38"/>
      <c r="E24" s="38"/>
      <c r="F24" s="38"/>
      <c r="G24" s="38"/>
      <c r="H24" s="38"/>
      <c r="I24" s="38"/>
      <c r="J24" s="38"/>
      <c r="K24" s="38"/>
      <c r="L24" s="38"/>
      <c r="M24" s="38"/>
      <c r="N24" s="38"/>
    </row>
    <row r="25" spans="1:23" ht="15" customHeight="1" x14ac:dyDescent="0.25">
      <c r="B25" s="38"/>
      <c r="C25" s="38"/>
      <c r="D25" s="38"/>
      <c r="E25" s="38"/>
      <c r="F25" s="38"/>
      <c r="G25" s="38"/>
      <c r="H25" s="38"/>
      <c r="I25" s="38"/>
      <c r="J25" s="38"/>
      <c r="K25" s="38"/>
      <c r="L25" s="38"/>
      <c r="M25" s="38"/>
      <c r="N25" s="38"/>
    </row>
    <row r="26" spans="1:23" ht="15" customHeight="1" x14ac:dyDescent="0.25">
      <c r="B26" s="38"/>
      <c r="C26" s="38"/>
      <c r="D26" s="38"/>
      <c r="E26" s="38"/>
      <c r="F26" s="38"/>
      <c r="G26" s="38"/>
      <c r="H26" s="38"/>
      <c r="I26" s="38"/>
      <c r="J26" s="38"/>
      <c r="K26" s="38"/>
      <c r="L26" s="38"/>
      <c r="M26" s="38"/>
      <c r="N26" s="38"/>
    </row>
    <row r="27" spans="1:23" ht="14.25" customHeight="1" x14ac:dyDescent="0.25">
      <c r="B27" s="38"/>
      <c r="C27" s="38"/>
      <c r="D27" s="38"/>
      <c r="E27" s="38"/>
      <c r="F27" s="38"/>
      <c r="G27" s="38"/>
      <c r="H27" s="38"/>
      <c r="I27" s="38"/>
      <c r="J27" s="38"/>
      <c r="K27" s="38"/>
      <c r="L27" s="38"/>
      <c r="M27" s="38"/>
      <c r="N27" s="38"/>
    </row>
    <row r="28" spans="1:23" ht="14.25" customHeight="1" x14ac:dyDescent="0.25">
      <c r="B28" s="38"/>
      <c r="C28" s="38"/>
      <c r="D28" s="38"/>
      <c r="E28" s="38"/>
      <c r="F28" s="38"/>
      <c r="G28" s="38"/>
      <c r="H28" s="38"/>
      <c r="I28" s="38"/>
      <c r="J28" s="38"/>
      <c r="K28" s="38"/>
      <c r="L28" s="38"/>
      <c r="M28" s="38"/>
      <c r="N28" s="38"/>
    </row>
    <row r="29" spans="1:23" s="37" customFormat="1" ht="14.25" customHeight="1" x14ac:dyDescent="0.25">
      <c r="B29" s="38"/>
      <c r="C29" s="38"/>
      <c r="D29" s="38"/>
      <c r="E29" s="38"/>
      <c r="F29" s="38"/>
      <c r="G29" s="38"/>
      <c r="H29" s="38"/>
      <c r="I29" s="38"/>
      <c r="J29" s="38"/>
      <c r="K29" s="38"/>
      <c r="L29" s="38"/>
      <c r="M29" s="38"/>
      <c r="N29" s="38"/>
    </row>
    <row r="31" spans="1:23" ht="15" x14ac:dyDescent="0.25">
      <c r="A31" s="1" t="s">
        <v>37</v>
      </c>
      <c r="B31" s="46" t="s">
        <v>49</v>
      </c>
      <c r="C31" s="3"/>
    </row>
    <row r="32" spans="1:23" ht="15.75" thickBot="1" x14ac:dyDescent="0.3">
      <c r="B32" s="2" t="s">
        <v>26</v>
      </c>
      <c r="C32" s="102">
        <v>2016</v>
      </c>
      <c r="D32" s="83"/>
      <c r="E32" s="83"/>
      <c r="F32" s="83"/>
      <c r="G32" s="83"/>
      <c r="H32" s="83"/>
      <c r="I32" s="83"/>
      <c r="J32" s="84"/>
      <c r="K32" s="136"/>
      <c r="L32" s="136"/>
      <c r="M32" s="35"/>
      <c r="N32" s="35"/>
      <c r="O32" s="35"/>
      <c r="P32" s="35"/>
      <c r="Q32" s="35"/>
      <c r="S32" s="31"/>
      <c r="T32" s="31"/>
      <c r="U32" s="31"/>
      <c r="V32" s="31"/>
      <c r="W32" s="3" t="s">
        <v>30</v>
      </c>
    </row>
    <row r="33" spans="2:32" s="9" customFormat="1" ht="67.5" customHeight="1" thickBot="1" x14ac:dyDescent="0.3">
      <c r="B33" s="138" t="s">
        <v>43</v>
      </c>
      <c r="C33" s="372" t="s">
        <v>154</v>
      </c>
      <c r="D33" s="387" t="s">
        <v>156</v>
      </c>
      <c r="E33" s="387"/>
      <c r="F33" s="387"/>
      <c r="G33" s="387" t="s">
        <v>92</v>
      </c>
      <c r="H33" s="387"/>
      <c r="I33" s="387"/>
      <c r="J33" s="139" t="s">
        <v>159</v>
      </c>
      <c r="K33" s="139" t="s">
        <v>194</v>
      </c>
      <c r="L33" s="139" t="s">
        <v>195</v>
      </c>
      <c r="M33" s="140" t="s">
        <v>196</v>
      </c>
      <c r="N33" s="140" t="s">
        <v>23</v>
      </c>
      <c r="O33" s="140" t="s">
        <v>56</v>
      </c>
      <c r="P33" s="140" t="s">
        <v>83</v>
      </c>
      <c r="Q33" s="144" t="s">
        <v>85</v>
      </c>
      <c r="R33" s="286" t="s">
        <v>197</v>
      </c>
      <c r="S33" s="308"/>
      <c r="T33" s="308"/>
      <c r="U33" s="308"/>
      <c r="V33" s="308"/>
      <c r="W33" s="11"/>
      <c r="X33" s="382">
        <v>2016</v>
      </c>
      <c r="Y33" s="382"/>
      <c r="Z33" s="382"/>
      <c r="AA33" s="382">
        <v>2015</v>
      </c>
      <c r="AB33" s="382"/>
      <c r="AC33" s="382"/>
      <c r="AD33" s="382">
        <v>2014</v>
      </c>
      <c r="AE33" s="382"/>
      <c r="AF33" s="382"/>
    </row>
    <row r="34" spans="2:32" s="9" customFormat="1" ht="15.75" thickBot="1" x14ac:dyDescent="0.3">
      <c r="B34" s="120"/>
      <c r="C34" s="141" t="s">
        <v>0</v>
      </c>
      <c r="D34" s="141" t="s">
        <v>0</v>
      </c>
      <c r="E34" s="141" t="s">
        <v>155</v>
      </c>
      <c r="F34" s="141" t="s">
        <v>193</v>
      </c>
      <c r="G34" s="141" t="s">
        <v>0</v>
      </c>
      <c r="H34" s="141" t="s">
        <v>155</v>
      </c>
      <c r="I34" s="141" t="s">
        <v>193</v>
      </c>
      <c r="J34" s="122" t="s">
        <v>0</v>
      </c>
      <c r="K34" s="121" t="s">
        <v>155</v>
      </c>
      <c r="L34" s="141" t="s">
        <v>193</v>
      </c>
      <c r="M34" s="123"/>
      <c r="N34" s="123"/>
      <c r="O34" s="123"/>
      <c r="P34" s="123"/>
      <c r="Q34" s="124"/>
      <c r="R34" s="285"/>
      <c r="S34" s="309"/>
      <c r="T34" s="309"/>
      <c r="U34" s="309"/>
      <c r="V34" s="309"/>
      <c r="W34" s="11"/>
      <c r="X34" s="119"/>
      <c r="Y34" s="119"/>
      <c r="Z34" s="119"/>
      <c r="AA34" s="119"/>
      <c r="AB34" s="119"/>
      <c r="AC34" s="119"/>
      <c r="AD34" s="119"/>
      <c r="AE34" s="119"/>
      <c r="AF34" s="119"/>
    </row>
    <row r="35" spans="2:32" s="9" customFormat="1" ht="30" x14ac:dyDescent="0.25">
      <c r="B35" s="12"/>
      <c r="C35" s="66" t="s">
        <v>44</v>
      </c>
      <c r="D35" s="66" t="s">
        <v>42</v>
      </c>
      <c r="E35" s="66"/>
      <c r="F35" s="66"/>
      <c r="G35" s="67" t="s">
        <v>59</v>
      </c>
      <c r="H35" s="67"/>
      <c r="I35" s="67"/>
      <c r="J35" s="67" t="s">
        <v>60</v>
      </c>
      <c r="K35" s="67"/>
      <c r="L35" s="67"/>
      <c r="M35" s="67" t="s">
        <v>61</v>
      </c>
      <c r="N35" s="68" t="s">
        <v>62</v>
      </c>
      <c r="O35" s="67" t="s">
        <v>63</v>
      </c>
      <c r="P35" s="68" t="s">
        <v>64</v>
      </c>
      <c r="Q35" s="69" t="s">
        <v>65</v>
      </c>
      <c r="R35" s="347"/>
      <c r="S35" s="309"/>
      <c r="T35" s="317"/>
      <c r="U35" s="310"/>
      <c r="V35" s="310"/>
      <c r="W35" s="20" t="s">
        <v>31</v>
      </c>
      <c r="X35" s="106" t="s">
        <v>27</v>
      </c>
      <c r="Y35" s="106" t="s">
        <v>28</v>
      </c>
      <c r="Z35" s="106" t="s">
        <v>29</v>
      </c>
      <c r="AA35" s="106" t="s">
        <v>27</v>
      </c>
      <c r="AB35" s="106" t="s">
        <v>28</v>
      </c>
      <c r="AC35" s="106" t="s">
        <v>29</v>
      </c>
      <c r="AD35" s="106" t="s">
        <v>27</v>
      </c>
      <c r="AE35" s="106" t="s">
        <v>28</v>
      </c>
      <c r="AF35" s="106" t="s">
        <v>29</v>
      </c>
    </row>
    <row r="36" spans="2:32" x14ac:dyDescent="0.2">
      <c r="B36" s="13" t="s">
        <v>269</v>
      </c>
      <c r="C36" s="99">
        <v>153693718</v>
      </c>
      <c r="D36" s="99">
        <f>1019358+170911714</f>
        <v>171931072</v>
      </c>
      <c r="E36" s="215">
        <f>19157478+116839</f>
        <v>19274317</v>
      </c>
      <c r="F36" s="210">
        <f>+E36/D36</f>
        <v>0.11210490794822707</v>
      </c>
      <c r="G36" s="62">
        <f>15323238+158564528</f>
        <v>173887766</v>
      </c>
      <c r="H36" s="16">
        <f>1290676+14905859</f>
        <v>16196535</v>
      </c>
      <c r="I36" s="210">
        <f>+H36/G36</f>
        <v>9.3143614255185733E-2</v>
      </c>
      <c r="J36" s="50">
        <f>+C36+-D36+G36</f>
        <v>155650412</v>
      </c>
      <c r="K36" s="16" t="e">
        <f>+#REF!-E36+H36</f>
        <v>#REF!</v>
      </c>
      <c r="L36" s="142" t="e">
        <f>+K36/J36</f>
        <v>#REF!</v>
      </c>
      <c r="M36" s="352">
        <f>+Z36</f>
        <v>9.1789999999999997E-2</v>
      </c>
      <c r="N36" s="16">
        <f>J36*M36</f>
        <v>14287151.31748</v>
      </c>
      <c r="O36" s="143">
        <f>+M36</f>
        <v>9.1789999999999997E-2</v>
      </c>
      <c r="P36" s="18">
        <f>J36*O36</f>
        <v>14287151.31748</v>
      </c>
      <c r="Q36" s="359">
        <f>+P36-N36</f>
        <v>0</v>
      </c>
      <c r="R36" s="358"/>
      <c r="S36" s="279"/>
      <c r="T36" s="312"/>
      <c r="U36" s="279"/>
      <c r="V36" s="279"/>
      <c r="W36" s="11" t="s">
        <v>10</v>
      </c>
      <c r="X36" s="21">
        <v>8.4229999999999999E-2</v>
      </c>
      <c r="Y36" s="21">
        <v>9.214E-2</v>
      </c>
      <c r="Z36" s="21">
        <v>9.1789999999999997E-2</v>
      </c>
      <c r="AA36" s="21">
        <v>5.5490000000000005E-2</v>
      </c>
      <c r="AB36" s="21">
        <v>6.1609999999999998E-2</v>
      </c>
      <c r="AC36" s="21">
        <v>5.0680000000000003E-2</v>
      </c>
      <c r="AD36" s="21">
        <v>3.6260000000000001E-2</v>
      </c>
      <c r="AE36" s="21">
        <v>1.806E-2</v>
      </c>
      <c r="AF36" s="21">
        <v>1.261E-2</v>
      </c>
    </row>
    <row r="37" spans="2:32" x14ac:dyDescent="0.2">
      <c r="B37" s="13" t="s">
        <v>157</v>
      </c>
      <c r="C37" s="99">
        <f>351839994-C36</f>
        <v>198146276</v>
      </c>
      <c r="D37" s="99">
        <f>2515749+387122691-D36</f>
        <v>217707368</v>
      </c>
      <c r="E37" s="215">
        <f>288355+36296522-E36</f>
        <v>17310560</v>
      </c>
      <c r="F37" s="210">
        <f t="shared" ref="F37:F68" si="0">+E37/D37</f>
        <v>7.9512972661540796E-2</v>
      </c>
      <c r="G37" s="62">
        <f>36353310+368863066-G36</f>
        <v>231328610</v>
      </c>
      <c r="H37" s="16">
        <f>3062039+35171099-H36</f>
        <v>22036603</v>
      </c>
      <c r="I37" s="210">
        <f t="shared" ref="I37:I68" si="1">+H37/G37</f>
        <v>9.5261035805298794E-2</v>
      </c>
      <c r="J37" s="50">
        <f>+C37+-D37+G37</f>
        <v>211767518</v>
      </c>
      <c r="K37" s="16" t="e">
        <f>+#REF!-E37+H37</f>
        <v>#REF!</v>
      </c>
      <c r="L37" s="142" t="e">
        <f t="shared" ref="L37:L74" si="2">+K37/J37</f>
        <v>#REF!</v>
      </c>
      <c r="M37" s="352">
        <f>+X36</f>
        <v>8.4229999999999999E-2</v>
      </c>
      <c r="N37" s="16">
        <f>J37*M37</f>
        <v>17837178.041140001</v>
      </c>
      <c r="O37" s="143">
        <f>+O36</f>
        <v>9.1789999999999997E-2</v>
      </c>
      <c r="P37" s="18">
        <f>J37*O37</f>
        <v>19438140.477219999</v>
      </c>
      <c r="Q37" s="359">
        <f>+P37-N37</f>
        <v>1600962.4360799976</v>
      </c>
      <c r="R37" s="358"/>
      <c r="S37" s="31"/>
      <c r="T37" s="312"/>
      <c r="U37" s="279"/>
      <c r="V37" s="31"/>
      <c r="W37" s="11" t="s">
        <v>11</v>
      </c>
      <c r="X37" s="22">
        <v>0.10384</v>
      </c>
      <c r="Y37" s="22">
        <v>9.6780000000000005E-2</v>
      </c>
      <c r="Z37" s="22">
        <v>9.851E-2</v>
      </c>
      <c r="AA37" s="22">
        <v>6.9809999999999997E-2</v>
      </c>
      <c r="AB37" s="22">
        <v>4.095E-2</v>
      </c>
      <c r="AC37" s="22">
        <v>3.9609999999999999E-2</v>
      </c>
      <c r="AD37" s="22">
        <v>2.231E-2</v>
      </c>
      <c r="AE37" s="22">
        <v>1.1180000000000001E-2</v>
      </c>
      <c r="AF37" s="22">
        <v>1.3300000000000001E-2</v>
      </c>
    </row>
    <row r="38" spans="2:32" ht="15" x14ac:dyDescent="0.25">
      <c r="B38" s="132" t="s">
        <v>158</v>
      </c>
      <c r="C38" s="350">
        <f>SUM(C36:C37)</f>
        <v>351839994</v>
      </c>
      <c r="D38" s="350">
        <f t="shared" ref="D38:Q38" si="3">SUM(D36:D37)</f>
        <v>389638440</v>
      </c>
      <c r="E38" s="137">
        <f t="shared" si="3"/>
        <v>36584877</v>
      </c>
      <c r="F38" s="210">
        <f t="shared" si="0"/>
        <v>9.389442427702975E-2</v>
      </c>
      <c r="G38" s="350">
        <f t="shared" si="3"/>
        <v>405216376</v>
      </c>
      <c r="H38" s="137">
        <f t="shared" si="3"/>
        <v>38233138</v>
      </c>
      <c r="I38" s="210">
        <f t="shared" si="1"/>
        <v>9.4352400999706876E-2</v>
      </c>
      <c r="J38" s="133">
        <f t="shared" si="3"/>
        <v>367417930</v>
      </c>
      <c r="K38" s="137" t="e">
        <f t="shared" si="3"/>
        <v>#REF!</v>
      </c>
      <c r="L38" s="142" t="e">
        <f t="shared" si="2"/>
        <v>#REF!</v>
      </c>
      <c r="M38" s="352"/>
      <c r="N38" s="137">
        <f t="shared" si="3"/>
        <v>32124329.358620003</v>
      </c>
      <c r="O38" s="357"/>
      <c r="P38" s="137">
        <f t="shared" si="3"/>
        <v>33725291.794699997</v>
      </c>
      <c r="Q38" s="149">
        <f t="shared" si="3"/>
        <v>1600962.4360799976</v>
      </c>
      <c r="R38" s="358">
        <v>2239305</v>
      </c>
      <c r="S38" s="279"/>
      <c r="T38" s="315"/>
      <c r="U38" s="314"/>
      <c r="V38" s="279"/>
      <c r="W38" s="11" t="s">
        <v>12</v>
      </c>
      <c r="X38" s="22">
        <v>9.0219999999999995E-2</v>
      </c>
      <c r="Y38" s="22">
        <v>0.10299</v>
      </c>
      <c r="Z38" s="22">
        <v>0.1061</v>
      </c>
      <c r="AA38" s="22">
        <v>3.6040000000000003E-2</v>
      </c>
      <c r="AB38" s="22">
        <v>5.74E-2</v>
      </c>
      <c r="AC38" s="22">
        <v>6.2899999999999998E-2</v>
      </c>
      <c r="AD38" s="22">
        <v>1.103E-2</v>
      </c>
      <c r="AE38" s="22">
        <v>-8.0000000000000002E-3</v>
      </c>
      <c r="AF38" s="22">
        <v>-2.7E-4</v>
      </c>
    </row>
    <row r="39" spans="2:32" x14ac:dyDescent="0.2">
      <c r="B39" s="13" t="s">
        <v>160</v>
      </c>
      <c r="C39" s="99">
        <v>165610157</v>
      </c>
      <c r="D39" s="99">
        <f>+G36</f>
        <v>173887766</v>
      </c>
      <c r="E39" s="215">
        <f>+H36</f>
        <v>16196535</v>
      </c>
      <c r="F39" s="210">
        <f t="shared" si="0"/>
        <v>9.3143614255185733E-2</v>
      </c>
      <c r="G39" s="62">
        <f>6809764+163292084</f>
        <v>170101848</v>
      </c>
      <c r="H39" s="16">
        <f>707126+14880007</f>
        <v>15587133</v>
      </c>
      <c r="I39" s="210">
        <f t="shared" si="1"/>
        <v>9.1634119107277423E-2</v>
      </c>
      <c r="J39" s="50">
        <f>+C39+-D39+G39</f>
        <v>161824239</v>
      </c>
      <c r="K39" s="16" t="e">
        <f>+#REF!-E39+H39</f>
        <v>#REF!</v>
      </c>
      <c r="L39" s="142" t="e">
        <f t="shared" si="2"/>
        <v>#REF!</v>
      </c>
      <c r="M39" s="276">
        <f>+Z37</f>
        <v>9.851E-2</v>
      </c>
      <c r="N39" s="16">
        <f>J39*M39</f>
        <v>15941305.78389</v>
      </c>
      <c r="O39" s="143">
        <f>+M39</f>
        <v>9.851E-2</v>
      </c>
      <c r="P39" s="18">
        <f>J39*O39</f>
        <v>15941305.78389</v>
      </c>
      <c r="Q39" s="359">
        <f>+P39-N39</f>
        <v>0</v>
      </c>
      <c r="R39" s="358"/>
      <c r="S39" s="279"/>
      <c r="T39" s="312"/>
      <c r="U39" s="279"/>
      <c r="V39" s="279"/>
      <c r="W39" s="11" t="s">
        <v>13</v>
      </c>
      <c r="X39" s="22">
        <v>0.12114999999999999</v>
      </c>
      <c r="Y39" s="22">
        <v>0.11176999999999999</v>
      </c>
      <c r="Z39" s="22">
        <v>0.11132</v>
      </c>
      <c r="AA39" s="22">
        <v>6.7049999999999998E-2</v>
      </c>
      <c r="AB39" s="22">
        <v>9.2679999999999998E-2</v>
      </c>
      <c r="AC39" s="22">
        <v>9.5590000000000008E-2</v>
      </c>
      <c r="AD39" s="22">
        <v>-9.6500000000000006E-3</v>
      </c>
      <c r="AE39" s="22">
        <v>5.4530000000000002E-2</v>
      </c>
      <c r="AF39" s="22">
        <v>5.1979999999999998E-2</v>
      </c>
    </row>
    <row r="40" spans="2:32" x14ac:dyDescent="0.2">
      <c r="B40" s="13" t="s">
        <v>161</v>
      </c>
      <c r="C40" s="99">
        <f>347344367-C39</f>
        <v>181734210</v>
      </c>
      <c r="D40" s="99">
        <f>+G37</f>
        <v>231328610</v>
      </c>
      <c r="E40" s="215">
        <f>+H37</f>
        <v>22036603</v>
      </c>
      <c r="F40" s="210">
        <f t="shared" si="0"/>
        <v>9.5261035805298794E-2</v>
      </c>
      <c r="G40" s="62">
        <f>16155688+394454727-G39</f>
        <v>240508567</v>
      </c>
      <c r="H40" s="16">
        <f>37102839-H39</f>
        <v>21515706</v>
      </c>
      <c r="I40" s="210">
        <f t="shared" si="1"/>
        <v>8.9459208328325365E-2</v>
      </c>
      <c r="J40" s="50">
        <f>+C40+-D40+G40</f>
        <v>190914167</v>
      </c>
      <c r="K40" s="16" t="e">
        <f>+#REF!-E40+H40</f>
        <v>#REF!</v>
      </c>
      <c r="L40" s="142" t="e">
        <f t="shared" si="2"/>
        <v>#REF!</v>
      </c>
      <c r="M40" s="276">
        <f>+X37</f>
        <v>0.10384</v>
      </c>
      <c r="N40" s="16">
        <f>J40*M40</f>
        <v>19824527.10128</v>
      </c>
      <c r="O40" s="143">
        <f>+O39</f>
        <v>9.851E-2</v>
      </c>
      <c r="P40" s="18">
        <f>J40*O40</f>
        <v>18806954.591170002</v>
      </c>
      <c r="Q40" s="359">
        <f>+P40-N40</f>
        <v>-1017572.5101099983</v>
      </c>
      <c r="R40" s="358"/>
      <c r="S40" s="279"/>
      <c r="T40" s="312"/>
      <c r="U40" s="279"/>
      <c r="V40" s="279"/>
      <c r="W40" s="11" t="s">
        <v>14</v>
      </c>
      <c r="X40" s="22">
        <v>0.10405</v>
      </c>
      <c r="Y40" s="22">
        <v>0.11493</v>
      </c>
      <c r="Z40" s="22">
        <v>0.10749</v>
      </c>
      <c r="AA40" s="22">
        <v>9.4159999999999994E-2</v>
      </c>
      <c r="AB40" s="22">
        <v>9.7299999999999998E-2</v>
      </c>
      <c r="AC40" s="22">
        <v>9.6680000000000002E-2</v>
      </c>
      <c r="AD40" s="22">
        <v>5.3560000000000003E-2</v>
      </c>
      <c r="AE40" s="22">
        <v>7.3520000000000002E-2</v>
      </c>
      <c r="AF40" s="22">
        <v>7.1959999999999996E-2</v>
      </c>
    </row>
    <row r="41" spans="2:32" ht="15" x14ac:dyDescent="0.25">
      <c r="B41" s="132" t="s">
        <v>162</v>
      </c>
      <c r="C41" s="350">
        <f>SUM(C39:C40)</f>
        <v>347344367</v>
      </c>
      <c r="D41" s="350">
        <f t="shared" ref="D41" si="4">SUM(D39:D40)</f>
        <v>405216376</v>
      </c>
      <c r="E41" s="137">
        <f t="shared" ref="E41" si="5">SUM(E39:E40)</f>
        <v>38233138</v>
      </c>
      <c r="F41" s="210">
        <f t="shared" si="0"/>
        <v>9.4352400999706876E-2</v>
      </c>
      <c r="G41" s="350">
        <f t="shared" ref="G41" si="6">SUM(G39:G40)</f>
        <v>410610415</v>
      </c>
      <c r="H41" s="137">
        <f t="shared" ref="H41" si="7">SUM(H39:H40)</f>
        <v>37102839</v>
      </c>
      <c r="I41" s="210">
        <f t="shared" si="1"/>
        <v>9.0360199460600629E-2</v>
      </c>
      <c r="J41" s="133">
        <f t="shared" ref="J41:K41" si="8">SUM(J39:J40)</f>
        <v>352738406</v>
      </c>
      <c r="K41" s="137" t="e">
        <f t="shared" si="8"/>
        <v>#REF!</v>
      </c>
      <c r="L41" s="142" t="e">
        <f t="shared" si="2"/>
        <v>#REF!</v>
      </c>
      <c r="M41" s="10"/>
      <c r="N41" s="137">
        <f t="shared" ref="N41" si="9">SUM(N39:N40)</f>
        <v>35765832.885169998</v>
      </c>
      <c r="O41" s="357"/>
      <c r="P41" s="137">
        <f t="shared" ref="P41:Q41" si="10">SUM(P39:P40)</f>
        <v>34748260.37506</v>
      </c>
      <c r="Q41" s="149">
        <f t="shared" si="10"/>
        <v>-1017572.5101099983</v>
      </c>
      <c r="R41" s="358">
        <v>-989275.97804159997</v>
      </c>
      <c r="S41" s="316"/>
      <c r="T41" s="315"/>
      <c r="U41" s="314"/>
      <c r="V41" s="316"/>
      <c r="W41" s="11" t="s">
        <v>15</v>
      </c>
      <c r="X41" s="22">
        <v>0.11650000000000001</v>
      </c>
      <c r="Y41" s="22">
        <v>9.3600000000000003E-2</v>
      </c>
      <c r="Z41" s="22">
        <v>9.5449999999999993E-2</v>
      </c>
      <c r="AA41" s="22">
        <v>9.2280000000000001E-2</v>
      </c>
      <c r="AB41" s="22">
        <v>9.7680000000000003E-2</v>
      </c>
      <c r="AC41" s="22">
        <v>9.5400000000000013E-2</v>
      </c>
      <c r="AD41" s="22">
        <v>7.1900000000000006E-2</v>
      </c>
      <c r="AE41" s="22">
        <v>6.6640000000000005E-2</v>
      </c>
      <c r="AF41" s="22">
        <v>6.0249999999999998E-2</v>
      </c>
    </row>
    <row r="42" spans="2:32" x14ac:dyDescent="0.2">
      <c r="B42" s="13" t="s">
        <v>163</v>
      </c>
      <c r="C42" s="99">
        <v>165782280</v>
      </c>
      <c r="D42" s="99">
        <f>+G39</f>
        <v>170101848</v>
      </c>
      <c r="E42" s="215">
        <f>+H39</f>
        <v>15587133</v>
      </c>
      <c r="F42" s="210">
        <f t="shared" si="0"/>
        <v>9.1634119107277423E-2</v>
      </c>
      <c r="G42" s="62">
        <f>-5506756+180798743</f>
        <v>175291987</v>
      </c>
      <c r="H42" s="16">
        <f>-496820+17602174</f>
        <v>17105354</v>
      </c>
      <c r="I42" s="210">
        <f t="shared" si="1"/>
        <v>9.7582064604014099E-2</v>
      </c>
      <c r="J42" s="50">
        <f>+C42+-D42+G42</f>
        <v>170972419</v>
      </c>
      <c r="K42" s="16" t="e">
        <f>+#REF!-E42+H42</f>
        <v>#REF!</v>
      </c>
      <c r="L42" s="142" t="e">
        <f t="shared" si="2"/>
        <v>#REF!</v>
      </c>
      <c r="M42" s="276">
        <f>+Z38</f>
        <v>0.1061</v>
      </c>
      <c r="N42" s="16">
        <f>J42*M42</f>
        <v>18140173.655900002</v>
      </c>
      <c r="O42" s="143">
        <f>+M42</f>
        <v>0.1061</v>
      </c>
      <c r="P42" s="18">
        <f>J42*O42</f>
        <v>18140173.655900002</v>
      </c>
      <c r="Q42" s="359">
        <f>+P42-N42</f>
        <v>0</v>
      </c>
      <c r="R42" s="358"/>
      <c r="S42" s="279"/>
      <c r="T42" s="312"/>
      <c r="U42" s="279"/>
      <c r="V42" s="279"/>
      <c r="W42" s="11" t="s">
        <v>16</v>
      </c>
      <c r="X42" s="22">
        <v>7.6670000000000002E-2</v>
      </c>
      <c r="Y42" s="22">
        <v>8.412E-2</v>
      </c>
      <c r="Z42" s="22">
        <v>8.3059999999999995E-2</v>
      </c>
      <c r="AA42" s="22">
        <v>8.8880000000000001E-2</v>
      </c>
      <c r="AB42" s="22">
        <v>8.4129999999999996E-2</v>
      </c>
      <c r="AC42" s="22">
        <v>7.8829999999999997E-2</v>
      </c>
      <c r="AD42" s="22">
        <v>5.9760000000000001E-2</v>
      </c>
      <c r="AE42" s="22">
        <v>5.7529999999999998E-2</v>
      </c>
      <c r="AF42" s="22">
        <v>6.2560000000000004E-2</v>
      </c>
    </row>
    <row r="43" spans="2:32" x14ac:dyDescent="0.2">
      <c r="B43" s="13" t="s">
        <v>164</v>
      </c>
      <c r="C43" s="99">
        <f>385424234-C42</f>
        <v>219641954</v>
      </c>
      <c r="D43" s="99">
        <f>+G40</f>
        <v>240508567</v>
      </c>
      <c r="E43" s="215">
        <f>+H40</f>
        <v>21515706</v>
      </c>
      <c r="F43" s="210">
        <f t="shared" si="0"/>
        <v>8.9459208328325365E-2</v>
      </c>
      <c r="G43" s="62">
        <f>-13064394+408062199-G42</f>
        <v>219705818</v>
      </c>
      <c r="H43" s="16">
        <f>38355328-H42</f>
        <v>21249974</v>
      </c>
      <c r="I43" s="210">
        <f t="shared" si="1"/>
        <v>9.6720124179870373E-2</v>
      </c>
      <c r="J43" s="50">
        <f>+C43+-D43+G43</f>
        <v>198839205</v>
      </c>
      <c r="K43" s="16" t="e">
        <f>+#REF!-E43+H43</f>
        <v>#REF!</v>
      </c>
      <c r="L43" s="142" t="e">
        <f t="shared" si="2"/>
        <v>#REF!</v>
      </c>
      <c r="M43" s="276">
        <f>+X38</f>
        <v>9.0219999999999995E-2</v>
      </c>
      <c r="N43" s="16">
        <f>J43*M43</f>
        <v>17939273.075099997</v>
      </c>
      <c r="O43" s="143">
        <f>+O42</f>
        <v>0.1061</v>
      </c>
      <c r="P43" s="18">
        <f>J43*O43</f>
        <v>21096839.6505</v>
      </c>
      <c r="Q43" s="359">
        <f>+P43-N43</f>
        <v>3157566.5754000023</v>
      </c>
      <c r="R43" s="358"/>
      <c r="S43" s="145"/>
      <c r="T43" s="312"/>
      <c r="U43" s="279"/>
      <c r="V43" s="145"/>
      <c r="W43" s="11" t="s">
        <v>17</v>
      </c>
      <c r="X43" s="22">
        <v>8.5690000000000002E-2</v>
      </c>
      <c r="Y43" s="22">
        <v>7.0499999999999993E-2</v>
      </c>
      <c r="Z43" s="22">
        <v>7.1029999999999996E-2</v>
      </c>
      <c r="AA43" s="22">
        <v>8.8050000000000003E-2</v>
      </c>
      <c r="AB43" s="22">
        <v>7.3550000000000004E-2</v>
      </c>
      <c r="AC43" s="22">
        <v>8.0099999999999991E-2</v>
      </c>
      <c r="AD43" s="22">
        <v>6.1079999999999995E-2</v>
      </c>
      <c r="AE43" s="22">
        <v>6.8970000000000004E-2</v>
      </c>
      <c r="AF43" s="22">
        <v>6.7610000000000003E-2</v>
      </c>
    </row>
    <row r="44" spans="2:32" ht="15" x14ac:dyDescent="0.25">
      <c r="B44" s="132" t="s">
        <v>165</v>
      </c>
      <c r="C44" s="350">
        <f>SUM(C42:C43)</f>
        <v>385424234</v>
      </c>
      <c r="D44" s="350">
        <f t="shared" ref="D44" si="11">SUM(D42:D43)</f>
        <v>410610415</v>
      </c>
      <c r="E44" s="137">
        <f t="shared" ref="E44" si="12">SUM(E42:E43)</f>
        <v>37102839</v>
      </c>
      <c r="F44" s="210">
        <f t="shared" si="0"/>
        <v>9.0360199460600629E-2</v>
      </c>
      <c r="G44" s="350">
        <f t="shared" ref="G44" si="13">SUM(G42:G43)</f>
        <v>394997805</v>
      </c>
      <c r="H44" s="137">
        <f t="shared" ref="H44" si="14">SUM(H42:H43)</f>
        <v>38355328</v>
      </c>
      <c r="I44" s="210">
        <f t="shared" si="1"/>
        <v>9.7102635798191339E-2</v>
      </c>
      <c r="J44" s="133">
        <f t="shared" ref="J44:K44" si="15">SUM(J42:J43)</f>
        <v>369811624</v>
      </c>
      <c r="K44" s="137" t="e">
        <f t="shared" si="15"/>
        <v>#REF!</v>
      </c>
      <c r="L44" s="142" t="e">
        <f t="shared" si="2"/>
        <v>#REF!</v>
      </c>
      <c r="M44" s="10"/>
      <c r="N44" s="137">
        <f t="shared" ref="N44" si="16">SUM(N42:N43)</f>
        <v>36079446.730999999</v>
      </c>
      <c r="O44" s="357"/>
      <c r="P44" s="137">
        <f t="shared" ref="P44:Q44" si="17">SUM(P42:P43)</f>
        <v>39237013.306400001</v>
      </c>
      <c r="Q44" s="149">
        <f t="shared" si="17"/>
        <v>3157566.5754000023</v>
      </c>
      <c r="R44" s="358">
        <v>-429152.54207562306</v>
      </c>
      <c r="S44" s="219"/>
      <c r="T44" s="315"/>
      <c r="U44" s="314"/>
      <c r="V44" s="219"/>
      <c r="W44" s="11" t="s">
        <v>18</v>
      </c>
      <c r="X44" s="22">
        <v>7.0599999999999996E-2</v>
      </c>
      <c r="Y44" s="22">
        <v>9.1480000000000006E-2</v>
      </c>
      <c r="Z44" s="22">
        <v>9.5310000000000006E-2</v>
      </c>
      <c r="AA44" s="22">
        <v>8.270000000000001E-2</v>
      </c>
      <c r="AB44" s="22">
        <v>7.1910000000000002E-2</v>
      </c>
      <c r="AC44" s="22">
        <v>6.7030000000000006E-2</v>
      </c>
      <c r="AD44" s="22">
        <v>8.0489999999999992E-2</v>
      </c>
      <c r="AE44" s="22">
        <v>8.072E-2</v>
      </c>
      <c r="AF44" s="22">
        <v>7.9629999999999992E-2</v>
      </c>
    </row>
    <row r="45" spans="2:32" x14ac:dyDescent="0.2">
      <c r="B45" s="13" t="s">
        <v>168</v>
      </c>
      <c r="C45" s="99">
        <v>165105327</v>
      </c>
      <c r="D45" s="99">
        <f>+G42</f>
        <v>175291987</v>
      </c>
      <c r="E45" s="215">
        <f>+H42</f>
        <v>17105354</v>
      </c>
      <c r="F45" s="210">
        <f t="shared" si="0"/>
        <v>9.7582064604014099E-2</v>
      </c>
      <c r="G45" s="62">
        <f>-5122483+172691154</f>
        <v>167568671</v>
      </c>
      <c r="H45" s="16">
        <f>-620589+17997253</f>
        <v>17376664</v>
      </c>
      <c r="I45" s="210">
        <f t="shared" si="1"/>
        <v>0.10369876359525462</v>
      </c>
      <c r="J45" s="50">
        <f>+C45+-D45+G45</f>
        <v>157382011</v>
      </c>
      <c r="K45" s="16" t="e">
        <f>+#REF!-E45+H45</f>
        <v>#REF!</v>
      </c>
      <c r="L45" s="142" t="e">
        <f t="shared" si="2"/>
        <v>#REF!</v>
      </c>
      <c r="M45" s="276">
        <f>+Z39</f>
        <v>0.11132</v>
      </c>
      <c r="N45" s="16">
        <f>J45*M45</f>
        <v>17519765.46452</v>
      </c>
      <c r="O45" s="143">
        <f>+M45</f>
        <v>0.11132</v>
      </c>
      <c r="P45" s="18">
        <f>J45*O45</f>
        <v>17519765.46452</v>
      </c>
      <c r="Q45" s="359">
        <f>+P45-N45</f>
        <v>0</v>
      </c>
      <c r="R45" s="358"/>
      <c r="S45" s="145"/>
      <c r="T45" s="312"/>
      <c r="U45" s="279"/>
      <c r="V45" s="145"/>
      <c r="W45" s="11" t="s">
        <v>19</v>
      </c>
      <c r="X45" s="22">
        <v>9.7199999999999995E-2</v>
      </c>
      <c r="Y45" s="22">
        <v>0.1178</v>
      </c>
      <c r="Z45" s="22">
        <v>0.11226</v>
      </c>
      <c r="AA45" s="22">
        <v>6.3710000000000003E-2</v>
      </c>
      <c r="AB45" s="22">
        <v>7.1929999999999994E-2</v>
      </c>
      <c r="AC45" s="22">
        <v>7.5439999999999993E-2</v>
      </c>
      <c r="AD45" s="22">
        <v>7.492E-2</v>
      </c>
      <c r="AE45" s="22">
        <v>0.10135</v>
      </c>
      <c r="AF45" s="22">
        <v>0.10014000000000001</v>
      </c>
    </row>
    <row r="46" spans="2:32" x14ac:dyDescent="0.2">
      <c r="B46" s="13" t="s">
        <v>166</v>
      </c>
      <c r="C46" s="99">
        <f>371590299-C45</f>
        <v>206484972</v>
      </c>
      <c r="D46" s="99">
        <f>+G43</f>
        <v>219705818</v>
      </c>
      <c r="E46" s="215">
        <f>+H43</f>
        <v>21249974</v>
      </c>
      <c r="F46" s="210">
        <f t="shared" si="0"/>
        <v>9.6720124179870373E-2</v>
      </c>
      <c r="G46" s="62">
        <f>+-12152732+377627402-G45</f>
        <v>197905999</v>
      </c>
      <c r="H46" s="16">
        <f>38216537-H45</f>
        <v>20839873</v>
      </c>
      <c r="I46" s="210">
        <f t="shared" si="1"/>
        <v>0.10530187617000938</v>
      </c>
      <c r="J46" s="50">
        <f>+C46+-D46+G46</f>
        <v>184685153</v>
      </c>
      <c r="K46" s="16" t="e">
        <f>+#REF!-E46+H46</f>
        <v>#REF!</v>
      </c>
      <c r="L46" s="142" t="e">
        <f t="shared" si="2"/>
        <v>#REF!</v>
      </c>
      <c r="M46" s="276">
        <f>+X39</f>
        <v>0.12114999999999999</v>
      </c>
      <c r="N46" s="16">
        <f>J46*M46</f>
        <v>22374606.285949998</v>
      </c>
      <c r="O46" s="143">
        <f>+O45</f>
        <v>0.11132</v>
      </c>
      <c r="P46" s="18">
        <f>J46*O46</f>
        <v>20559151.231959999</v>
      </c>
      <c r="Q46" s="359">
        <f>+P46-N46</f>
        <v>-1815455.053989999</v>
      </c>
      <c r="R46" s="358"/>
      <c r="S46" s="145"/>
      <c r="T46" s="312"/>
      <c r="U46" s="279"/>
      <c r="V46" s="145"/>
      <c r="W46" s="11" t="s">
        <v>20</v>
      </c>
      <c r="X46" s="22">
        <v>0.12271</v>
      </c>
      <c r="Y46" s="22">
        <v>0.115</v>
      </c>
      <c r="Z46" s="22">
        <v>0.11108999999999999</v>
      </c>
      <c r="AA46" s="22">
        <v>7.6230000000000006E-2</v>
      </c>
      <c r="AB46" s="22">
        <v>0.12447999999999999</v>
      </c>
      <c r="AC46" s="22">
        <v>0.11320000000000001</v>
      </c>
      <c r="AD46" s="22">
        <v>9.9010000000000001E-2</v>
      </c>
      <c r="AE46" s="22">
        <v>8.5040000000000004E-2</v>
      </c>
      <c r="AF46" s="22">
        <v>8.231999999999999E-2</v>
      </c>
    </row>
    <row r="47" spans="2:32" ht="15" x14ac:dyDescent="0.25">
      <c r="B47" s="132" t="s">
        <v>167</v>
      </c>
      <c r="C47" s="350">
        <f>SUM(C45:C46)</f>
        <v>371590299</v>
      </c>
      <c r="D47" s="350">
        <f t="shared" ref="D47" si="18">SUM(D45:D46)</f>
        <v>394997805</v>
      </c>
      <c r="E47" s="137">
        <f t="shared" ref="E47" si="19">SUM(E45:E46)</f>
        <v>38355328</v>
      </c>
      <c r="F47" s="210">
        <f t="shared" si="0"/>
        <v>9.7102635798191339E-2</v>
      </c>
      <c r="G47" s="350">
        <f t="shared" ref="G47" si="20">SUM(G45:G46)</f>
        <v>365474670</v>
      </c>
      <c r="H47" s="137">
        <f t="shared" ref="H47" si="21">SUM(H45:H46)</f>
        <v>38216537</v>
      </c>
      <c r="I47" s="210">
        <f t="shared" si="1"/>
        <v>0.10456685548139355</v>
      </c>
      <c r="J47" s="133">
        <f t="shared" ref="J47:K47" si="22">SUM(J45:J46)</f>
        <v>342067164</v>
      </c>
      <c r="K47" s="137" t="e">
        <f t="shared" si="22"/>
        <v>#REF!</v>
      </c>
      <c r="L47" s="142" t="e">
        <f t="shared" si="2"/>
        <v>#REF!</v>
      </c>
      <c r="M47" s="10"/>
      <c r="N47" s="137">
        <f t="shared" ref="N47" si="23">SUM(N45:N46)</f>
        <v>39894371.750469998</v>
      </c>
      <c r="O47" s="357"/>
      <c r="P47" s="137">
        <f t="shared" ref="P47:Q47" si="24">SUM(P45:P46)</f>
        <v>38078916.696479999</v>
      </c>
      <c r="Q47" s="149">
        <f t="shared" si="24"/>
        <v>-1815455.053989999</v>
      </c>
      <c r="R47" s="358">
        <v>3864491.5156946136</v>
      </c>
      <c r="S47" s="145"/>
      <c r="T47" s="315"/>
      <c r="U47" s="314"/>
      <c r="V47" s="145"/>
      <c r="W47" s="11" t="s">
        <v>21</v>
      </c>
      <c r="X47" s="30">
        <v>0.10594000000000001</v>
      </c>
      <c r="Y47" s="30">
        <v>7.8719999999999998E-2</v>
      </c>
      <c r="Z47" s="30">
        <v>8.7080000000000005E-2</v>
      </c>
      <c r="AA47" s="30">
        <v>0.11462</v>
      </c>
      <c r="AB47" s="30">
        <v>8.8090000000000002E-2</v>
      </c>
      <c r="AC47" s="30">
        <v>9.4709999999999989E-2</v>
      </c>
      <c r="AD47" s="30">
        <v>7.3180000000000009E-2</v>
      </c>
      <c r="AE47" s="30">
        <v>5.7889999999999997E-2</v>
      </c>
      <c r="AF47" s="30">
        <v>7.4439999999999992E-2</v>
      </c>
    </row>
    <row r="48" spans="2:32" x14ac:dyDescent="0.2">
      <c r="B48" s="13" t="s">
        <v>169</v>
      </c>
      <c r="C48" s="99">
        <v>160442548</v>
      </c>
      <c r="D48" s="99">
        <f>+G45</f>
        <v>167568671</v>
      </c>
      <c r="E48" s="215">
        <f>+H45</f>
        <v>17376664</v>
      </c>
      <c r="F48" s="210">
        <f t="shared" si="0"/>
        <v>0.10369876359525462</v>
      </c>
      <c r="G48" s="62">
        <f>293881+171103008</f>
        <v>171396889</v>
      </c>
      <c r="H48" s="16">
        <f>30578+18952232</f>
        <v>18982810</v>
      </c>
      <c r="I48" s="210">
        <f t="shared" si="1"/>
        <v>0.11075352715415972</v>
      </c>
      <c r="J48" s="50">
        <f>+C48+-D48+G48</f>
        <v>164270766</v>
      </c>
      <c r="K48" s="16" t="e">
        <f>+#REF!-E48+H48</f>
        <v>#REF!</v>
      </c>
      <c r="L48" s="142" t="e">
        <f t="shared" si="2"/>
        <v>#REF!</v>
      </c>
      <c r="M48" s="276">
        <f>+Z40</f>
        <v>0.10749</v>
      </c>
      <c r="N48" s="16">
        <f>J48*M48</f>
        <v>17657464.637340002</v>
      </c>
      <c r="O48" s="143">
        <f>+M48</f>
        <v>0.10749</v>
      </c>
      <c r="P48" s="18">
        <f>J48*O48</f>
        <v>17657464.637340002</v>
      </c>
      <c r="Q48" s="359">
        <f>+P48-N48</f>
        <v>0</v>
      </c>
      <c r="R48" s="358"/>
      <c r="S48" s="145"/>
      <c r="T48" s="312"/>
      <c r="U48" s="279"/>
      <c r="V48" s="145"/>
      <c r="W48" s="33"/>
      <c r="X48" s="34"/>
      <c r="Y48" s="34"/>
      <c r="Z48" s="34"/>
      <c r="AA48" s="34"/>
      <c r="AB48" s="34"/>
      <c r="AC48" s="34"/>
      <c r="AD48" s="34"/>
      <c r="AE48" s="34"/>
      <c r="AF48" s="34"/>
    </row>
    <row r="49" spans="2:32" x14ac:dyDescent="0.2">
      <c r="B49" s="13" t="s">
        <v>170</v>
      </c>
      <c r="C49" s="99">
        <f>364341066-C48</f>
        <v>203898518</v>
      </c>
      <c r="D49" s="99">
        <f>+G46</f>
        <v>197905999</v>
      </c>
      <c r="E49" s="215">
        <f>+H46</f>
        <v>20839873</v>
      </c>
      <c r="F49" s="210">
        <f t="shared" si="0"/>
        <v>0.10530187617000938</v>
      </c>
      <c r="G49" s="62">
        <f>697212+373739759-G48</f>
        <v>203040082</v>
      </c>
      <c r="H49" s="16">
        <f>41338111-H48</f>
        <v>22355301</v>
      </c>
      <c r="I49" s="210">
        <f t="shared" si="1"/>
        <v>0.11010289584102906</v>
      </c>
      <c r="J49" s="50">
        <f>+C49+-D49+G49</f>
        <v>209032601</v>
      </c>
      <c r="K49" s="16" t="e">
        <f>+#REF!-E49+H49</f>
        <v>#REF!</v>
      </c>
      <c r="L49" s="142" t="e">
        <f t="shared" si="2"/>
        <v>#REF!</v>
      </c>
      <c r="M49" s="276">
        <f>+X40</f>
        <v>0.10405</v>
      </c>
      <c r="N49" s="16">
        <f>J49*M49</f>
        <v>21749842.13405</v>
      </c>
      <c r="O49" s="143">
        <f>+O48</f>
        <v>0.10749</v>
      </c>
      <c r="P49" s="18">
        <f>J49*O49</f>
        <v>22468914.281490002</v>
      </c>
      <c r="Q49" s="359">
        <f>+P49-N49</f>
        <v>719072.14744000137</v>
      </c>
      <c r="R49" s="358"/>
      <c r="S49" s="145"/>
      <c r="T49" s="312"/>
      <c r="U49" s="279"/>
      <c r="V49" s="145"/>
      <c r="W49" s="31"/>
      <c r="X49" s="32"/>
      <c r="Y49" s="32"/>
      <c r="Z49" s="32"/>
      <c r="AA49" s="32"/>
      <c r="AB49" s="32"/>
      <c r="AC49" s="32"/>
      <c r="AD49" s="32"/>
      <c r="AE49" s="32"/>
      <c r="AF49" s="32"/>
    </row>
    <row r="50" spans="2:32" ht="15" x14ac:dyDescent="0.25">
      <c r="B50" s="132" t="s">
        <v>171</v>
      </c>
      <c r="C50" s="350">
        <f>SUM(C48:C49)</f>
        <v>364341066</v>
      </c>
      <c r="D50" s="350">
        <f t="shared" ref="D50" si="25">SUM(D48:D49)</f>
        <v>365474670</v>
      </c>
      <c r="E50" s="137">
        <f t="shared" ref="E50" si="26">SUM(E48:E49)</f>
        <v>38216537</v>
      </c>
      <c r="F50" s="210">
        <f t="shared" si="0"/>
        <v>0.10456685548139355</v>
      </c>
      <c r="G50" s="350">
        <f t="shared" ref="G50" si="27">SUM(G48:G49)</f>
        <v>374436971</v>
      </c>
      <c r="H50" s="137">
        <f t="shared" ref="H50" si="28">SUM(H48:H49)</f>
        <v>41338111</v>
      </c>
      <c r="I50" s="210">
        <f t="shared" si="1"/>
        <v>0.11040071948450839</v>
      </c>
      <c r="J50" s="133">
        <f t="shared" ref="J50" si="29">SUM(J48:J49)</f>
        <v>373303367</v>
      </c>
      <c r="K50" s="137" t="e">
        <f t="shared" ref="K50" si="30">SUM(K48:K49)</f>
        <v>#REF!</v>
      </c>
      <c r="L50" s="142" t="e">
        <f t="shared" si="2"/>
        <v>#REF!</v>
      </c>
      <c r="M50" s="10"/>
      <c r="N50" s="137">
        <f t="shared" ref="N50" si="31">SUM(N48:N49)</f>
        <v>39407306.771390006</v>
      </c>
      <c r="O50" s="357"/>
      <c r="P50" s="137">
        <f t="shared" ref="P50:Q50" si="32">SUM(P48:P49)</f>
        <v>40126378.918830007</v>
      </c>
      <c r="Q50" s="149">
        <f t="shared" si="32"/>
        <v>719072.14744000137</v>
      </c>
      <c r="R50" s="358">
        <v>-3006642.1906350204</v>
      </c>
      <c r="S50" s="145"/>
      <c r="T50" s="315"/>
      <c r="U50" s="314"/>
      <c r="V50" s="145"/>
      <c r="W50" s="31"/>
      <c r="X50" s="32"/>
      <c r="Y50" s="32"/>
      <c r="Z50" s="32"/>
      <c r="AA50" s="32"/>
      <c r="AB50" s="32"/>
      <c r="AC50" s="32"/>
      <c r="AD50" s="32"/>
      <c r="AE50" s="32"/>
      <c r="AF50" s="32"/>
    </row>
    <row r="51" spans="2:32" x14ac:dyDescent="0.2">
      <c r="B51" s="13" t="s">
        <v>172</v>
      </c>
      <c r="C51" s="99">
        <v>166434449</v>
      </c>
      <c r="D51" s="99">
        <f>+G48</f>
        <v>171396889</v>
      </c>
      <c r="E51" s="215">
        <f>+H48</f>
        <v>18982810</v>
      </c>
      <c r="F51" s="210">
        <f t="shared" si="0"/>
        <v>0.11075352715415972</v>
      </c>
      <c r="G51" s="62">
        <f>17714904+166859850</f>
        <v>184574754</v>
      </c>
      <c r="H51" s="16">
        <f>2063786+17868359</f>
        <v>19932145</v>
      </c>
      <c r="I51" s="210">
        <f t="shared" si="1"/>
        <v>0.1079895520272507</v>
      </c>
      <c r="J51" s="50">
        <f>+C51+-D51+G51</f>
        <v>179612314</v>
      </c>
      <c r="K51" s="16" t="e">
        <f>+#REF!-E51+H51</f>
        <v>#REF!</v>
      </c>
      <c r="L51" s="142" t="e">
        <f t="shared" si="2"/>
        <v>#REF!</v>
      </c>
      <c r="M51" s="276">
        <f>+Z41</f>
        <v>9.5449999999999993E-2</v>
      </c>
      <c r="N51" s="16">
        <f>J51*M51</f>
        <v>17143995.371299997</v>
      </c>
      <c r="O51" s="143">
        <f>+M51</f>
        <v>9.5449999999999993E-2</v>
      </c>
      <c r="P51" s="18">
        <f>J51*O51</f>
        <v>17143995.371299997</v>
      </c>
      <c r="Q51" s="359">
        <f>+P51-N51</f>
        <v>0</v>
      </c>
      <c r="R51" s="358"/>
      <c r="S51" s="145"/>
      <c r="T51" s="312"/>
      <c r="U51" s="279"/>
      <c r="V51" s="145"/>
      <c r="W51" s="31"/>
      <c r="X51" s="32"/>
      <c r="Y51" s="32"/>
      <c r="Z51" s="32"/>
      <c r="AA51" s="32"/>
      <c r="AB51" s="32"/>
      <c r="AC51" s="32"/>
      <c r="AD51" s="32"/>
      <c r="AE51" s="32"/>
      <c r="AF51" s="32"/>
    </row>
    <row r="52" spans="2:32" x14ac:dyDescent="0.2">
      <c r="B52" s="13" t="s">
        <v>173</v>
      </c>
      <c r="C52" s="99">
        <f>374991706-C51</f>
        <v>208557257</v>
      </c>
      <c r="D52" s="99">
        <f>+G49</f>
        <v>203040082</v>
      </c>
      <c r="E52" s="215">
        <f>+H49</f>
        <v>22355301</v>
      </c>
      <c r="F52" s="210">
        <f t="shared" si="0"/>
        <v>0.11010289584102906</v>
      </c>
      <c r="G52" s="62">
        <f>42027372+349619994-G51</f>
        <v>207072612</v>
      </c>
      <c r="H52" s="16">
        <f>42421552-H51</f>
        <v>22489407</v>
      </c>
      <c r="I52" s="210">
        <f t="shared" si="1"/>
        <v>0.10860638103121044</v>
      </c>
      <c r="J52" s="50">
        <f>+C52+-D52+G52</f>
        <v>212589787</v>
      </c>
      <c r="K52" s="16" t="e">
        <f>+#REF!-E52+H52</f>
        <v>#REF!</v>
      </c>
      <c r="L52" s="142" t="e">
        <f t="shared" si="2"/>
        <v>#REF!</v>
      </c>
      <c r="M52" s="276">
        <f>+X41</f>
        <v>0.11650000000000001</v>
      </c>
      <c r="N52" s="16">
        <f>J52*M52</f>
        <v>24766710.1855</v>
      </c>
      <c r="O52" s="143">
        <f>+O51</f>
        <v>9.5449999999999993E-2</v>
      </c>
      <c r="P52" s="18">
        <f>J52*O52</f>
        <v>20291695.169149999</v>
      </c>
      <c r="Q52" s="359">
        <f>+P52-N52</f>
        <v>-4475015.0163500011</v>
      </c>
      <c r="R52" s="358"/>
      <c r="S52" s="145"/>
      <c r="T52" s="312"/>
      <c r="U52" s="279"/>
      <c r="V52" s="145"/>
      <c r="W52" s="31"/>
      <c r="X52" s="32"/>
      <c r="Y52" s="32"/>
      <c r="Z52" s="32"/>
      <c r="AA52" s="32"/>
      <c r="AB52" s="32"/>
      <c r="AC52" s="32"/>
      <c r="AD52" s="32"/>
      <c r="AE52" s="32"/>
      <c r="AF52" s="32"/>
    </row>
    <row r="53" spans="2:32" ht="15" x14ac:dyDescent="0.25">
      <c r="B53" s="132" t="s">
        <v>174</v>
      </c>
      <c r="C53" s="350">
        <f>SUM(C51:C52)</f>
        <v>374991706</v>
      </c>
      <c r="D53" s="350">
        <f t="shared" ref="D53" si="33">SUM(D51:D52)</f>
        <v>374436971</v>
      </c>
      <c r="E53" s="137">
        <f t="shared" ref="E53" si="34">SUM(E51:E52)</f>
        <v>41338111</v>
      </c>
      <c r="F53" s="210">
        <f t="shared" si="0"/>
        <v>0.11040071948450839</v>
      </c>
      <c r="G53" s="350">
        <f t="shared" ref="G53" si="35">SUM(G51:G52)</f>
        <v>391647366</v>
      </c>
      <c r="H53" s="137">
        <f t="shared" ref="H53" si="36">SUM(H51:H52)</f>
        <v>42421552</v>
      </c>
      <c r="I53" s="210">
        <f t="shared" si="1"/>
        <v>0.10831568314441313</v>
      </c>
      <c r="J53" s="133">
        <f t="shared" ref="J53" si="37">SUM(J51:J52)</f>
        <v>392202101</v>
      </c>
      <c r="K53" s="137" t="e">
        <f t="shared" ref="K53" si="38">SUM(K51:K52)</f>
        <v>#REF!</v>
      </c>
      <c r="L53" s="142" t="e">
        <f t="shared" si="2"/>
        <v>#REF!</v>
      </c>
      <c r="M53" s="10"/>
      <c r="N53" s="137">
        <f t="shared" ref="N53" si="39">SUM(N51:N52)</f>
        <v>41910705.556799993</v>
      </c>
      <c r="O53" s="357"/>
      <c r="P53" s="137">
        <f t="shared" ref="P53:Q53" si="40">SUM(P51:P52)</f>
        <v>37435690.540449992</v>
      </c>
      <c r="Q53" s="149">
        <f t="shared" si="40"/>
        <v>-4475015.0163500011</v>
      </c>
      <c r="R53" s="358">
        <v>-7673822.93957505</v>
      </c>
      <c r="S53" s="145"/>
      <c r="T53" s="315"/>
      <c r="U53" s="314"/>
      <c r="V53" s="145"/>
      <c r="W53" s="31"/>
      <c r="X53" s="32"/>
      <c r="Y53" s="32"/>
      <c r="Z53" s="32"/>
      <c r="AA53" s="32"/>
      <c r="AB53" s="32"/>
      <c r="AC53" s="32"/>
      <c r="AD53" s="32"/>
      <c r="AE53" s="32"/>
      <c r="AF53" s="32"/>
    </row>
    <row r="54" spans="2:32" x14ac:dyDescent="0.2">
      <c r="B54" s="13" t="s">
        <v>175</v>
      </c>
      <c r="C54" s="99">
        <v>167639867</v>
      </c>
      <c r="D54" s="99">
        <f>+G51</f>
        <v>184574754</v>
      </c>
      <c r="E54" s="215">
        <f>+H51</f>
        <v>19932145</v>
      </c>
      <c r="F54" s="210">
        <f t="shared" si="0"/>
        <v>0.1079895520272507</v>
      </c>
      <c r="G54" s="100">
        <v>189360483</v>
      </c>
      <c r="H54" s="351">
        <v>18202828</v>
      </c>
      <c r="I54" s="210">
        <f t="shared" si="1"/>
        <v>9.6127912812727673E-2</v>
      </c>
      <c r="J54" s="50">
        <f>+C54+-D54+G54</f>
        <v>172425596</v>
      </c>
      <c r="K54" s="16" t="e">
        <f>+#REF!-E54+H54</f>
        <v>#REF!</v>
      </c>
      <c r="L54" s="142" t="e">
        <f t="shared" si="2"/>
        <v>#REF!</v>
      </c>
      <c r="M54" s="276">
        <f>+Z42</f>
        <v>8.3059999999999995E-2</v>
      </c>
      <c r="N54" s="16">
        <f>J54*M54</f>
        <v>14321670.003759999</v>
      </c>
      <c r="O54" s="143">
        <f>+M54</f>
        <v>8.3059999999999995E-2</v>
      </c>
      <c r="P54" s="18">
        <f>J54*O54</f>
        <v>14321670.003759999</v>
      </c>
      <c r="Q54" s="359">
        <f>+P54-N54</f>
        <v>0</v>
      </c>
      <c r="R54" s="358"/>
      <c r="S54" s="145"/>
      <c r="T54" s="312"/>
      <c r="U54" s="279"/>
      <c r="V54" s="145"/>
      <c r="W54" s="31"/>
      <c r="X54" s="32"/>
      <c r="Y54" s="32"/>
      <c r="Z54" s="32"/>
      <c r="AA54" s="32"/>
      <c r="AB54" s="32"/>
      <c r="AC54" s="32"/>
      <c r="AD54" s="32"/>
      <c r="AE54" s="32"/>
      <c r="AF54" s="32"/>
    </row>
    <row r="55" spans="2:32" x14ac:dyDescent="0.2">
      <c r="B55" s="13" t="s">
        <v>176</v>
      </c>
      <c r="C55" s="99">
        <f>339456873-C54</f>
        <v>171817006</v>
      </c>
      <c r="D55" s="99">
        <f>+G52</f>
        <v>207072612</v>
      </c>
      <c r="E55" s="215">
        <f>+H52</f>
        <v>22489407</v>
      </c>
      <c r="F55" s="210">
        <f t="shared" si="0"/>
        <v>0.10860638103121044</v>
      </c>
      <c r="G55" s="100">
        <f>8877139+416785184-G54</f>
        <v>236301840</v>
      </c>
      <c r="H55" s="351">
        <f>43813928-H54</f>
        <v>25611100</v>
      </c>
      <c r="I55" s="210">
        <f t="shared" si="1"/>
        <v>0.10838299016207406</v>
      </c>
      <c r="J55" s="50">
        <f>+C55+-D55+G55</f>
        <v>201046234</v>
      </c>
      <c r="K55" s="16" t="e">
        <f>+#REF!-E55+H55</f>
        <v>#REF!</v>
      </c>
      <c r="L55" s="142" t="e">
        <f t="shared" si="2"/>
        <v>#REF!</v>
      </c>
      <c r="M55" s="276">
        <f>+X42</f>
        <v>7.6670000000000002E-2</v>
      </c>
      <c r="N55" s="16">
        <f>J55*M55</f>
        <v>15414214.760780001</v>
      </c>
      <c r="O55" s="143">
        <f>+O54</f>
        <v>8.3059999999999995E-2</v>
      </c>
      <c r="P55" s="18">
        <f>J55*O55</f>
        <v>16698900.196039999</v>
      </c>
      <c r="Q55" s="359">
        <f>+P55-N55</f>
        <v>1284685.4352599978</v>
      </c>
      <c r="R55" s="358"/>
      <c r="S55" s="145"/>
      <c r="T55" s="312"/>
      <c r="U55" s="279"/>
      <c r="V55" s="145"/>
      <c r="W55" s="31"/>
      <c r="X55" s="32"/>
      <c r="Y55" s="32"/>
      <c r="Z55" s="32"/>
      <c r="AA55" s="32"/>
      <c r="AB55" s="32"/>
      <c r="AC55" s="32"/>
      <c r="AD55" s="32"/>
      <c r="AE55" s="32"/>
      <c r="AF55" s="32"/>
    </row>
    <row r="56" spans="2:32" ht="15" x14ac:dyDescent="0.25">
      <c r="B56" s="132" t="s">
        <v>177</v>
      </c>
      <c r="C56" s="350">
        <f>SUM(C54:C55)</f>
        <v>339456873</v>
      </c>
      <c r="D56" s="350">
        <f t="shared" ref="D56" si="41">SUM(D54:D55)</f>
        <v>391647366</v>
      </c>
      <c r="E56" s="137">
        <f t="shared" ref="E56" si="42">SUM(E54:E55)</f>
        <v>42421552</v>
      </c>
      <c r="F56" s="210">
        <f t="shared" si="0"/>
        <v>0.10831568314441313</v>
      </c>
      <c r="G56" s="350">
        <f t="shared" ref="G56" si="43">SUM(G54:G55)</f>
        <v>425662323</v>
      </c>
      <c r="H56" s="137">
        <f t="shared" ref="H56" si="44">SUM(H54:H55)</f>
        <v>43813928</v>
      </c>
      <c r="I56" s="210">
        <f t="shared" si="1"/>
        <v>0.10293118660633725</v>
      </c>
      <c r="J56" s="133">
        <f t="shared" ref="J56" si="45">SUM(J54:J55)</f>
        <v>373471830</v>
      </c>
      <c r="K56" s="137" t="e">
        <f t="shared" ref="K56" si="46">SUM(K54:K55)</f>
        <v>#REF!</v>
      </c>
      <c r="L56" s="142" t="e">
        <f t="shared" si="2"/>
        <v>#REF!</v>
      </c>
      <c r="M56" s="19"/>
      <c r="N56" s="137">
        <f t="shared" ref="N56" si="47">SUM(N54:N55)</f>
        <v>29735884.764540002</v>
      </c>
      <c r="O56" s="360"/>
      <c r="P56" s="137">
        <f t="shared" ref="P56:Q56" si="48">SUM(P54:P55)</f>
        <v>31020570.1998</v>
      </c>
      <c r="Q56" s="149">
        <f t="shared" si="48"/>
        <v>1284685.4352599978</v>
      </c>
      <c r="R56" s="358">
        <v>-3743071.213300311</v>
      </c>
      <c r="S56" s="145"/>
      <c r="T56" s="315"/>
      <c r="U56" s="314"/>
      <c r="V56" s="145"/>
      <c r="W56" s="31"/>
      <c r="X56" s="31"/>
      <c r="Y56" s="31"/>
      <c r="Z56" s="31"/>
      <c r="AA56" s="31"/>
      <c r="AB56" s="31"/>
      <c r="AC56" s="31"/>
      <c r="AD56" s="31"/>
      <c r="AE56" s="31"/>
      <c r="AF56" s="31"/>
    </row>
    <row r="57" spans="2:32" x14ac:dyDescent="0.2">
      <c r="B57" s="13" t="s">
        <v>178</v>
      </c>
      <c r="C57" s="62">
        <v>171160211</v>
      </c>
      <c r="D57" s="99">
        <f>+G54</f>
        <v>189360483</v>
      </c>
      <c r="E57" s="215">
        <f>+H54</f>
        <v>18202828</v>
      </c>
      <c r="F57" s="210">
        <f t="shared" si="0"/>
        <v>9.6127912812727673E-2</v>
      </c>
      <c r="G57" s="100">
        <f>16123586+185999510</f>
        <v>202123096</v>
      </c>
      <c r="H57" s="351">
        <f>1381630+15718699</f>
        <v>17100329</v>
      </c>
      <c r="I57" s="210">
        <f t="shared" si="1"/>
        <v>8.4603537836170889E-2</v>
      </c>
      <c r="J57" s="50">
        <f>+C57+-D57+G57</f>
        <v>183922824</v>
      </c>
      <c r="K57" s="16" t="e">
        <f>+#REF!-E57+H57</f>
        <v>#REF!</v>
      </c>
      <c r="L57" s="142" t="e">
        <f t="shared" si="2"/>
        <v>#REF!</v>
      </c>
      <c r="M57" s="276">
        <f>+Z43</f>
        <v>7.1029999999999996E-2</v>
      </c>
      <c r="N57" s="16">
        <f>J57*M57</f>
        <v>13064038.188719999</v>
      </c>
      <c r="O57" s="143">
        <f>+M57</f>
        <v>7.1029999999999996E-2</v>
      </c>
      <c r="P57" s="18">
        <f>J57*O57</f>
        <v>13064038.188719999</v>
      </c>
      <c r="Q57" s="359">
        <f>+P57-N57</f>
        <v>0</v>
      </c>
      <c r="R57" s="358"/>
      <c r="S57" s="145"/>
      <c r="T57" s="312"/>
      <c r="U57" s="279"/>
      <c r="V57" s="145"/>
      <c r="X57" s="31"/>
      <c r="Y57" s="31"/>
      <c r="Z57" s="31"/>
      <c r="AA57" s="31"/>
      <c r="AB57" s="31"/>
      <c r="AC57" s="31"/>
      <c r="AD57" s="31"/>
      <c r="AE57" s="31"/>
      <c r="AF57" s="31"/>
    </row>
    <row r="58" spans="2:32" x14ac:dyDescent="0.2">
      <c r="B58" s="13" t="s">
        <v>179</v>
      </c>
      <c r="C58" s="62">
        <f>411335821-C57</f>
        <v>240175610</v>
      </c>
      <c r="D58" s="99">
        <f>+G55</f>
        <v>236301840</v>
      </c>
      <c r="E58" s="215">
        <f>+H55</f>
        <v>25611100</v>
      </c>
      <c r="F58" s="210">
        <f t="shared" si="0"/>
        <v>0.10838299016207406</v>
      </c>
      <c r="G58" s="100">
        <f>38252081+411459507-G57</f>
        <v>247588492</v>
      </c>
      <c r="H58" s="351">
        <f>39221200-H57</f>
        <v>22120871</v>
      </c>
      <c r="I58" s="210">
        <f t="shared" si="1"/>
        <v>8.9345311736055977E-2</v>
      </c>
      <c r="J58" s="50">
        <f>+C58+-D58+G58</f>
        <v>251462262</v>
      </c>
      <c r="K58" s="16" t="e">
        <f>+#REF!-E58+H58</f>
        <v>#REF!</v>
      </c>
      <c r="L58" s="142" t="e">
        <f t="shared" si="2"/>
        <v>#REF!</v>
      </c>
      <c r="M58" s="276">
        <f>+X43</f>
        <v>8.5690000000000002E-2</v>
      </c>
      <c r="N58" s="16">
        <f>J58*M58</f>
        <v>21547801.230780002</v>
      </c>
      <c r="O58" s="143">
        <f>+O57</f>
        <v>7.1029999999999996E-2</v>
      </c>
      <c r="P58" s="18">
        <f>J58*O58</f>
        <v>17861364.469859999</v>
      </c>
      <c r="Q58" s="359">
        <f>+P58-N58</f>
        <v>-3686436.7609200031</v>
      </c>
      <c r="R58" s="358"/>
      <c r="S58" s="145"/>
      <c r="T58" s="312"/>
      <c r="U58" s="279"/>
      <c r="V58" s="145"/>
      <c r="X58" s="31"/>
      <c r="Y58" s="31"/>
      <c r="Z58" s="31"/>
      <c r="AA58" s="31"/>
      <c r="AB58" s="31"/>
      <c r="AC58" s="31"/>
      <c r="AD58" s="31"/>
      <c r="AE58" s="31"/>
      <c r="AF58" s="31"/>
    </row>
    <row r="59" spans="2:32" ht="15" x14ac:dyDescent="0.25">
      <c r="B59" s="132" t="s">
        <v>180</v>
      </c>
      <c r="C59" s="350">
        <f>SUM(C57:C58)</f>
        <v>411335821</v>
      </c>
      <c r="D59" s="350">
        <f t="shared" ref="D59" si="49">SUM(D57:D58)</f>
        <v>425662323</v>
      </c>
      <c r="E59" s="137">
        <f t="shared" ref="E59" si="50">SUM(E57:E58)</f>
        <v>43813928</v>
      </c>
      <c r="F59" s="210">
        <f t="shared" si="0"/>
        <v>0.10293118660633725</v>
      </c>
      <c r="G59" s="350">
        <f t="shared" ref="G59" si="51">SUM(G57:G58)</f>
        <v>449711588</v>
      </c>
      <c r="H59" s="137">
        <f t="shared" ref="H59" si="52">SUM(H57:H58)</f>
        <v>39221200</v>
      </c>
      <c r="I59" s="210">
        <f t="shared" si="1"/>
        <v>8.7214119107822508E-2</v>
      </c>
      <c r="J59" s="133">
        <f t="shared" ref="J59" si="53">SUM(J57:J58)</f>
        <v>435385086</v>
      </c>
      <c r="K59" s="137" t="e">
        <f t="shared" ref="K59" si="54">SUM(K57:K58)</f>
        <v>#REF!</v>
      </c>
      <c r="L59" s="142" t="e">
        <f t="shared" si="2"/>
        <v>#REF!</v>
      </c>
      <c r="M59" s="19"/>
      <c r="N59" s="137">
        <f t="shared" ref="N59" si="55">SUM(N57:N58)</f>
        <v>34611839.419500001</v>
      </c>
      <c r="O59" s="360"/>
      <c r="P59" s="137">
        <f t="shared" ref="P59:Q59" si="56">SUM(P57:P58)</f>
        <v>30925402.658579998</v>
      </c>
      <c r="Q59" s="149">
        <f t="shared" si="56"/>
        <v>-3686436.7609200031</v>
      </c>
      <c r="R59" s="358">
        <v>152843.24823814072</v>
      </c>
      <c r="S59" s="145"/>
      <c r="T59" s="315"/>
      <c r="U59" s="314"/>
      <c r="V59" s="145"/>
      <c r="W59" s="83"/>
      <c r="X59" s="83"/>
      <c r="Y59" s="83"/>
      <c r="Z59" s="83"/>
    </row>
    <row r="60" spans="2:32" x14ac:dyDescent="0.2">
      <c r="B60" s="13" t="s">
        <v>181</v>
      </c>
      <c r="C60" s="62">
        <v>182191497</v>
      </c>
      <c r="D60" s="99">
        <f>+G57</f>
        <v>202123096</v>
      </c>
      <c r="E60" s="215">
        <f>+H57</f>
        <v>17100329</v>
      </c>
      <c r="F60" s="210">
        <f t="shared" si="0"/>
        <v>8.4603537836170889E-2</v>
      </c>
      <c r="G60" s="100">
        <f>-19157879+186928754</f>
        <v>167770875</v>
      </c>
      <c r="H60" s="351">
        <f>-1352546+14255827</f>
        <v>12903281</v>
      </c>
      <c r="I60" s="210">
        <f t="shared" si="1"/>
        <v>7.6910137114084912E-2</v>
      </c>
      <c r="J60" s="50">
        <f>+C60+-D60+G60</f>
        <v>147839276</v>
      </c>
      <c r="K60" s="16" t="e">
        <f>+#REF!-E60+H60</f>
        <v>#REF!</v>
      </c>
      <c r="L60" s="142" t="e">
        <f t="shared" si="2"/>
        <v>#REF!</v>
      </c>
      <c r="M60" s="276">
        <f>+Z44</f>
        <v>9.5310000000000006E-2</v>
      </c>
      <c r="N60" s="16">
        <f>J60*M60</f>
        <v>14090561.39556</v>
      </c>
      <c r="O60" s="143">
        <f>+M60</f>
        <v>9.5310000000000006E-2</v>
      </c>
      <c r="P60" s="18">
        <f>J60*O60</f>
        <v>14090561.39556</v>
      </c>
      <c r="Q60" s="359">
        <f>+P60-N60</f>
        <v>0</v>
      </c>
      <c r="R60" s="358"/>
      <c r="S60" s="145"/>
      <c r="T60" s="312"/>
      <c r="U60" s="279"/>
      <c r="V60" s="145"/>
      <c r="W60" s="83"/>
      <c r="X60" s="83"/>
      <c r="Y60" s="83"/>
      <c r="Z60" s="83"/>
    </row>
    <row r="61" spans="2:32" x14ac:dyDescent="0.2">
      <c r="B61" s="13" t="s">
        <v>182</v>
      </c>
      <c r="C61" s="62">
        <f>411710597-C60</f>
        <v>229519100</v>
      </c>
      <c r="D61" s="99">
        <f>+G58</f>
        <v>247588492</v>
      </c>
      <c r="E61" s="215">
        <f>+H58</f>
        <v>22120871</v>
      </c>
      <c r="F61" s="210">
        <f t="shared" si="0"/>
        <v>8.9345311736055977E-2</v>
      </c>
      <c r="G61" s="100">
        <f>-45450729+405385500-G60</f>
        <v>192163896</v>
      </c>
      <c r="H61" s="351">
        <f>30154021-H60</f>
        <v>17250740</v>
      </c>
      <c r="I61" s="210">
        <f t="shared" si="1"/>
        <v>8.9770973419481467E-2</v>
      </c>
      <c r="J61" s="50">
        <f>+C61+-D61+G61</f>
        <v>174094504</v>
      </c>
      <c r="K61" s="16" t="e">
        <f>+#REF!-E61+H61</f>
        <v>#REF!</v>
      </c>
      <c r="L61" s="142" t="e">
        <f t="shared" si="2"/>
        <v>#REF!</v>
      </c>
      <c r="M61" s="276">
        <f>+X44</f>
        <v>7.0599999999999996E-2</v>
      </c>
      <c r="N61" s="16">
        <f>J61*M61</f>
        <v>12291071.9824</v>
      </c>
      <c r="O61" s="143">
        <f>+O60</f>
        <v>9.5310000000000006E-2</v>
      </c>
      <c r="P61" s="18">
        <f>J61*O61</f>
        <v>16592947.176240001</v>
      </c>
      <c r="Q61" s="359">
        <f>+P61-N61</f>
        <v>4301875.1938400008</v>
      </c>
      <c r="R61" s="358"/>
      <c r="S61" s="145"/>
      <c r="T61" s="312"/>
      <c r="U61" s="279"/>
      <c r="V61" s="145"/>
      <c r="W61" s="83"/>
      <c r="X61" s="83"/>
      <c r="Y61" s="83"/>
      <c r="Z61" s="83"/>
    </row>
    <row r="62" spans="2:32" ht="15" x14ac:dyDescent="0.25">
      <c r="B62" s="132" t="s">
        <v>183</v>
      </c>
      <c r="C62" s="350">
        <f>SUM(C60:C61)</f>
        <v>411710597</v>
      </c>
      <c r="D62" s="350">
        <f t="shared" ref="D62" si="57">SUM(D60:D61)</f>
        <v>449711588</v>
      </c>
      <c r="E62" s="137">
        <f t="shared" ref="E62" si="58">SUM(E60:E61)</f>
        <v>39221200</v>
      </c>
      <c r="F62" s="210">
        <f t="shared" si="0"/>
        <v>8.7214119107822508E-2</v>
      </c>
      <c r="G62" s="350">
        <f t="shared" ref="G62" si="59">SUM(G60:G61)</f>
        <v>359934771</v>
      </c>
      <c r="H62" s="137">
        <f t="shared" ref="H62" si="60">SUM(H60:H61)</f>
        <v>30154021</v>
      </c>
      <c r="I62" s="210">
        <f t="shared" si="1"/>
        <v>8.3776349020750762E-2</v>
      </c>
      <c r="J62" s="133">
        <f t="shared" ref="J62" si="61">SUM(J60:J61)</f>
        <v>321933780</v>
      </c>
      <c r="K62" s="137" t="e">
        <f t="shared" ref="K62" si="62">SUM(K60:K61)</f>
        <v>#REF!</v>
      </c>
      <c r="L62" s="142" t="e">
        <f t="shared" si="2"/>
        <v>#REF!</v>
      </c>
      <c r="M62" s="19"/>
      <c r="N62" s="137">
        <f t="shared" ref="N62" si="63">SUM(N60:N61)</f>
        <v>26381633.37796</v>
      </c>
      <c r="O62" s="360"/>
      <c r="P62" s="137">
        <f t="shared" ref="P62:Q62" si="64">SUM(P60:P61)</f>
        <v>30683508.571800001</v>
      </c>
      <c r="Q62" s="149">
        <f t="shared" si="64"/>
        <v>4301875.1938400008</v>
      </c>
      <c r="R62" s="358">
        <v>6681804.9640937503</v>
      </c>
      <c r="S62" s="145"/>
      <c r="T62" s="315"/>
      <c r="U62" s="314"/>
      <c r="V62" s="145"/>
      <c r="W62" s="83"/>
      <c r="X62" s="83"/>
      <c r="Y62" s="83"/>
      <c r="Z62" s="83"/>
    </row>
    <row r="63" spans="2:32" x14ac:dyDescent="0.2">
      <c r="B63" s="13" t="s">
        <v>184</v>
      </c>
      <c r="C63" s="62">
        <v>164631019</v>
      </c>
      <c r="D63" s="99">
        <f>+G60</f>
        <v>167770875</v>
      </c>
      <c r="E63" s="215">
        <f>+H60</f>
        <v>12903281</v>
      </c>
      <c r="F63" s="210">
        <f t="shared" si="0"/>
        <v>7.6910137114084912E-2</v>
      </c>
      <c r="G63" s="100">
        <f>-32323688+193382040</f>
        <v>161058352</v>
      </c>
      <c r="H63" s="351">
        <f>-2560036+18497536</f>
        <v>15937500</v>
      </c>
      <c r="I63" s="210">
        <f t="shared" si="1"/>
        <v>9.8954818561660191E-2</v>
      </c>
      <c r="J63" s="50">
        <f>+C63+-D63+G63</f>
        <v>157918496</v>
      </c>
      <c r="K63" s="16" t="e">
        <f>+#REF!-E63+H63</f>
        <v>#REF!</v>
      </c>
      <c r="L63" s="142" t="e">
        <f t="shared" si="2"/>
        <v>#REF!</v>
      </c>
      <c r="M63" s="276">
        <f>+Z45</f>
        <v>0.11226</v>
      </c>
      <c r="N63" s="16">
        <f>J63*M63</f>
        <v>17727930.360959999</v>
      </c>
      <c r="O63" s="143">
        <f>+M63</f>
        <v>0.11226</v>
      </c>
      <c r="P63" s="18">
        <f>J63*O63</f>
        <v>17727930.360959999</v>
      </c>
      <c r="Q63" s="359">
        <f>+P63-N63</f>
        <v>0</v>
      </c>
      <c r="R63" s="358"/>
      <c r="S63" s="145"/>
      <c r="T63" s="312"/>
      <c r="U63" s="279"/>
      <c r="V63" s="145"/>
      <c r="W63" s="83"/>
      <c r="X63" s="83"/>
      <c r="Y63" s="83"/>
      <c r="Z63" s="83"/>
    </row>
    <row r="64" spans="2:32" x14ac:dyDescent="0.2">
      <c r="B64" s="13" t="s">
        <v>185</v>
      </c>
      <c r="C64" s="62">
        <f>372048320-C63</f>
        <v>207417301</v>
      </c>
      <c r="D64" s="99">
        <f>+G61</f>
        <v>192163896</v>
      </c>
      <c r="E64" s="215">
        <f>+H61</f>
        <v>17250740</v>
      </c>
      <c r="F64" s="210">
        <f t="shared" si="0"/>
        <v>8.9770973419481467E-2</v>
      </c>
      <c r="G64" s="100">
        <f>+-76685691+412143014-G63</f>
        <v>174398971</v>
      </c>
      <c r="H64" s="351">
        <f>29724889-H63</f>
        <v>13787389</v>
      </c>
      <c r="I64" s="210">
        <f t="shared" si="1"/>
        <v>7.9056596039204841E-2</v>
      </c>
      <c r="J64" s="50">
        <f>+C64+-D64+G64</f>
        <v>189652376</v>
      </c>
      <c r="K64" s="16" t="e">
        <f>+#REF!-E64+H64</f>
        <v>#REF!</v>
      </c>
      <c r="L64" s="142" t="e">
        <f t="shared" si="2"/>
        <v>#REF!</v>
      </c>
      <c r="M64" s="276">
        <f>+X45</f>
        <v>9.7199999999999995E-2</v>
      </c>
      <c r="N64" s="16">
        <f>J64*M64</f>
        <v>18434210.9472</v>
      </c>
      <c r="O64" s="143">
        <f>+O63</f>
        <v>0.11226</v>
      </c>
      <c r="P64" s="18">
        <f>J64*O64</f>
        <v>21290375.729759999</v>
      </c>
      <c r="Q64" s="359">
        <f>+P64-N64</f>
        <v>2856164.7825599983</v>
      </c>
      <c r="R64" s="358"/>
      <c r="S64" s="145"/>
      <c r="T64" s="312"/>
      <c r="U64" s="279"/>
      <c r="V64" s="145"/>
      <c r="W64" s="83"/>
      <c r="X64" s="83"/>
      <c r="Y64" s="83"/>
      <c r="Z64" s="83"/>
    </row>
    <row r="65" spans="1:33" ht="15" x14ac:dyDescent="0.25">
      <c r="B65" s="132" t="s">
        <v>186</v>
      </c>
      <c r="C65" s="350">
        <f>SUM(C63:C64)</f>
        <v>372048320</v>
      </c>
      <c r="D65" s="350">
        <f t="shared" ref="D65" si="65">SUM(D63:D64)</f>
        <v>359934771</v>
      </c>
      <c r="E65" s="137">
        <f t="shared" ref="E65" si="66">SUM(E63:E64)</f>
        <v>30154021</v>
      </c>
      <c r="F65" s="210">
        <f t="shared" si="0"/>
        <v>8.3776349020750762E-2</v>
      </c>
      <c r="G65" s="350">
        <f t="shared" ref="G65:H65" si="67">SUM(G63:G64)</f>
        <v>335457323</v>
      </c>
      <c r="H65" s="137">
        <f t="shared" si="67"/>
        <v>29724889</v>
      </c>
      <c r="I65" s="210">
        <f t="shared" si="1"/>
        <v>8.8610046530419609E-2</v>
      </c>
      <c r="J65" s="133">
        <f t="shared" ref="J65" si="68">SUM(J63:J64)</f>
        <v>347570872</v>
      </c>
      <c r="K65" s="137" t="e">
        <f t="shared" ref="K65" si="69">SUM(K63:K64)</f>
        <v>#REF!</v>
      </c>
      <c r="L65" s="142" t="e">
        <f t="shared" si="2"/>
        <v>#REF!</v>
      </c>
      <c r="M65" s="19"/>
      <c r="N65" s="137">
        <f t="shared" ref="N65" si="70">SUM(N63:N64)</f>
        <v>36162141.30816</v>
      </c>
      <c r="O65" s="360"/>
      <c r="P65" s="137">
        <f t="shared" ref="P65:Q65" si="71">SUM(P63:P64)</f>
        <v>39018306.090719998</v>
      </c>
      <c r="Q65" s="149">
        <f t="shared" si="71"/>
        <v>2856164.7825599983</v>
      </c>
      <c r="R65" s="358">
        <v>10779435.17441868</v>
      </c>
      <c r="S65" s="222"/>
      <c r="T65" s="315"/>
      <c r="U65" s="314"/>
      <c r="V65" s="222"/>
      <c r="W65" s="223"/>
      <c r="X65" s="83"/>
      <c r="Y65" s="83"/>
      <c r="Z65" s="83"/>
    </row>
    <row r="66" spans="1:33" x14ac:dyDescent="0.2">
      <c r="B66" s="13" t="s">
        <v>187</v>
      </c>
      <c r="C66" s="62">
        <v>158264557</v>
      </c>
      <c r="D66" s="99">
        <f>+G63</f>
        <v>161058352</v>
      </c>
      <c r="E66" s="215">
        <f>+H63</f>
        <v>15937500</v>
      </c>
      <c r="F66" s="210">
        <f t="shared" si="0"/>
        <v>9.8954818561660191E-2</v>
      </c>
      <c r="G66" s="100">
        <f>-3863931+160726877</f>
        <v>156862946</v>
      </c>
      <c r="H66" s="215">
        <f>-474143+17933650</f>
        <v>17459507</v>
      </c>
      <c r="I66" s="210">
        <f t="shared" si="1"/>
        <v>0.11130421457212719</v>
      </c>
      <c r="J66" s="50">
        <f>+C66+-D66+G66</f>
        <v>154069151</v>
      </c>
      <c r="K66" s="16" t="e">
        <f>+#REF!-E66+H66</f>
        <v>#REF!</v>
      </c>
      <c r="L66" s="142" t="e">
        <f t="shared" si="2"/>
        <v>#REF!</v>
      </c>
      <c r="M66" s="276">
        <f>+Z46</f>
        <v>0.11108999999999999</v>
      </c>
      <c r="N66" s="16">
        <f>J66*M66</f>
        <v>17115541.984589998</v>
      </c>
      <c r="O66" s="143">
        <f>+M66</f>
        <v>0.11108999999999999</v>
      </c>
      <c r="P66" s="18">
        <f>J66*O66</f>
        <v>17115541.984589998</v>
      </c>
      <c r="Q66" s="359">
        <f>+P66-N66</f>
        <v>0</v>
      </c>
      <c r="R66" s="358"/>
      <c r="S66" s="145"/>
      <c r="T66" s="312"/>
      <c r="U66" s="279"/>
      <c r="V66" s="145"/>
    </row>
    <row r="67" spans="1:33" x14ac:dyDescent="0.2">
      <c r="B67" s="13" t="s">
        <v>188</v>
      </c>
      <c r="C67" s="62">
        <f>374608703-C66</f>
        <v>216344146</v>
      </c>
      <c r="D67" s="99">
        <f>+G64</f>
        <v>174398971</v>
      </c>
      <c r="E67" s="215">
        <f>+H64</f>
        <v>13787389</v>
      </c>
      <c r="F67" s="210">
        <f t="shared" si="0"/>
        <v>7.9056596039204841E-2</v>
      </c>
      <c r="G67" s="100">
        <f>+-9166906+341206569-G66</f>
        <v>175176717</v>
      </c>
      <c r="H67" s="351">
        <f>34224748-H66</f>
        <v>16765241</v>
      </c>
      <c r="I67" s="210">
        <f t="shared" si="1"/>
        <v>9.5704733409292059E-2</v>
      </c>
      <c r="J67" s="50">
        <f>+C67+-D67+G67</f>
        <v>217121892</v>
      </c>
      <c r="K67" s="16" t="e">
        <f>+#REF!-E67+H67</f>
        <v>#REF!</v>
      </c>
      <c r="L67" s="142" t="e">
        <f t="shared" si="2"/>
        <v>#REF!</v>
      </c>
      <c r="M67" s="276">
        <f>+X46</f>
        <v>0.12271</v>
      </c>
      <c r="N67" s="16">
        <f>J67*M67</f>
        <v>26643027.367320001</v>
      </c>
      <c r="O67" s="143">
        <f>+O66</f>
        <v>0.11108999999999999</v>
      </c>
      <c r="P67" s="18">
        <f>J67*O67</f>
        <v>24120070.982279997</v>
      </c>
      <c r="Q67" s="359">
        <f>+P67-N67</f>
        <v>-2522956.3850400038</v>
      </c>
      <c r="R67" s="358"/>
      <c r="S67" s="145"/>
      <c r="T67" s="312"/>
      <c r="U67" s="279"/>
      <c r="V67" s="145"/>
    </row>
    <row r="68" spans="1:33" ht="15" x14ac:dyDescent="0.25">
      <c r="B68" s="132" t="s">
        <v>189</v>
      </c>
      <c r="C68" s="350">
        <f>SUM(C66:C67)</f>
        <v>374608703</v>
      </c>
      <c r="D68" s="350">
        <f t="shared" ref="D68" si="72">SUM(D66:D67)</f>
        <v>335457323</v>
      </c>
      <c r="E68" s="137">
        <f t="shared" ref="E68" si="73">SUM(E66:E67)</f>
        <v>29724889</v>
      </c>
      <c r="F68" s="210">
        <f t="shared" si="0"/>
        <v>8.8610046530419609E-2</v>
      </c>
      <c r="G68" s="350">
        <f t="shared" ref="G68" si="74">SUM(G66:G67)</f>
        <v>332039663</v>
      </c>
      <c r="H68" s="137">
        <f t="shared" ref="H68" si="75">SUM(H66:H67)</f>
        <v>34224748</v>
      </c>
      <c r="I68" s="210">
        <f t="shared" si="1"/>
        <v>0.10307427640052749</v>
      </c>
      <c r="J68" s="133">
        <f t="shared" ref="J68" si="76">SUM(J66:J67)</f>
        <v>371191043</v>
      </c>
      <c r="K68" s="137" t="e">
        <f t="shared" ref="K68" si="77">SUM(K66:K67)</f>
        <v>#REF!</v>
      </c>
      <c r="L68" s="142" t="e">
        <f t="shared" si="2"/>
        <v>#REF!</v>
      </c>
      <c r="M68" s="19"/>
      <c r="N68" s="137">
        <f t="shared" ref="N68" si="78">SUM(N66:N67)</f>
        <v>43758569.351909995</v>
      </c>
      <c r="O68" s="360"/>
      <c r="P68" s="137">
        <f t="shared" ref="P68:Q68" si="79">SUM(P66:P67)</f>
        <v>41235612.966869995</v>
      </c>
      <c r="Q68" s="149">
        <f t="shared" si="79"/>
        <v>-2522956.3850400038</v>
      </c>
      <c r="R68" s="358">
        <v>-2967421.3124634596</v>
      </c>
      <c r="S68" s="145"/>
      <c r="T68" s="315"/>
      <c r="U68" s="314"/>
      <c r="V68" s="145"/>
    </row>
    <row r="69" spans="1:33" x14ac:dyDescent="0.2">
      <c r="B69" s="13" t="s">
        <v>190</v>
      </c>
      <c r="C69" s="101">
        <v>158944711</v>
      </c>
      <c r="D69" s="99">
        <f>+G66</f>
        <v>156862946</v>
      </c>
      <c r="E69" s="211">
        <f>17933650-474143</f>
        <v>17459507</v>
      </c>
      <c r="F69" s="212">
        <f>+E69/D69</f>
        <v>0.11130421457212719</v>
      </c>
      <c r="G69" s="100">
        <f>8442638+172421120</f>
        <v>180863758</v>
      </c>
      <c r="H69" s="351">
        <f>894413+19035529</f>
        <v>19929942</v>
      </c>
      <c r="I69" s="212">
        <f>+H69/G69</f>
        <v>0.11019312116692831</v>
      </c>
      <c r="J69" s="50">
        <f>+C69+-D69+G69</f>
        <v>182945523</v>
      </c>
      <c r="K69" s="16" t="e">
        <f>+#REF!-E69+H69</f>
        <v>#REF!</v>
      </c>
      <c r="L69" s="142" t="e">
        <f t="shared" si="2"/>
        <v>#REF!</v>
      </c>
      <c r="M69" s="278">
        <f>+Z47</f>
        <v>8.7080000000000005E-2</v>
      </c>
      <c r="N69" s="16">
        <f>J69*M69</f>
        <v>15930896.142840002</v>
      </c>
      <c r="O69" s="143">
        <f>+M69</f>
        <v>8.7080000000000005E-2</v>
      </c>
      <c r="P69" s="18">
        <f>J69*O69</f>
        <v>15930896.142840002</v>
      </c>
      <c r="Q69" s="359">
        <f>+P69-N69</f>
        <v>0</v>
      </c>
      <c r="R69" s="358"/>
      <c r="S69" s="145"/>
      <c r="T69" s="312"/>
      <c r="U69" s="279"/>
      <c r="V69" s="145"/>
    </row>
    <row r="70" spans="1:33" x14ac:dyDescent="0.2">
      <c r="B70" s="13" t="s">
        <v>191</v>
      </c>
      <c r="C70" s="101">
        <f>330377680-C69</f>
        <v>171432969</v>
      </c>
      <c r="D70" s="99">
        <f>+G67</f>
        <v>175176717</v>
      </c>
      <c r="E70" s="211">
        <f>34224748-E69</f>
        <v>16765241</v>
      </c>
      <c r="F70" s="212">
        <f t="shared" ref="F70:F74" si="80">+E70/D70</f>
        <v>9.5704733409292059E-2</v>
      </c>
      <c r="G70" s="100">
        <f>18298686+383732127-G69</f>
        <v>221167055</v>
      </c>
      <c r="H70" s="351">
        <f>44703643-H69</f>
        <v>24773701</v>
      </c>
      <c r="I70" s="212">
        <f t="shared" ref="I70:I74" si="81">+H70/G70</f>
        <v>0.11201352299057379</v>
      </c>
      <c r="J70" s="50">
        <f>+C70+-D70+G70</f>
        <v>217423307</v>
      </c>
      <c r="K70" s="16" t="e">
        <f>+#REF!-E70+H70</f>
        <v>#REF!</v>
      </c>
      <c r="L70" s="142" t="e">
        <f t="shared" si="2"/>
        <v>#REF!</v>
      </c>
      <c r="M70" s="276">
        <f>+X47</f>
        <v>0.10594000000000001</v>
      </c>
      <c r="N70" s="16">
        <f>J70*M70</f>
        <v>23033825.143580001</v>
      </c>
      <c r="O70" s="143">
        <f>+O69</f>
        <v>8.7080000000000005E-2</v>
      </c>
      <c r="P70" s="18">
        <f>J70*O70</f>
        <v>18933221.573559999</v>
      </c>
      <c r="Q70" s="359">
        <f>+P70-N70</f>
        <v>-4100603.5700200014</v>
      </c>
      <c r="R70" s="358"/>
      <c r="S70" s="145"/>
      <c r="T70" s="312"/>
      <c r="U70" s="279"/>
      <c r="V70" s="145"/>
    </row>
    <row r="71" spans="1:33" ht="15" x14ac:dyDescent="0.25">
      <c r="B71" s="132" t="s">
        <v>192</v>
      </c>
      <c r="C71" s="350">
        <f>SUM(C69:C70)</f>
        <v>330377680</v>
      </c>
      <c r="D71" s="350">
        <f t="shared" ref="D71" si="82">SUM(D69:D70)</f>
        <v>332039663</v>
      </c>
      <c r="E71" s="137">
        <f t="shared" ref="E71" si="83">SUM(E69:E70)</f>
        <v>34224748</v>
      </c>
      <c r="F71" s="212">
        <f t="shared" si="80"/>
        <v>0.10307427640052749</v>
      </c>
      <c r="G71" s="350">
        <f t="shared" ref="G71" si="84">SUM(G69:G70)</f>
        <v>402030813</v>
      </c>
      <c r="H71" s="137">
        <f t="shared" ref="H71" si="85">SUM(H69:H70)</f>
        <v>44703643</v>
      </c>
      <c r="I71" s="212">
        <f t="shared" si="81"/>
        <v>0.11119456905906364</v>
      </c>
      <c r="J71" s="133">
        <f t="shared" ref="J71:K71" si="86">SUM(J69:J70)</f>
        <v>400368830</v>
      </c>
      <c r="K71" s="137" t="e">
        <f t="shared" si="86"/>
        <v>#REF!</v>
      </c>
      <c r="L71" s="142" t="e">
        <f t="shared" si="2"/>
        <v>#REF!</v>
      </c>
      <c r="M71" s="19"/>
      <c r="N71" s="137">
        <f t="shared" ref="N71" si="87">SUM(N69:N70)</f>
        <v>38964721.286420003</v>
      </c>
      <c r="O71" s="353"/>
      <c r="P71" s="137">
        <f t="shared" ref="P71:Q71" si="88">SUM(P69:P70)</f>
        <v>34864117.716399997</v>
      </c>
      <c r="Q71" s="149">
        <f t="shared" si="88"/>
        <v>-4100603.5700200014</v>
      </c>
      <c r="R71" s="358">
        <v>-14725807.43575537</v>
      </c>
      <c r="S71" s="145"/>
      <c r="T71" s="315"/>
      <c r="U71" s="314"/>
      <c r="V71" s="145"/>
    </row>
    <row r="72" spans="1:33" ht="15" x14ac:dyDescent="0.25">
      <c r="B72" s="13" t="s">
        <v>271</v>
      </c>
      <c r="C72" s="62">
        <f t="shared" ref="C72:C74" si="89">+C36+C39+C42+C45+C48+C51+C54+C57+C60+C63+C66+C69</f>
        <v>1979900341</v>
      </c>
      <c r="D72" s="62">
        <f t="shared" ref="D72:E74" si="90">+D36+D39+D42+D45+D48+D51+D54+D57+D60+D63+D66+D69</f>
        <v>2091928739</v>
      </c>
      <c r="E72" s="16">
        <f t="shared" si="90"/>
        <v>206058403</v>
      </c>
      <c r="F72" s="210">
        <f t="shared" si="80"/>
        <v>9.8501635910648477E-2</v>
      </c>
      <c r="G72" s="62">
        <f t="shared" ref="G72:H74" si="91">+G36+G39+G42+G45+G48+G51+G54+G57+G60+G63+G66+G69</f>
        <v>2100861425</v>
      </c>
      <c r="H72" s="16">
        <f t="shared" si="91"/>
        <v>206714028</v>
      </c>
      <c r="I72" s="210">
        <f t="shared" si="81"/>
        <v>9.8394889610579628E-2</v>
      </c>
      <c r="J72" s="50">
        <f>+C72+-D72+G72</f>
        <v>1988833027</v>
      </c>
      <c r="K72" s="16" t="e">
        <f>+#REF!-E72+H72</f>
        <v>#REF!</v>
      </c>
      <c r="L72" s="142" t="e">
        <f t="shared" si="2"/>
        <v>#REF!</v>
      </c>
      <c r="M72" s="19"/>
      <c r="N72" s="211">
        <f>+N36+N39+N42+N45+N48+N51+N54+N57+N60+N63+N66+N69</f>
        <v>192940494.30686</v>
      </c>
      <c r="O72" s="353"/>
      <c r="P72" s="211">
        <f>+P36+P39+P42+P45+P48+P51+P54+P57+P60+P63+P66+P69</f>
        <v>192940494.30686</v>
      </c>
      <c r="Q72" s="359">
        <f>+Q36+Q39+Q42+Q45+Q48+Q51+Q54+Q57+Q60+Q63+Q66+Q69</f>
        <v>0</v>
      </c>
      <c r="R72" s="358"/>
      <c r="S72" s="145"/>
      <c r="T72" s="313"/>
      <c r="U72" s="311"/>
      <c r="V72" s="145"/>
    </row>
    <row r="73" spans="1:33" x14ac:dyDescent="0.2">
      <c r="B73" s="13" t="s">
        <v>272</v>
      </c>
      <c r="C73" s="62">
        <f t="shared" si="89"/>
        <v>2455169319</v>
      </c>
      <c r="D73" s="62">
        <f t="shared" si="90"/>
        <v>2542898972</v>
      </c>
      <c r="E73" s="16">
        <f t="shared" si="90"/>
        <v>243332765</v>
      </c>
      <c r="F73" s="210">
        <f t="shared" si="80"/>
        <v>9.5691086307144096E-2</v>
      </c>
      <c r="G73" s="62">
        <f t="shared" si="91"/>
        <v>2546358659</v>
      </c>
      <c r="H73" s="16">
        <f t="shared" si="91"/>
        <v>250795906</v>
      </c>
      <c r="I73" s="210">
        <f t="shared" si="81"/>
        <v>9.8491979954815942E-2</v>
      </c>
      <c r="J73" s="50">
        <f>+C73+-D73+G73</f>
        <v>2458629006</v>
      </c>
      <c r="K73" s="16" t="e">
        <f>+#REF!-E73+H73</f>
        <v>#REF!</v>
      </c>
      <c r="L73" s="142" t="e">
        <f t="shared" si="2"/>
        <v>#REF!</v>
      </c>
      <c r="M73" s="19"/>
      <c r="N73" s="211">
        <f t="shared" ref="N73:N74" si="92">+N37+N40+N43+N46+N49+N52+N55+N58+N61+N64+N67+N70</f>
        <v>241856288.25507998</v>
      </c>
      <c r="O73" s="353"/>
      <c r="P73" s="211">
        <f t="shared" ref="P73:Q73" si="93">+P37+P40+P43+P46+P49+P52+P55+P58+P61+P64+P67+P70</f>
        <v>238158575.52922994</v>
      </c>
      <c r="Q73" s="359">
        <f t="shared" si="93"/>
        <v>-3697712.7258500084</v>
      </c>
      <c r="R73" s="358"/>
      <c r="S73" s="145"/>
      <c r="T73" s="145"/>
      <c r="U73" s="145"/>
      <c r="V73" s="145"/>
    </row>
    <row r="74" spans="1:33" ht="15" x14ac:dyDescent="0.25">
      <c r="B74" s="132" t="s">
        <v>270</v>
      </c>
      <c r="C74" s="214">
        <f t="shared" si="89"/>
        <v>4435069660</v>
      </c>
      <c r="D74" s="214">
        <f t="shared" si="90"/>
        <v>4634827711</v>
      </c>
      <c r="E74" s="213">
        <f t="shared" si="90"/>
        <v>449391168</v>
      </c>
      <c r="F74" s="210">
        <f t="shared" si="80"/>
        <v>9.6959627416881994E-2</v>
      </c>
      <c r="G74" s="214">
        <f t="shared" si="91"/>
        <v>4647220084</v>
      </c>
      <c r="H74" s="213">
        <f t="shared" si="91"/>
        <v>457509934</v>
      </c>
      <c r="I74" s="210">
        <f t="shared" si="81"/>
        <v>9.8448088476629156E-2</v>
      </c>
      <c r="J74" s="214">
        <f>+J38+J41+J44+J47+J50+J53+J56+J59+J62+J65+J68+J71</f>
        <v>4447462033</v>
      </c>
      <c r="K74" s="137" t="e">
        <f t="shared" ref="K74" si="94">SUM(K72:K73)</f>
        <v>#REF!</v>
      </c>
      <c r="L74" s="142" t="e">
        <f t="shared" si="2"/>
        <v>#REF!</v>
      </c>
      <c r="M74" s="131"/>
      <c r="N74" s="137">
        <f t="shared" si="92"/>
        <v>434796782.56194007</v>
      </c>
      <c r="O74" s="348"/>
      <c r="P74" s="137">
        <f t="shared" ref="P74:Q74" si="95">+P38+P41+P44+P47+P50+P53+P56+P59+P62+P65+P68+P71</f>
        <v>431099069.83608997</v>
      </c>
      <c r="Q74" s="355">
        <f t="shared" si="95"/>
        <v>-3697712.7258500084</v>
      </c>
      <c r="R74" s="354">
        <v>-9817313.7094012499</v>
      </c>
      <c r="S74" s="145"/>
      <c r="T74" s="145"/>
      <c r="U74" s="145"/>
      <c r="V74" s="145"/>
    </row>
    <row r="75" spans="1:33" x14ac:dyDescent="0.2">
      <c r="A75" s="1" t="s">
        <v>39</v>
      </c>
      <c r="M75" s="4"/>
      <c r="N75" s="4"/>
      <c r="O75" s="4"/>
      <c r="P75" s="72" t="s">
        <v>140</v>
      </c>
      <c r="Q75" s="356">
        <v>-9817314</v>
      </c>
      <c r="R75" s="145"/>
    </row>
    <row r="76" spans="1:33" ht="15" thickBot="1" x14ac:dyDescent="0.25">
      <c r="M76" s="4"/>
      <c r="N76" s="4"/>
      <c r="O76" s="4"/>
      <c r="P76" s="72" t="s">
        <v>86</v>
      </c>
      <c r="Q76" s="282">
        <f>+Q75-Q74</f>
        <v>-6119601.2741499916</v>
      </c>
      <c r="R76" s="145"/>
    </row>
    <row r="77" spans="1:33" ht="15" thickTop="1" x14ac:dyDescent="0.2">
      <c r="B77" s="37"/>
      <c r="O77" s="56"/>
      <c r="P77" s="57"/>
      <c r="Q77" s="361"/>
      <c r="R77" s="145"/>
    </row>
    <row r="78" spans="1:33" ht="15" x14ac:dyDescent="0.25">
      <c r="N78" s="209" t="s">
        <v>293</v>
      </c>
      <c r="O78" s="238">
        <v>0.01</v>
      </c>
      <c r="P78" s="239">
        <f>+P74*O78</f>
        <v>4310990.6983608995</v>
      </c>
      <c r="Q78" s="240"/>
    </row>
    <row r="79" spans="1:33" ht="15" x14ac:dyDescent="0.25">
      <c r="A79" s="1" t="s">
        <v>40</v>
      </c>
      <c r="B79" s="46" t="s">
        <v>54</v>
      </c>
      <c r="C79" s="2"/>
      <c r="W79" s="37"/>
      <c r="X79" s="37"/>
      <c r="Y79" s="37"/>
      <c r="Z79" s="37"/>
      <c r="AA79" s="37"/>
      <c r="AB79" s="37"/>
      <c r="AG79" s="31"/>
    </row>
    <row r="80" spans="1:33" ht="15" x14ac:dyDescent="0.25">
      <c r="B80" s="3"/>
      <c r="C80" s="2"/>
      <c r="W80" s="37"/>
      <c r="X80" s="37"/>
      <c r="Y80" s="37"/>
      <c r="Z80" s="37"/>
      <c r="AA80" s="37"/>
      <c r="AB80" s="37"/>
      <c r="AG80" s="31"/>
    </row>
    <row r="81" spans="1:28" ht="75" x14ac:dyDescent="0.25">
      <c r="A81" s="11"/>
      <c r="B81" s="14" t="s">
        <v>51</v>
      </c>
      <c r="C81" s="48" t="s">
        <v>73</v>
      </c>
      <c r="D81" s="48" t="s">
        <v>133</v>
      </c>
      <c r="E81" s="48"/>
      <c r="F81" s="48"/>
      <c r="G81" s="393" t="s">
        <v>50</v>
      </c>
      <c r="H81" s="393"/>
      <c r="I81" s="393"/>
      <c r="J81" s="393"/>
      <c r="K81" s="393"/>
      <c r="L81" s="393"/>
      <c r="M81" s="393"/>
      <c r="N81" s="393"/>
      <c r="O81" s="393"/>
      <c r="W81" s="37"/>
      <c r="X81" s="37"/>
      <c r="Y81" s="37"/>
      <c r="Z81" s="37"/>
      <c r="AA81" s="37"/>
      <c r="AB81" s="37"/>
    </row>
    <row r="82" spans="1:28" ht="42.75" x14ac:dyDescent="0.2">
      <c r="A82" s="74" t="s">
        <v>57</v>
      </c>
      <c r="B82" s="49" t="s">
        <v>68</v>
      </c>
      <c r="C82" s="241" t="s">
        <v>294</v>
      </c>
      <c r="D82" s="242"/>
      <c r="E82" s="103"/>
      <c r="F82" s="103"/>
      <c r="G82" s="388" t="s">
        <v>297</v>
      </c>
      <c r="H82" s="388"/>
      <c r="I82" s="388"/>
      <c r="J82" s="388"/>
      <c r="K82" s="388"/>
      <c r="L82" s="388"/>
      <c r="M82" s="388"/>
      <c r="N82" s="388"/>
      <c r="O82" s="388"/>
      <c r="W82" s="37"/>
      <c r="X82" s="37"/>
      <c r="Y82" s="37"/>
      <c r="Z82" s="37"/>
      <c r="AA82" s="37"/>
      <c r="AB82" s="37"/>
    </row>
    <row r="83" spans="1:28" ht="42.75" x14ac:dyDescent="0.2">
      <c r="A83" s="74" t="s">
        <v>58</v>
      </c>
      <c r="B83" s="49" t="s">
        <v>88</v>
      </c>
      <c r="C83" s="241" t="s">
        <v>294</v>
      </c>
      <c r="D83" s="242"/>
      <c r="E83" s="128"/>
      <c r="F83" s="128"/>
      <c r="G83" s="388" t="s">
        <v>297</v>
      </c>
      <c r="H83" s="388"/>
      <c r="I83" s="388"/>
      <c r="J83" s="388"/>
      <c r="K83" s="388"/>
      <c r="L83" s="388"/>
      <c r="M83" s="388"/>
      <c r="N83" s="388"/>
      <c r="O83" s="388"/>
      <c r="P83" s="83"/>
      <c r="Q83" s="223"/>
      <c r="R83" s="223"/>
      <c r="S83" s="223"/>
      <c r="T83" s="223"/>
      <c r="U83" s="223"/>
      <c r="V83" s="223"/>
      <c r="W83" s="341"/>
      <c r="X83" s="341"/>
      <c r="Y83" s="37"/>
      <c r="Z83" s="37"/>
      <c r="AA83" s="37"/>
      <c r="AB83" s="37"/>
    </row>
    <row r="84" spans="1:28" ht="28.5" x14ac:dyDescent="0.2">
      <c r="A84" s="74" t="s">
        <v>71</v>
      </c>
      <c r="B84" s="49" t="s">
        <v>70</v>
      </c>
      <c r="C84" s="241" t="s">
        <v>295</v>
      </c>
      <c r="D84" s="242">
        <f>+'2016 Summary'!C16</f>
        <v>-2089774.153359998</v>
      </c>
      <c r="E84" s="103"/>
      <c r="F84" s="103"/>
      <c r="G84" s="388" t="s">
        <v>296</v>
      </c>
      <c r="H84" s="388"/>
      <c r="I84" s="388"/>
      <c r="J84" s="388"/>
      <c r="K84" s="388"/>
      <c r="L84" s="388"/>
      <c r="M84" s="388"/>
      <c r="N84" s="388"/>
      <c r="O84" s="388"/>
      <c r="P84" s="83"/>
      <c r="Q84" s="223"/>
      <c r="R84" s="223"/>
      <c r="S84" s="223"/>
      <c r="T84" s="223"/>
      <c r="U84" s="223"/>
      <c r="V84" s="223"/>
      <c r="W84" s="341"/>
      <c r="X84" s="341"/>
      <c r="Y84" s="37"/>
      <c r="Z84" s="37"/>
      <c r="AA84" s="37"/>
      <c r="AB84" s="37"/>
    </row>
    <row r="85" spans="1:28" ht="28.5" x14ac:dyDescent="0.2">
      <c r="A85" s="74" t="s">
        <v>72</v>
      </c>
      <c r="B85" s="49" t="s">
        <v>69</v>
      </c>
      <c r="C85" s="241" t="s">
        <v>295</v>
      </c>
      <c r="D85" s="242">
        <f>-3999046-971703</f>
        <v>-4970749</v>
      </c>
      <c r="E85" s="128"/>
      <c r="F85" s="128"/>
      <c r="G85" s="388" t="s">
        <v>296</v>
      </c>
      <c r="H85" s="388"/>
      <c r="I85" s="388"/>
      <c r="J85" s="388"/>
      <c r="K85" s="388"/>
      <c r="L85" s="388"/>
      <c r="M85" s="388"/>
      <c r="N85" s="388"/>
      <c r="O85" s="388"/>
      <c r="P85" s="83"/>
      <c r="Q85" s="223"/>
      <c r="R85" s="223"/>
      <c r="S85" s="223"/>
      <c r="T85" s="223"/>
      <c r="U85" s="223"/>
      <c r="V85" s="223"/>
      <c r="W85" s="341"/>
      <c r="X85" s="341"/>
      <c r="Y85" s="37"/>
      <c r="Z85" s="37"/>
      <c r="AA85" s="37"/>
      <c r="AB85" s="37"/>
    </row>
    <row r="86" spans="1:28" ht="42.75" x14ac:dyDescent="0.2">
      <c r="A86" s="74" t="s">
        <v>76</v>
      </c>
      <c r="B86" s="49" t="s">
        <v>78</v>
      </c>
      <c r="C86" s="241" t="s">
        <v>294</v>
      </c>
      <c r="D86" s="242"/>
      <c r="E86" s="103"/>
      <c r="F86" s="103"/>
      <c r="G86" s="388"/>
      <c r="H86" s="388"/>
      <c r="I86" s="388"/>
      <c r="J86" s="388"/>
      <c r="K86" s="388"/>
      <c r="L86" s="388"/>
      <c r="M86" s="388"/>
      <c r="N86" s="388"/>
      <c r="O86" s="388"/>
      <c r="P86" s="83"/>
      <c r="Q86" s="392"/>
      <c r="R86" s="392"/>
      <c r="S86" s="223"/>
      <c r="T86" s="223"/>
      <c r="U86" s="223"/>
      <c r="V86" s="223"/>
      <c r="W86" s="341"/>
      <c r="X86" s="341"/>
      <c r="Y86" s="37"/>
      <c r="Z86" s="37"/>
      <c r="AA86" s="37"/>
      <c r="AB86" s="37"/>
    </row>
    <row r="87" spans="1:28" ht="42.75" x14ac:dyDescent="0.2">
      <c r="A87" s="74" t="s">
        <v>77</v>
      </c>
      <c r="B87" s="49" t="s">
        <v>79</v>
      </c>
      <c r="C87" s="241" t="s">
        <v>294</v>
      </c>
      <c r="D87" s="242"/>
      <c r="E87" s="128"/>
      <c r="F87" s="128"/>
      <c r="G87" s="388"/>
      <c r="H87" s="388"/>
      <c r="I87" s="388"/>
      <c r="J87" s="388"/>
      <c r="K87" s="388"/>
      <c r="L87" s="388"/>
      <c r="M87" s="388"/>
      <c r="N87" s="388"/>
      <c r="O87" s="388"/>
      <c r="P87" s="83"/>
      <c r="Q87" s="323"/>
      <c r="R87" s="321"/>
      <c r="S87" s="223"/>
      <c r="T87" s="223"/>
      <c r="U87" s="223"/>
      <c r="V87" s="223"/>
      <c r="W87" s="341"/>
      <c r="X87" s="341"/>
    </row>
    <row r="88" spans="1:28" ht="28.5" x14ac:dyDescent="0.2">
      <c r="A88" s="74">
        <v>4</v>
      </c>
      <c r="B88" s="49" t="s">
        <v>75</v>
      </c>
      <c r="C88" s="241" t="s">
        <v>295</v>
      </c>
      <c r="D88" s="242">
        <v>-275915</v>
      </c>
      <c r="E88" s="103"/>
      <c r="F88" s="103"/>
      <c r="G88" s="388" t="s">
        <v>296</v>
      </c>
      <c r="H88" s="388"/>
      <c r="I88" s="388"/>
      <c r="J88" s="388"/>
      <c r="K88" s="388"/>
      <c r="L88" s="388"/>
      <c r="M88" s="388"/>
      <c r="N88" s="388"/>
      <c r="O88" s="388"/>
      <c r="P88" s="83"/>
      <c r="Q88" s="323"/>
      <c r="R88" s="321"/>
      <c r="S88" s="223"/>
      <c r="T88" s="223"/>
      <c r="U88" s="223"/>
      <c r="V88" s="223"/>
      <c r="W88" s="341"/>
      <c r="X88" s="341"/>
    </row>
    <row r="89" spans="1:28" ht="72" x14ac:dyDescent="0.25">
      <c r="A89" s="74">
        <v>5</v>
      </c>
      <c r="B89" s="49" t="s">
        <v>90</v>
      </c>
      <c r="C89" s="241" t="s">
        <v>294</v>
      </c>
      <c r="D89" s="242"/>
      <c r="E89" s="103"/>
      <c r="F89" s="103"/>
      <c r="G89" s="388"/>
      <c r="H89" s="388"/>
      <c r="I89" s="388"/>
      <c r="J89" s="388"/>
      <c r="K89" s="388"/>
      <c r="L89" s="388"/>
      <c r="M89" s="388"/>
      <c r="N89" s="388"/>
      <c r="O89" s="388"/>
      <c r="P89" s="83"/>
      <c r="Q89" s="322"/>
      <c r="R89" s="349"/>
      <c r="S89" s="223"/>
      <c r="T89" s="223"/>
      <c r="U89" s="223"/>
      <c r="V89" s="223"/>
      <c r="W89" s="341"/>
      <c r="X89" s="341"/>
    </row>
    <row r="90" spans="1:28" ht="42.75" x14ac:dyDescent="0.2">
      <c r="A90" s="53">
        <v>6</v>
      </c>
      <c r="B90" s="47" t="s">
        <v>330</v>
      </c>
      <c r="C90" s="241" t="s">
        <v>295</v>
      </c>
      <c r="D90" s="242">
        <v>-68531.0211789608</v>
      </c>
      <c r="E90" s="103"/>
      <c r="F90" s="103"/>
      <c r="G90" s="388" t="s">
        <v>340</v>
      </c>
      <c r="H90" s="388"/>
      <c r="I90" s="388"/>
      <c r="J90" s="388"/>
      <c r="K90" s="388"/>
      <c r="L90" s="388"/>
      <c r="M90" s="388"/>
      <c r="N90" s="388"/>
      <c r="O90" s="388"/>
      <c r="Q90" s="341"/>
      <c r="R90" s="341"/>
      <c r="S90" s="341"/>
      <c r="T90" s="341"/>
      <c r="U90" s="341"/>
      <c r="V90" s="341"/>
      <c r="W90" s="341"/>
      <c r="X90" s="341"/>
    </row>
    <row r="91" spans="1:28" x14ac:dyDescent="0.2">
      <c r="A91" s="53">
        <v>7</v>
      </c>
      <c r="B91" s="45"/>
      <c r="C91" s="10"/>
      <c r="D91" s="242"/>
      <c r="E91" s="103"/>
      <c r="F91" s="103"/>
      <c r="G91" s="388"/>
      <c r="H91" s="388"/>
      <c r="I91" s="388"/>
      <c r="J91" s="388"/>
      <c r="K91" s="388"/>
      <c r="L91" s="388"/>
      <c r="M91" s="388"/>
      <c r="N91" s="388"/>
      <c r="O91" s="388"/>
      <c r="Q91" s="341"/>
      <c r="R91" s="341"/>
      <c r="S91" s="341"/>
      <c r="T91" s="341"/>
      <c r="U91" s="341"/>
      <c r="V91" s="341"/>
      <c r="W91" s="341"/>
      <c r="X91" s="341"/>
    </row>
    <row r="92" spans="1:28" x14ac:dyDescent="0.2">
      <c r="A92" s="53">
        <v>8</v>
      </c>
      <c r="B92" s="45"/>
      <c r="C92" s="10"/>
      <c r="D92" s="242"/>
      <c r="E92" s="103"/>
      <c r="F92" s="103"/>
      <c r="G92" s="388"/>
      <c r="H92" s="388"/>
      <c r="I92" s="388"/>
      <c r="J92" s="388"/>
      <c r="K92" s="388"/>
      <c r="L92" s="388"/>
      <c r="M92" s="388"/>
      <c r="N92" s="388"/>
      <c r="O92" s="388"/>
      <c r="Q92" s="341"/>
      <c r="R92" s="341"/>
      <c r="S92" s="341"/>
      <c r="T92" s="341"/>
      <c r="U92" s="341"/>
      <c r="V92" s="341"/>
      <c r="W92" s="341"/>
      <c r="X92" s="341"/>
    </row>
    <row r="93" spans="1:28" x14ac:dyDescent="0.2">
      <c r="A93" s="53">
        <v>9</v>
      </c>
      <c r="B93" s="45"/>
      <c r="C93" s="10"/>
      <c r="D93" s="242"/>
      <c r="E93" s="128"/>
      <c r="F93" s="128"/>
      <c r="G93" s="389"/>
      <c r="H93" s="390"/>
      <c r="I93" s="390"/>
      <c r="J93" s="390"/>
      <c r="K93" s="390"/>
      <c r="L93" s="390"/>
      <c r="M93" s="390"/>
      <c r="N93" s="390"/>
      <c r="O93" s="391"/>
      <c r="Q93" s="341"/>
      <c r="R93" s="341"/>
      <c r="S93" s="341"/>
      <c r="T93" s="341"/>
      <c r="U93" s="341"/>
      <c r="V93" s="341"/>
      <c r="W93" s="341"/>
      <c r="X93" s="341"/>
    </row>
    <row r="94" spans="1:28" x14ac:dyDescent="0.2">
      <c r="A94" s="53">
        <v>10</v>
      </c>
      <c r="B94" s="45"/>
      <c r="C94" s="10"/>
      <c r="D94" s="242"/>
      <c r="E94" s="103"/>
      <c r="F94" s="103"/>
      <c r="G94" s="388"/>
      <c r="H94" s="388"/>
      <c r="I94" s="388"/>
      <c r="J94" s="388"/>
      <c r="K94" s="388"/>
      <c r="L94" s="388"/>
      <c r="M94" s="388"/>
      <c r="N94" s="388"/>
      <c r="O94" s="388"/>
      <c r="Q94" s="341"/>
      <c r="R94" s="341"/>
      <c r="S94" s="341"/>
      <c r="T94" s="341"/>
      <c r="U94" s="341"/>
      <c r="V94" s="341"/>
      <c r="W94" s="341"/>
      <c r="X94" s="341"/>
    </row>
    <row r="95" spans="1:28" ht="15" x14ac:dyDescent="0.25">
      <c r="B95" s="2" t="s">
        <v>25</v>
      </c>
      <c r="C95" s="2"/>
      <c r="D95" s="219">
        <f>SUM(D82:D94)</f>
        <v>-7404969.1745389588</v>
      </c>
      <c r="E95" s="104"/>
      <c r="F95" s="104"/>
      <c r="G95" s="28"/>
      <c r="H95" s="28"/>
      <c r="I95" s="28"/>
      <c r="J95" s="28"/>
      <c r="K95" s="28"/>
      <c r="L95" s="28"/>
      <c r="M95" s="28"/>
      <c r="N95" s="28"/>
    </row>
    <row r="96" spans="1:28" ht="15" x14ac:dyDescent="0.25">
      <c r="B96" s="75" t="s">
        <v>74</v>
      </c>
      <c r="C96" s="75"/>
      <c r="D96" s="219">
        <f>Q76</f>
        <v>-6119601.2741499916</v>
      </c>
      <c r="E96" s="104"/>
      <c r="F96" s="104"/>
      <c r="G96" s="28"/>
      <c r="H96" s="28"/>
      <c r="I96" s="28"/>
      <c r="J96" s="28"/>
      <c r="K96" s="28"/>
      <c r="L96" s="28"/>
      <c r="M96" s="28"/>
      <c r="N96" s="28"/>
    </row>
    <row r="97" spans="1:22" ht="15" x14ac:dyDescent="0.25">
      <c r="B97" s="75" t="s">
        <v>24</v>
      </c>
      <c r="C97" s="75"/>
      <c r="D97" s="264">
        <f>D96-D95</f>
        <v>1285367.9003889672</v>
      </c>
      <c r="E97" s="129"/>
      <c r="F97" s="129"/>
    </row>
    <row r="98" spans="1:22" ht="30.75" thickBot="1" x14ac:dyDescent="0.3">
      <c r="B98" s="76" t="s">
        <v>80</v>
      </c>
      <c r="C98" s="76"/>
      <c r="D98" s="63">
        <f>IF(ISERROR(D97/P74),0,D97/P74)</f>
        <v>2.9816067589236101E-3</v>
      </c>
      <c r="E98" s="130"/>
      <c r="F98" s="130"/>
      <c r="G98" s="107" t="str">
        <f>IF(AND(D98&lt;0.01,D98&gt;-0.01),"","Unresolved differences of greater than + or - 1% should be explained")</f>
        <v/>
      </c>
      <c r="H98" s="107"/>
      <c r="I98" s="107"/>
      <c r="M98" s="83"/>
      <c r="N98" s="37"/>
      <c r="O98" s="37"/>
      <c r="P98" s="37"/>
      <c r="Q98" s="37"/>
      <c r="R98" s="37"/>
    </row>
    <row r="99" spans="1:22" ht="15.75" thickTop="1" x14ac:dyDescent="0.25">
      <c r="B99" s="2"/>
      <c r="C99" s="55"/>
      <c r="D99" s="61"/>
      <c r="E99" s="61"/>
      <c r="F99" s="61"/>
      <c r="M99" s="83"/>
    </row>
    <row r="100" spans="1:22" ht="15" x14ac:dyDescent="0.25">
      <c r="B100" s="2"/>
      <c r="C100" s="55"/>
      <c r="D100" s="36"/>
      <c r="E100" s="36"/>
      <c r="F100" s="36"/>
    </row>
    <row r="101" spans="1:22" ht="15" x14ac:dyDescent="0.25">
      <c r="A101" s="1" t="s">
        <v>82</v>
      </c>
      <c r="B101" s="77" t="s">
        <v>47</v>
      </c>
      <c r="C101" s="60"/>
      <c r="D101" s="61"/>
      <c r="E101" s="61"/>
      <c r="F101" s="61"/>
    </row>
    <row r="102" spans="1:22" ht="15" x14ac:dyDescent="0.25">
      <c r="B102" s="59"/>
      <c r="C102" s="60"/>
      <c r="D102" s="61"/>
      <c r="E102" s="61"/>
      <c r="F102" s="61"/>
    </row>
    <row r="103" spans="1:22" ht="105" x14ac:dyDescent="0.25">
      <c r="B103" s="64" t="s">
        <v>26</v>
      </c>
      <c r="C103" s="48" t="s">
        <v>146</v>
      </c>
      <c r="D103" s="78" t="s">
        <v>147</v>
      </c>
      <c r="E103" s="78"/>
      <c r="F103" s="78"/>
      <c r="G103" s="48" t="s">
        <v>148</v>
      </c>
      <c r="H103" s="48"/>
      <c r="I103" s="48"/>
      <c r="J103" s="48" t="s">
        <v>150</v>
      </c>
      <c r="K103" s="48"/>
      <c r="L103" s="48"/>
      <c r="M103" s="48" t="s">
        <v>24</v>
      </c>
      <c r="N103" s="80" t="s">
        <v>149</v>
      </c>
      <c r="O103" s="48" t="s">
        <v>80</v>
      </c>
      <c r="P103" s="83"/>
      <c r="Q103" s="83"/>
      <c r="R103" s="37"/>
      <c r="S103" s="37"/>
      <c r="T103" s="37"/>
      <c r="U103" s="37"/>
      <c r="V103" s="37"/>
    </row>
    <row r="104" spans="1:22" x14ac:dyDescent="0.2">
      <c r="B104" s="109">
        <v>2015</v>
      </c>
      <c r="C104" s="111">
        <v>2093364.3946999945</v>
      </c>
      <c r="D104" s="111">
        <v>5736837</v>
      </c>
      <c r="E104" s="111"/>
      <c r="F104" s="111"/>
      <c r="G104" s="112">
        <v>3643472.6053000055</v>
      </c>
      <c r="H104" s="112"/>
      <c r="I104" s="112"/>
      <c r="J104" s="112">
        <v>4418899.7307402901</v>
      </c>
      <c r="K104" s="112"/>
      <c r="L104" s="112"/>
      <c r="M104" s="113">
        <f>G104-J104</f>
        <v>-775427.12544028461</v>
      </c>
      <c r="N104" s="112">
        <v>356017138.20883995</v>
      </c>
      <c r="O104" s="108">
        <f>IF(ISERROR(M104/N104),0,M104/N104)</f>
        <v>-2.1780612285732673E-3</v>
      </c>
      <c r="P104" s="83"/>
      <c r="Q104" s="83"/>
      <c r="R104" s="37"/>
      <c r="S104" s="37"/>
      <c r="T104" s="37"/>
      <c r="U104" s="37"/>
      <c r="V104" s="37"/>
    </row>
    <row r="105" spans="1:22" x14ac:dyDescent="0.2">
      <c r="B105" s="109">
        <v>2016</v>
      </c>
      <c r="C105" s="111">
        <v>-3697712.7258500084</v>
      </c>
      <c r="D105" s="111">
        <v>-9817314</v>
      </c>
      <c r="E105" s="111"/>
      <c r="F105" s="111"/>
      <c r="G105" s="112">
        <v>-6119601.2741499916</v>
      </c>
      <c r="H105" s="112"/>
      <c r="I105" s="112"/>
      <c r="J105" s="112">
        <v>-7404969.1745389588</v>
      </c>
      <c r="K105" s="112"/>
      <c r="L105" s="112"/>
      <c r="M105" s="113">
        <f>G105-J105</f>
        <v>1285367.9003889672</v>
      </c>
      <c r="N105" s="112">
        <v>431099069.83608997</v>
      </c>
      <c r="O105" s="108">
        <f>IF(ISERROR(M105/N105),0,M105/N105)</f>
        <v>2.9816067589236101E-3</v>
      </c>
      <c r="P105" s="83"/>
      <c r="Q105" s="83"/>
      <c r="R105" s="37"/>
      <c r="S105" s="37"/>
      <c r="T105" s="37"/>
      <c r="U105" s="37"/>
      <c r="V105" s="37"/>
    </row>
    <row r="106" spans="1:22" x14ac:dyDescent="0.2">
      <c r="B106" s="109"/>
      <c r="C106" s="111"/>
      <c r="D106" s="111"/>
      <c r="E106" s="111"/>
      <c r="F106" s="111"/>
      <c r="G106" s="112"/>
      <c r="H106" s="112"/>
      <c r="I106" s="112"/>
      <c r="J106" s="112"/>
      <c r="K106" s="112"/>
      <c r="L106" s="112"/>
      <c r="M106" s="113">
        <f>G106-J106</f>
        <v>0</v>
      </c>
      <c r="N106" s="112"/>
      <c r="O106" s="108">
        <f>IF(ISERROR(M106/N106),0,M106/N106)</f>
        <v>0</v>
      </c>
      <c r="P106" s="83"/>
      <c r="Q106" s="83"/>
      <c r="R106" s="37"/>
      <c r="S106" s="37"/>
      <c r="T106" s="37"/>
      <c r="U106" s="37"/>
      <c r="V106" s="37"/>
    </row>
    <row r="107" spans="1:22" ht="15" thickBot="1" x14ac:dyDescent="0.25">
      <c r="B107" s="109"/>
      <c r="C107" s="114"/>
      <c r="D107" s="114"/>
      <c r="E107" s="114"/>
      <c r="F107" s="114"/>
      <c r="G107" s="114"/>
      <c r="H107" s="114"/>
      <c r="I107" s="114"/>
      <c r="J107" s="114"/>
      <c r="K107" s="114"/>
      <c r="L107" s="114"/>
      <c r="M107" s="115">
        <f>G107-J107</f>
        <v>0</v>
      </c>
      <c r="N107" s="114"/>
      <c r="O107" s="110">
        <f>IF(ISERROR(M107/N107),0,M107/N107)</f>
        <v>0</v>
      </c>
      <c r="P107" s="83"/>
      <c r="Q107" s="83"/>
      <c r="R107" s="37"/>
      <c r="S107" s="37"/>
      <c r="T107" s="37"/>
      <c r="U107" s="37"/>
      <c r="V107" s="37"/>
    </row>
    <row r="108" spans="1:22" ht="15.75" thickBot="1" x14ac:dyDescent="0.3">
      <c r="B108" s="79" t="s">
        <v>81</v>
      </c>
      <c r="C108" s="81">
        <f t="shared" ref="C108:N108" si="96">SUM(C104:C107)</f>
        <v>-1604348.331150014</v>
      </c>
      <c r="D108" s="81">
        <f t="shared" si="96"/>
        <v>-4080477</v>
      </c>
      <c r="E108" s="81"/>
      <c r="F108" s="81"/>
      <c r="G108" s="81">
        <f t="shared" si="96"/>
        <v>-2476128.668849986</v>
      </c>
      <c r="H108" s="81"/>
      <c r="I108" s="81"/>
      <c r="J108" s="81">
        <f t="shared" si="96"/>
        <v>-2986069.4437986687</v>
      </c>
      <c r="K108" s="81"/>
      <c r="L108" s="81"/>
      <c r="M108" s="81">
        <f t="shared" si="96"/>
        <v>509940.77494868264</v>
      </c>
      <c r="N108" s="81">
        <f t="shared" si="96"/>
        <v>787116208.04492998</v>
      </c>
      <c r="O108" s="82" t="s">
        <v>89</v>
      </c>
      <c r="P108" s="83"/>
      <c r="Q108" s="83"/>
      <c r="R108" s="37"/>
      <c r="S108" s="37"/>
      <c r="T108" s="37"/>
      <c r="U108" s="37"/>
      <c r="V108" s="37"/>
    </row>
    <row r="109" spans="1:22" x14ac:dyDescent="0.2">
      <c r="B109" s="4"/>
      <c r="C109" s="4"/>
      <c r="D109" s="4"/>
      <c r="E109" s="4"/>
      <c r="F109" s="4"/>
      <c r="G109" s="4"/>
      <c r="H109" s="4"/>
      <c r="I109" s="4"/>
      <c r="J109" s="4"/>
      <c r="K109" s="4"/>
      <c r="L109" s="4"/>
      <c r="M109" s="4"/>
      <c r="P109" s="83"/>
      <c r="Q109" s="83"/>
      <c r="R109" s="37"/>
      <c r="S109" s="37"/>
      <c r="T109" s="37"/>
      <c r="U109" s="37"/>
      <c r="V109" s="37"/>
    </row>
    <row r="110" spans="1:22" x14ac:dyDescent="0.2">
      <c r="P110" s="83"/>
      <c r="Q110" s="83"/>
      <c r="R110" s="37"/>
      <c r="S110" s="37"/>
      <c r="T110" s="37"/>
      <c r="U110" s="37"/>
      <c r="V110" s="37"/>
    </row>
    <row r="111" spans="1:22" ht="15" x14ac:dyDescent="0.25">
      <c r="B111" s="3" t="s">
        <v>38</v>
      </c>
      <c r="P111" s="83"/>
      <c r="Q111" s="83"/>
    </row>
    <row r="112" spans="1:22" x14ac:dyDescent="0.2">
      <c r="B112" s="52"/>
      <c r="C112" s="52"/>
      <c r="D112" s="52"/>
      <c r="E112" s="52"/>
      <c r="F112" s="52"/>
      <c r="G112" s="52"/>
      <c r="H112" s="52"/>
      <c r="I112" s="52"/>
      <c r="J112" s="52"/>
      <c r="K112" s="52"/>
      <c r="L112" s="52"/>
      <c r="M112" s="52"/>
      <c r="N112" s="52"/>
      <c r="P112" s="83"/>
      <c r="Q112" s="83"/>
    </row>
    <row r="113" spans="2:17" x14ac:dyDescent="0.2">
      <c r="B113" s="52"/>
      <c r="C113" s="52"/>
      <c r="D113" s="52"/>
      <c r="E113" s="52"/>
      <c r="F113" s="52"/>
      <c r="G113" s="52"/>
      <c r="H113" s="52"/>
      <c r="I113" s="52"/>
      <c r="J113" s="52"/>
      <c r="K113" s="52"/>
      <c r="L113" s="52"/>
      <c r="M113" s="52"/>
      <c r="N113" s="52"/>
      <c r="P113" s="83"/>
      <c r="Q113" s="83"/>
    </row>
    <row r="114" spans="2:17" x14ac:dyDescent="0.2">
      <c r="B114" s="52"/>
      <c r="C114" s="52"/>
      <c r="D114" s="52"/>
      <c r="E114" s="52"/>
      <c r="F114" s="52"/>
      <c r="G114" s="52"/>
      <c r="H114" s="52"/>
      <c r="I114" s="52"/>
      <c r="J114" s="52"/>
      <c r="K114" s="52"/>
      <c r="L114" s="52"/>
      <c r="M114" s="52"/>
      <c r="N114" s="52"/>
    </row>
    <row r="115" spans="2:17" x14ac:dyDescent="0.2">
      <c r="B115" s="52"/>
      <c r="C115" s="52"/>
      <c r="D115" s="52"/>
      <c r="E115" s="52"/>
      <c r="F115" s="52"/>
      <c r="G115" s="52"/>
      <c r="H115" s="52"/>
      <c r="I115" s="52"/>
      <c r="J115" s="52"/>
      <c r="K115" s="52"/>
      <c r="L115" s="52"/>
      <c r="M115" s="52"/>
      <c r="N115" s="52"/>
    </row>
    <row r="116" spans="2:17" x14ac:dyDescent="0.2">
      <c r="B116" s="52"/>
      <c r="C116" s="52"/>
      <c r="D116" s="52"/>
      <c r="E116" s="52"/>
      <c r="F116" s="52"/>
      <c r="G116" s="52"/>
      <c r="H116" s="52"/>
      <c r="I116" s="52"/>
      <c r="J116" s="52"/>
      <c r="K116" s="52"/>
      <c r="L116" s="52"/>
      <c r="M116" s="52"/>
      <c r="N116" s="52"/>
    </row>
    <row r="117" spans="2:17" x14ac:dyDescent="0.2">
      <c r="B117" s="52"/>
      <c r="C117" s="52"/>
      <c r="D117" s="52"/>
      <c r="E117" s="52"/>
      <c r="F117" s="52"/>
      <c r="G117" s="52"/>
      <c r="H117" s="52"/>
      <c r="I117" s="52"/>
      <c r="J117" s="52"/>
      <c r="K117" s="52"/>
      <c r="L117" s="52"/>
      <c r="M117" s="52"/>
      <c r="N117" s="52"/>
    </row>
    <row r="118" spans="2:17" x14ac:dyDescent="0.2">
      <c r="B118" s="52"/>
      <c r="C118" s="52"/>
      <c r="D118" s="52"/>
      <c r="E118" s="52"/>
      <c r="F118" s="52"/>
      <c r="G118" s="52"/>
      <c r="H118" s="52"/>
      <c r="I118" s="52"/>
      <c r="J118" s="52"/>
      <c r="K118" s="52"/>
      <c r="L118" s="52"/>
      <c r="M118" s="52"/>
      <c r="N118" s="52"/>
    </row>
    <row r="119" spans="2:17" x14ac:dyDescent="0.2">
      <c r="B119" s="52"/>
      <c r="C119" s="52"/>
      <c r="D119" s="52"/>
      <c r="E119" s="52"/>
      <c r="F119" s="52"/>
      <c r="G119" s="52"/>
      <c r="H119" s="52"/>
      <c r="I119" s="52"/>
      <c r="J119" s="52"/>
      <c r="K119" s="52"/>
      <c r="L119" s="52"/>
      <c r="M119" s="52"/>
      <c r="N119" s="52"/>
    </row>
  </sheetData>
  <mergeCells count="23">
    <mergeCell ref="Q86:R86"/>
    <mergeCell ref="G81:O81"/>
    <mergeCell ref="G82:O82"/>
    <mergeCell ref="G84:O84"/>
    <mergeCell ref="G86:O86"/>
    <mergeCell ref="G88:O88"/>
    <mergeCell ref="G83:O83"/>
    <mergeCell ref="G85:O85"/>
    <mergeCell ref="G87:O87"/>
    <mergeCell ref="G89:O89"/>
    <mergeCell ref="G94:O94"/>
    <mergeCell ref="G90:O90"/>
    <mergeCell ref="G91:O91"/>
    <mergeCell ref="G92:O92"/>
    <mergeCell ref="G93:O93"/>
    <mergeCell ref="X33:Z33"/>
    <mergeCell ref="AA33:AC33"/>
    <mergeCell ref="AD33:AF33"/>
    <mergeCell ref="B10:C10"/>
    <mergeCell ref="M10:N10"/>
    <mergeCell ref="B16:N16"/>
    <mergeCell ref="D33:F33"/>
    <mergeCell ref="G33:I33"/>
  </mergeCells>
  <dataValidations count="1">
    <dataValidation type="list" sqref="C20 E20">
      <formula1>"1st Estimate, 2nd Estimate, Actual, Other"</formula1>
    </dataValidation>
  </dataValidations>
  <pageMargins left="0.11811023622047245" right="0.11811023622047245" top="0.15748031496062992" bottom="0.19685039370078741" header="0.11811023622047245" footer="0.11811023622047245"/>
  <pageSetup paperSize="17" scale="60" fitToHeight="2" orientation="landscape" r:id="rId1"/>
  <headerFooter>
    <oddFooter>&amp;L&amp;Z&amp;F&amp;R&amp;A</oddFooter>
  </headerFooter>
  <rowBreaks count="1" manualBreakCount="1">
    <brk id="78"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4"/>
  <sheetViews>
    <sheetView topLeftCell="A12" workbookViewId="0">
      <selection activeCell="B13" sqref="B13:E43"/>
    </sheetView>
  </sheetViews>
  <sheetFormatPr defaultRowHeight="15" x14ac:dyDescent="0.25"/>
  <cols>
    <col min="1" max="1" width="5.140625" style="244" customWidth="1"/>
    <col min="2" max="2" width="53.5703125" style="244" customWidth="1"/>
    <col min="3" max="3" width="18.140625" style="244" bestFit="1" customWidth="1"/>
    <col min="4" max="4" width="15.28515625" style="244" bestFit="1" customWidth="1"/>
    <col min="5" max="5" width="13.5703125" style="244" bestFit="1" customWidth="1"/>
    <col min="6" max="16384" width="9.140625" style="244"/>
  </cols>
  <sheetData>
    <row r="1" spans="1:4" x14ac:dyDescent="0.25">
      <c r="A1" s="178" t="s">
        <v>290</v>
      </c>
    </row>
    <row r="2" spans="1:4" x14ac:dyDescent="0.25">
      <c r="A2" s="178" t="s">
        <v>273</v>
      </c>
    </row>
    <row r="3" spans="1:4" x14ac:dyDescent="0.25">
      <c r="B3" s="178"/>
    </row>
    <row r="4" spans="1:4" x14ac:dyDescent="0.25">
      <c r="A4" s="178" t="s">
        <v>298</v>
      </c>
      <c r="B4" s="178"/>
      <c r="C4" s="243" t="s">
        <v>233</v>
      </c>
      <c r="D4" s="245" t="s">
        <v>287</v>
      </c>
    </row>
    <row r="5" spans="1:4" ht="30" x14ac:dyDescent="0.25">
      <c r="A5" s="258" t="s">
        <v>71</v>
      </c>
      <c r="B5" s="259" t="s">
        <v>70</v>
      </c>
      <c r="C5" s="260">
        <f>+C16</f>
        <v>-2089774.153359998</v>
      </c>
      <c r="D5" s="245">
        <v>1</v>
      </c>
    </row>
    <row r="6" spans="1:4" ht="30" x14ac:dyDescent="0.25">
      <c r="A6" s="258" t="s">
        <v>72</v>
      </c>
      <c r="B6" s="259" t="s">
        <v>69</v>
      </c>
      <c r="C6" s="260">
        <f>-3999046-971703</f>
        <v>-4970749</v>
      </c>
      <c r="D6" s="245">
        <v>2</v>
      </c>
    </row>
    <row r="7" spans="1:4" x14ac:dyDescent="0.25">
      <c r="A7" s="258">
        <v>4</v>
      </c>
      <c r="B7" s="259" t="s">
        <v>75</v>
      </c>
      <c r="C7" s="260">
        <v>-275915</v>
      </c>
      <c r="D7" s="245">
        <v>3</v>
      </c>
    </row>
    <row r="8" spans="1:4" ht="30" x14ac:dyDescent="0.25">
      <c r="A8" s="258">
        <v>6</v>
      </c>
      <c r="B8" s="259" t="s">
        <v>330</v>
      </c>
      <c r="C8" s="260">
        <v>-68531.0211789608</v>
      </c>
      <c r="D8" s="245">
        <v>4</v>
      </c>
    </row>
    <row r="9" spans="1:4" x14ac:dyDescent="0.25">
      <c r="A9" s="258"/>
      <c r="B9" s="259"/>
      <c r="C9" s="255"/>
    </row>
    <row r="10" spans="1:4" x14ac:dyDescent="0.25">
      <c r="A10" s="261"/>
      <c r="B10" s="262" t="s">
        <v>253</v>
      </c>
      <c r="C10" s="263">
        <f>SUM(C5:C9)</f>
        <v>-7404969.1745389588</v>
      </c>
    </row>
    <row r="12" spans="1:4" x14ac:dyDescent="0.25">
      <c r="A12" s="178" t="s">
        <v>206</v>
      </c>
      <c r="B12" s="246"/>
      <c r="C12" s="247"/>
    </row>
    <row r="13" spans="1:4" x14ac:dyDescent="0.25">
      <c r="A13" s="272" t="s">
        <v>207</v>
      </c>
      <c r="B13" s="269" t="s">
        <v>299</v>
      </c>
      <c r="C13" s="247"/>
    </row>
    <row r="14" spans="1:4" ht="30" x14ac:dyDescent="0.25">
      <c r="A14" s="178"/>
      <c r="B14" s="249" t="s">
        <v>358</v>
      </c>
      <c r="C14" s="250">
        <v>4715111</v>
      </c>
      <c r="D14" s="270" t="s">
        <v>57</v>
      </c>
    </row>
    <row r="15" spans="1:4" ht="30" x14ac:dyDescent="0.25">
      <c r="A15" s="178"/>
      <c r="B15" s="249" t="s">
        <v>306</v>
      </c>
      <c r="C15" s="250">
        <f>+D43</f>
        <v>-6804885.153359998</v>
      </c>
      <c r="D15" s="245" t="s">
        <v>58</v>
      </c>
    </row>
    <row r="16" spans="1:4" x14ac:dyDescent="0.25">
      <c r="A16" s="178"/>
      <c r="B16" s="265" t="s">
        <v>253</v>
      </c>
      <c r="C16" s="266">
        <f>SUM(C14:C15)</f>
        <v>-2089774.153359998</v>
      </c>
      <c r="D16" s="245"/>
    </row>
    <row r="17" spans="1:5" s="246" customFormat="1" x14ac:dyDescent="0.25">
      <c r="A17" s="269"/>
      <c r="B17" s="267"/>
      <c r="C17" s="247"/>
      <c r="D17" s="268"/>
    </row>
    <row r="18" spans="1:5" s="246" customFormat="1" x14ac:dyDescent="0.25">
      <c r="A18" s="273" t="s">
        <v>301</v>
      </c>
      <c r="B18" s="2" t="s">
        <v>217</v>
      </c>
      <c r="C18" s="221" t="s">
        <v>201</v>
      </c>
      <c r="D18" s="221" t="s">
        <v>202</v>
      </c>
      <c r="E18" s="221" t="s">
        <v>203</v>
      </c>
    </row>
    <row r="19" spans="1:5" s="246" customFormat="1" x14ac:dyDescent="0.25">
      <c r="A19" s="273"/>
      <c r="B19" s="1" t="s">
        <v>208</v>
      </c>
      <c r="C19" s="104">
        <v>14559206</v>
      </c>
      <c r="D19" s="104"/>
      <c r="E19" s="104"/>
    </row>
    <row r="20" spans="1:5" s="246" customFormat="1" x14ac:dyDescent="0.25">
      <c r="A20" s="273"/>
      <c r="B20" s="1" t="s">
        <v>209</v>
      </c>
      <c r="C20" s="104">
        <v>19274317</v>
      </c>
      <c r="D20" s="104"/>
      <c r="E20" s="104"/>
    </row>
    <row r="21" spans="1:5" s="246" customFormat="1" ht="15.75" thickBot="1" x14ac:dyDescent="0.3">
      <c r="A21" s="273"/>
      <c r="B21" s="1" t="s">
        <v>360</v>
      </c>
      <c r="C21" s="17">
        <f>+C20-C19</f>
        <v>4715111</v>
      </c>
      <c r="D21" s="17">
        <v>0</v>
      </c>
      <c r="E21" s="17">
        <f>+C21-D21</f>
        <v>4715111</v>
      </c>
    </row>
    <row r="22" spans="1:5" s="246" customFormat="1" ht="15.75" thickTop="1" x14ac:dyDescent="0.25">
      <c r="A22" s="273"/>
      <c r="B22" s="267"/>
      <c r="C22" s="247"/>
      <c r="D22" s="268"/>
    </row>
    <row r="23" spans="1:5" s="246" customFormat="1" x14ac:dyDescent="0.25">
      <c r="A23" s="273"/>
      <c r="B23" s="305" t="s">
        <v>341</v>
      </c>
      <c r="C23" s="247"/>
      <c r="D23" s="268"/>
    </row>
    <row r="24" spans="1:5" s="246" customFormat="1" x14ac:dyDescent="0.25">
      <c r="A24" s="273"/>
      <c r="B24" s="267"/>
      <c r="C24" s="247"/>
      <c r="D24" s="268"/>
    </row>
    <row r="25" spans="1:5" s="246" customFormat="1" x14ac:dyDescent="0.25">
      <c r="A25" s="273"/>
      <c r="B25" s="1" t="s">
        <v>302</v>
      </c>
      <c r="C25" s="104"/>
      <c r="D25" s="104"/>
      <c r="E25" s="104"/>
    </row>
    <row r="26" spans="1:5" s="246" customFormat="1" x14ac:dyDescent="0.25">
      <c r="A26" s="273"/>
      <c r="B26" s="1" t="s">
        <v>214</v>
      </c>
      <c r="C26" s="104"/>
      <c r="D26" s="104"/>
      <c r="E26" s="104"/>
    </row>
    <row r="27" spans="1:5" s="246" customFormat="1" x14ac:dyDescent="0.25">
      <c r="A27" s="273"/>
      <c r="B27" s="1"/>
      <c r="C27" s="104"/>
      <c r="D27" s="104"/>
      <c r="E27" s="104"/>
    </row>
    <row r="28" spans="1:5" s="246" customFormat="1" x14ac:dyDescent="0.25">
      <c r="A28" s="273"/>
      <c r="B28" s="1" t="s">
        <v>211</v>
      </c>
      <c r="C28" s="155">
        <v>9.4710000000000003E-2</v>
      </c>
      <c r="D28" s="1"/>
      <c r="E28" s="104"/>
    </row>
    <row r="29" spans="1:5" s="246" customFormat="1" x14ac:dyDescent="0.25">
      <c r="A29" s="273"/>
      <c r="B29" s="1" t="s">
        <v>210</v>
      </c>
      <c r="C29" s="155">
        <v>0.1132</v>
      </c>
      <c r="D29" s="1"/>
      <c r="E29" s="104"/>
    </row>
    <row r="30" spans="1:5" s="246" customFormat="1" x14ac:dyDescent="0.25">
      <c r="A30" s="273"/>
      <c r="B30" s="1" t="s">
        <v>304</v>
      </c>
      <c r="C30" s="155">
        <f>+C29-C28</f>
        <v>1.8489999999999993E-2</v>
      </c>
      <c r="D30" s="156">
        <f>+'GA Analysis 2016'!$C$36</f>
        <v>153693718</v>
      </c>
      <c r="E30" s="159">
        <f>+C30*D30</f>
        <v>2841796.845819999</v>
      </c>
    </row>
    <row r="31" spans="1:5" s="246" customFormat="1" x14ac:dyDescent="0.25">
      <c r="A31" s="273"/>
      <c r="B31" s="1"/>
      <c r="C31" s="155"/>
      <c r="D31" s="156"/>
      <c r="E31" s="104"/>
    </row>
    <row r="32" spans="1:5" s="246" customFormat="1" x14ac:dyDescent="0.25">
      <c r="A32" s="273"/>
      <c r="B32" s="1" t="s">
        <v>213</v>
      </c>
      <c r="C32" s="156">
        <f>+'GA Analysis 2016'!$C$36</f>
        <v>153693718</v>
      </c>
      <c r="D32" s="156"/>
      <c r="E32" s="104"/>
    </row>
    <row r="33" spans="1:5" s="246" customFormat="1" x14ac:dyDescent="0.25">
      <c r="A33" s="273"/>
      <c r="B33" s="1" t="s">
        <v>212</v>
      </c>
      <c r="C33" s="156">
        <f>+'GA Analysis 2016'!$D$36</f>
        <v>171931072</v>
      </c>
      <c r="D33" s="1"/>
      <c r="E33" s="104"/>
    </row>
    <row r="34" spans="1:5" s="246" customFormat="1" x14ac:dyDescent="0.25">
      <c r="A34" s="273"/>
      <c r="B34" s="1" t="s">
        <v>303</v>
      </c>
      <c r="C34" s="157">
        <f>+C33-C32</f>
        <v>18237354</v>
      </c>
      <c r="D34" s="158">
        <f>+C28</f>
        <v>9.4710000000000003E-2</v>
      </c>
      <c r="E34" s="159">
        <f>+C34*D34</f>
        <v>1727259.79734</v>
      </c>
    </row>
    <row r="35" spans="1:5" s="246" customFormat="1" x14ac:dyDescent="0.25">
      <c r="A35" s="273"/>
      <c r="B35" s="1"/>
      <c r="C35" s="1"/>
      <c r="D35" s="1"/>
      <c r="E35" s="104"/>
    </row>
    <row r="36" spans="1:5" s="246" customFormat="1" x14ac:dyDescent="0.25">
      <c r="A36" s="273"/>
      <c r="B36" s="1" t="s">
        <v>305</v>
      </c>
      <c r="C36" s="2"/>
      <c r="D36" s="2"/>
      <c r="E36" s="161">
        <f>+E30+E34</f>
        <v>4569056.6431599986</v>
      </c>
    </row>
    <row r="37" spans="1:5" s="246" customFormat="1" x14ac:dyDescent="0.25">
      <c r="A37" s="273"/>
      <c r="B37" s="1" t="s">
        <v>334</v>
      </c>
      <c r="C37" s="2"/>
      <c r="D37" s="2"/>
      <c r="E37" s="161">
        <f>E21-E36</f>
        <v>146054.35684000142</v>
      </c>
    </row>
    <row r="38" spans="1:5" s="246" customFormat="1" ht="15.75" thickBot="1" x14ac:dyDescent="0.3">
      <c r="A38" s="273"/>
      <c r="B38" s="1" t="s">
        <v>359</v>
      </c>
      <c r="C38" s="2"/>
      <c r="D38" s="2"/>
      <c r="E38" s="375">
        <f>E36+E37</f>
        <v>4715111</v>
      </c>
    </row>
    <row r="39" spans="1:5" s="246" customFormat="1" ht="15.75" thickTop="1" x14ac:dyDescent="0.25">
      <c r="A39" s="273"/>
      <c r="B39" s="267"/>
      <c r="C39" s="247"/>
      <c r="D39" s="268"/>
    </row>
    <row r="40" spans="1:5" s="246" customFormat="1" x14ac:dyDescent="0.25">
      <c r="A40" s="273" t="s">
        <v>307</v>
      </c>
      <c r="B40" s="2" t="s">
        <v>216</v>
      </c>
      <c r="C40" s="243" t="s">
        <v>239</v>
      </c>
      <c r="D40" s="243" t="s">
        <v>233</v>
      </c>
      <c r="E40" s="243" t="s">
        <v>308</v>
      </c>
    </row>
    <row r="41" spans="1:5" s="246" customFormat="1" x14ac:dyDescent="0.25">
      <c r="A41" s="269"/>
      <c r="B41" s="244" t="s">
        <v>361</v>
      </c>
      <c r="C41" s="254">
        <v>217707368</v>
      </c>
      <c r="D41" s="255">
        <v>17310560</v>
      </c>
      <c r="E41" s="253">
        <v>7.9512972661540796E-2</v>
      </c>
    </row>
    <row r="42" spans="1:5" s="246" customFormat="1" ht="30" x14ac:dyDescent="0.25">
      <c r="A42" s="269"/>
      <c r="B42" s="256" t="s">
        <v>350</v>
      </c>
      <c r="C42" s="257">
        <f>+C41</f>
        <v>217707368</v>
      </c>
      <c r="D42" s="237">
        <f>+C42*E42</f>
        <v>24115445.153359998</v>
      </c>
      <c r="E42" s="271">
        <v>0.11076999999999999</v>
      </c>
    </row>
    <row r="43" spans="1:5" s="246" customFormat="1" x14ac:dyDescent="0.25">
      <c r="A43" s="269"/>
      <c r="B43" s="178" t="s">
        <v>363</v>
      </c>
      <c r="C43" s="178"/>
      <c r="D43" s="236">
        <f>+D41-D42</f>
        <v>-6804885.153359998</v>
      </c>
      <c r="E43" s="244"/>
    </row>
    <row r="44" spans="1:5" s="246" customFormat="1" x14ac:dyDescent="0.25">
      <c r="A44" s="269"/>
      <c r="B44" s="267"/>
      <c r="C44" s="247"/>
      <c r="D44" s="268"/>
    </row>
    <row r="45" spans="1:5" s="246" customFormat="1" x14ac:dyDescent="0.25">
      <c r="A45" s="274" t="s">
        <v>215</v>
      </c>
      <c r="B45" s="269" t="s">
        <v>300</v>
      </c>
      <c r="C45" s="247"/>
      <c r="D45" s="268"/>
    </row>
    <row r="46" spans="1:5" x14ac:dyDescent="0.25">
      <c r="A46" s="178"/>
      <c r="D46" s="245"/>
    </row>
    <row r="47" spans="1:5" x14ac:dyDescent="0.25">
      <c r="A47" s="178"/>
      <c r="B47" s="251"/>
      <c r="C47" s="250"/>
      <c r="D47" s="245"/>
    </row>
    <row r="48" spans="1:5" ht="30" x14ac:dyDescent="0.25">
      <c r="A48" s="178"/>
      <c r="B48" s="249" t="s">
        <v>364</v>
      </c>
      <c r="C48" s="250">
        <v>-3999046</v>
      </c>
      <c r="D48" s="245" t="s">
        <v>71</v>
      </c>
    </row>
    <row r="49" spans="1:6" ht="30" x14ac:dyDescent="0.25">
      <c r="B49" s="249" t="s">
        <v>365</v>
      </c>
      <c r="C49" s="250">
        <f>D74</f>
        <v>-971702.54090000317</v>
      </c>
      <c r="D49" s="245" t="s">
        <v>72</v>
      </c>
    </row>
    <row r="50" spans="1:6" x14ac:dyDescent="0.25">
      <c r="B50" s="249" t="s">
        <v>336</v>
      </c>
      <c r="C50" s="266">
        <f>C48+C49</f>
        <v>-4970748.5409000032</v>
      </c>
      <c r="D50" s="245"/>
    </row>
    <row r="51" spans="1:6" x14ac:dyDescent="0.25">
      <c r="C51" s="252"/>
    </row>
    <row r="52" spans="1:6" x14ac:dyDescent="0.25">
      <c r="A52" s="272" t="s">
        <v>338</v>
      </c>
      <c r="B52" s="178" t="s">
        <v>343</v>
      </c>
      <c r="C52" s="252"/>
    </row>
    <row r="53" spans="1:6" x14ac:dyDescent="0.25">
      <c r="A53" s="248"/>
      <c r="B53" s="178"/>
      <c r="C53" s="342" t="s">
        <v>201</v>
      </c>
      <c r="D53" s="243" t="s">
        <v>202</v>
      </c>
      <c r="E53" s="243" t="s">
        <v>203</v>
      </c>
    </row>
    <row r="54" spans="1:6" x14ac:dyDescent="0.25">
      <c r="B54" s="244" t="s">
        <v>344</v>
      </c>
      <c r="C54" s="343">
        <v>19929942</v>
      </c>
      <c r="D54" s="343">
        <v>15930896.142840002</v>
      </c>
      <c r="E54" s="377">
        <f>D54-C54</f>
        <v>-3999045.8571599983</v>
      </c>
    </row>
    <row r="55" spans="1:6" x14ac:dyDescent="0.25">
      <c r="C55" s="343"/>
      <c r="D55" s="343"/>
      <c r="E55" s="343"/>
    </row>
    <row r="56" spans="1:6" ht="15" customHeight="1" x14ac:dyDescent="0.25">
      <c r="B56" s="394" t="s">
        <v>357</v>
      </c>
      <c r="C56" s="394"/>
      <c r="D56" s="394"/>
      <c r="E56" s="394"/>
      <c r="F56" s="394"/>
    </row>
    <row r="57" spans="1:6" x14ac:dyDescent="0.25">
      <c r="B57" s="394"/>
      <c r="C57" s="394"/>
      <c r="D57" s="394"/>
      <c r="E57" s="394"/>
      <c r="F57" s="394"/>
    </row>
    <row r="58" spans="1:6" x14ac:dyDescent="0.25">
      <c r="B58" s="1"/>
      <c r="C58" s="104"/>
      <c r="D58" s="288" t="s">
        <v>320</v>
      </c>
      <c r="E58" s="104"/>
      <c r="F58" s="1"/>
    </row>
    <row r="59" spans="1:6" x14ac:dyDescent="0.25">
      <c r="B59" s="1" t="s">
        <v>353</v>
      </c>
      <c r="C59" s="155">
        <v>0.11019312116692831</v>
      </c>
      <c r="D59" s="31"/>
      <c r="E59" s="104"/>
      <c r="F59" s="1"/>
    </row>
    <row r="60" spans="1:6" x14ac:dyDescent="0.25">
      <c r="B60" s="1" t="s">
        <v>211</v>
      </c>
      <c r="C60" s="155">
        <v>8.7080000000000005E-2</v>
      </c>
      <c r="D60" s="1"/>
      <c r="E60" s="104"/>
      <c r="F60" s="1"/>
    </row>
    <row r="61" spans="1:6" x14ac:dyDescent="0.25">
      <c r="B61" s="1" t="s">
        <v>304</v>
      </c>
      <c r="C61" s="155">
        <f>C60-C59</f>
        <v>-2.3113121166928305E-2</v>
      </c>
      <c r="D61" s="156">
        <v>180863758</v>
      </c>
      <c r="E61" s="334">
        <f>+C61*D61</f>
        <v>-4180325.9533599988</v>
      </c>
      <c r="F61" s="1"/>
    </row>
    <row r="62" spans="1:6" x14ac:dyDescent="0.25">
      <c r="B62" s="1"/>
      <c r="C62" s="155"/>
      <c r="D62" s="156"/>
      <c r="E62" s="104"/>
      <c r="F62" s="1"/>
    </row>
    <row r="63" spans="1:6" x14ac:dyDescent="0.25">
      <c r="B63" s="1" t="s">
        <v>354</v>
      </c>
      <c r="C63" s="156">
        <v>180863758</v>
      </c>
      <c r="D63" s="156"/>
      <c r="E63" s="104"/>
      <c r="F63" s="1"/>
    </row>
    <row r="64" spans="1:6" x14ac:dyDescent="0.25">
      <c r="B64" s="1" t="s">
        <v>355</v>
      </c>
      <c r="C64" s="156">
        <v>182945523</v>
      </c>
      <c r="D64" s="1"/>
      <c r="E64" s="104"/>
      <c r="F64" s="1"/>
    </row>
    <row r="65" spans="1:6" x14ac:dyDescent="0.25">
      <c r="B65" s="1" t="s">
        <v>303</v>
      </c>
      <c r="C65" s="157">
        <f>+C64-C63</f>
        <v>2081765</v>
      </c>
      <c r="D65" s="158">
        <f>+C60</f>
        <v>8.7080000000000005E-2</v>
      </c>
      <c r="E65" s="334">
        <f>+C65*D65</f>
        <v>181280.0962</v>
      </c>
      <c r="F65" s="1"/>
    </row>
    <row r="66" spans="1:6" x14ac:dyDescent="0.25">
      <c r="B66" s="1"/>
      <c r="C66" s="1"/>
      <c r="D66" s="1"/>
      <c r="E66" s="104"/>
      <c r="F66" s="1"/>
    </row>
    <row r="67" spans="1:6" ht="15.75" thickBot="1" x14ac:dyDescent="0.3">
      <c r="B67" s="1" t="s">
        <v>305</v>
      </c>
      <c r="C67" s="2"/>
      <c r="D67" s="2"/>
      <c r="E67" s="373">
        <f>+E61+E65</f>
        <v>-3999045.8571599987</v>
      </c>
      <c r="F67" s="1"/>
    </row>
    <row r="68" spans="1:6" ht="15.75" thickTop="1" x14ac:dyDescent="0.25">
      <c r="B68" s="1" t="s">
        <v>334</v>
      </c>
      <c r="C68" s="2"/>
      <c r="D68" s="2"/>
      <c r="E68" s="161">
        <f>E54-E67</f>
        <v>0</v>
      </c>
      <c r="F68" s="1"/>
    </row>
    <row r="69" spans="1:6" x14ac:dyDescent="0.25">
      <c r="B69" s="1" t="s">
        <v>356</v>
      </c>
      <c r="C69" s="2"/>
      <c r="D69" s="2"/>
      <c r="E69" s="374">
        <f>E67+E68</f>
        <v>-3999045.8571599987</v>
      </c>
      <c r="F69" s="1"/>
    </row>
    <row r="70" spans="1:6" x14ac:dyDescent="0.25">
      <c r="A70" s="245"/>
    </row>
    <row r="71" spans="1:6" x14ac:dyDescent="0.25">
      <c r="A71" s="272" t="s">
        <v>339</v>
      </c>
      <c r="B71" s="178" t="s">
        <v>342</v>
      </c>
      <c r="C71" s="245" t="s">
        <v>239</v>
      </c>
      <c r="D71" s="245" t="s">
        <v>233</v>
      </c>
      <c r="E71" s="245" t="s">
        <v>249</v>
      </c>
    </row>
    <row r="72" spans="1:6" x14ac:dyDescent="0.25">
      <c r="A72" s="245"/>
      <c r="B72" s="244" t="s">
        <v>288</v>
      </c>
      <c r="C72" s="163">
        <v>221167055</v>
      </c>
      <c r="D72" s="237">
        <v>24773701</v>
      </c>
      <c r="E72" s="251">
        <v>0.11201352299057379</v>
      </c>
    </row>
    <row r="73" spans="1:6" ht="30" x14ac:dyDescent="0.25">
      <c r="A73" s="245"/>
      <c r="B73" s="256" t="s">
        <v>291</v>
      </c>
      <c r="C73" s="257">
        <f>+C72</f>
        <v>221167055</v>
      </c>
      <c r="D73" s="237">
        <f>+C73*E73</f>
        <v>23801998.459099997</v>
      </c>
      <c r="E73" s="251">
        <v>0.10761999999999999</v>
      </c>
    </row>
    <row r="74" spans="1:6" x14ac:dyDescent="0.25">
      <c r="A74" s="245"/>
      <c r="B74" s="178" t="s">
        <v>289</v>
      </c>
      <c r="D74" s="376">
        <f>D73-D72</f>
        <v>-971702.54090000317</v>
      </c>
    </row>
    <row r="75" spans="1:6" x14ac:dyDescent="0.25">
      <c r="A75" s="245"/>
    </row>
    <row r="76" spans="1:6" x14ac:dyDescent="0.25">
      <c r="A76" s="272" t="s">
        <v>218</v>
      </c>
      <c r="B76" s="269" t="s">
        <v>274</v>
      </c>
      <c r="C76" s="247"/>
      <c r="D76" s="245"/>
    </row>
    <row r="77" spans="1:6" x14ac:dyDescent="0.25">
      <c r="B77" s="1" t="s">
        <v>258</v>
      </c>
      <c r="C77" s="1"/>
      <c r="D77" s="1"/>
      <c r="E77" s="1"/>
      <c r="F77" s="152"/>
    </row>
    <row r="78" spans="1:6" x14ac:dyDescent="0.25">
      <c r="A78" s="245"/>
      <c r="B78" s="1" t="s">
        <v>259</v>
      </c>
      <c r="C78" s="1"/>
      <c r="D78" s="1"/>
      <c r="E78" s="1"/>
      <c r="F78" s="152"/>
    </row>
    <row r="79" spans="1:6" x14ac:dyDescent="0.25">
      <c r="B79" s="1" t="s">
        <v>260</v>
      </c>
      <c r="C79" s="1"/>
      <c r="D79" s="1"/>
      <c r="E79" s="1"/>
      <c r="F79" s="152"/>
    </row>
    <row r="80" spans="1:6" x14ac:dyDescent="0.25">
      <c r="B80" s="1" t="s">
        <v>261</v>
      </c>
      <c r="C80" s="1"/>
      <c r="D80" s="1"/>
      <c r="E80" s="1"/>
      <c r="F80" s="152"/>
    </row>
    <row r="81" spans="1:6" x14ac:dyDescent="0.25">
      <c r="B81" s="1" t="s">
        <v>262</v>
      </c>
      <c r="C81" s="1"/>
      <c r="D81" s="1"/>
      <c r="E81" s="1"/>
      <c r="F81" s="152"/>
    </row>
    <row r="82" spans="1:6" x14ac:dyDescent="0.25">
      <c r="B82" s="1" t="s">
        <v>263</v>
      </c>
      <c r="C82" s="1"/>
      <c r="D82" s="1"/>
      <c r="E82" s="1"/>
      <c r="F82" s="152"/>
    </row>
    <row r="83" spans="1:6" x14ac:dyDescent="0.25">
      <c r="B83" s="1" t="s">
        <v>264</v>
      </c>
      <c r="C83" s="1"/>
      <c r="D83" s="1"/>
      <c r="E83" s="1"/>
      <c r="F83" s="152"/>
    </row>
    <row r="84" spans="1:6" x14ac:dyDescent="0.25">
      <c r="B84" s="1"/>
      <c r="C84" s="1"/>
      <c r="D84" s="1"/>
      <c r="E84" s="1"/>
      <c r="F84" s="152"/>
    </row>
    <row r="85" spans="1:6" x14ac:dyDescent="0.25">
      <c r="B85" s="1"/>
      <c r="C85" s="152" t="s">
        <v>268</v>
      </c>
      <c r="D85" s="330" t="s">
        <v>267</v>
      </c>
      <c r="E85" s="1"/>
      <c r="F85" s="152"/>
    </row>
    <row r="86" spans="1:6" x14ac:dyDescent="0.25">
      <c r="B86" s="1" t="s">
        <v>265</v>
      </c>
      <c r="C86" s="104">
        <v>2032547</v>
      </c>
      <c r="D86" s="150">
        <f>-C86</f>
        <v>-2032547</v>
      </c>
      <c r="E86" s="1"/>
      <c r="F86" s="152"/>
    </row>
    <row r="87" spans="1:6" x14ac:dyDescent="0.25">
      <c r="B87" s="1" t="s">
        <v>266</v>
      </c>
      <c r="C87" s="104">
        <v>1756632</v>
      </c>
      <c r="D87" s="150">
        <f>-C87</f>
        <v>-1756632</v>
      </c>
      <c r="E87" s="1"/>
      <c r="F87" s="152"/>
    </row>
    <row r="88" spans="1:6" x14ac:dyDescent="0.25">
      <c r="B88" s="1" t="s">
        <v>205</v>
      </c>
      <c r="C88" s="159">
        <f>+C86-C87</f>
        <v>275915</v>
      </c>
      <c r="D88" s="159">
        <f>+D86-D87</f>
        <v>-275915</v>
      </c>
      <c r="E88" s="1"/>
      <c r="F88" s="152"/>
    </row>
    <row r="90" spans="1:6" x14ac:dyDescent="0.25">
      <c r="A90" s="272" t="s">
        <v>219</v>
      </c>
      <c r="B90" s="2" t="s">
        <v>335</v>
      </c>
      <c r="C90" s="1"/>
    </row>
    <row r="91" spans="1:6" x14ac:dyDescent="0.25">
      <c r="B91" s="384" t="s">
        <v>329</v>
      </c>
      <c r="C91" s="385"/>
    </row>
    <row r="92" spans="1:6" x14ac:dyDescent="0.25">
      <c r="B92" s="327" t="s">
        <v>333</v>
      </c>
      <c r="C92" s="344">
        <v>431030538.81491101</v>
      </c>
    </row>
    <row r="93" spans="1:6" x14ac:dyDescent="0.25">
      <c r="B93" s="328" t="s">
        <v>328</v>
      </c>
      <c r="C93" s="345">
        <v>431099069.83608997</v>
      </c>
    </row>
    <row r="94" spans="1:6" x14ac:dyDescent="0.25">
      <c r="B94" s="329" t="s">
        <v>203</v>
      </c>
      <c r="C94" s="346">
        <v>-68531.0211789608</v>
      </c>
    </row>
  </sheetData>
  <mergeCells count="2">
    <mergeCell ref="B91:C91"/>
    <mergeCell ref="B56:F57"/>
  </mergeCells>
  <pageMargins left="0.70866141732283472" right="0.70866141732283472" top="0.74803149606299213" bottom="0.74803149606299213" header="0.31496062992125984" footer="0.31496062992125984"/>
  <pageSetup scale="78" fitToHeight="2" orientation="portrait" r:id="rId1"/>
  <headerFooter>
    <oddFooter>&amp;L&amp;"Arial Narrow,Regular"&amp;9&amp;Z&amp;F&amp;R&amp;A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topLeftCell="A45" zoomScale="85" zoomScaleNormal="85" workbookViewId="0">
      <selection activeCell="O66" sqref="O66"/>
    </sheetView>
  </sheetViews>
  <sheetFormatPr defaultRowHeight="15" x14ac:dyDescent="0.25"/>
  <cols>
    <col min="1" max="1" width="7.85546875" customWidth="1"/>
    <col min="2" max="2" width="34.28515625" customWidth="1"/>
    <col min="3" max="3" width="15.7109375" bestFit="1" customWidth="1"/>
    <col min="4" max="4" width="14" bestFit="1" customWidth="1"/>
    <col min="5" max="5" width="13.28515625" customWidth="1"/>
    <col min="6" max="6" width="15.7109375" bestFit="1" customWidth="1"/>
    <col min="7" max="7" width="14" bestFit="1" customWidth="1"/>
    <col min="8" max="8" width="11" bestFit="1" customWidth="1"/>
    <col min="9" max="9" width="15.5703125" customWidth="1"/>
    <col min="10" max="10" width="14" bestFit="1" customWidth="1"/>
    <col min="11" max="11" width="11" bestFit="1" customWidth="1"/>
    <col min="12" max="12" width="15.42578125" customWidth="1"/>
    <col min="13" max="13" width="14" bestFit="1" customWidth="1"/>
    <col min="14" max="14" width="11" bestFit="1" customWidth="1"/>
    <col min="15" max="15" width="14.28515625" bestFit="1" customWidth="1"/>
    <col min="16" max="16" width="19.5703125" bestFit="1" customWidth="1"/>
    <col min="17" max="17" width="11" bestFit="1" customWidth="1"/>
    <col min="18" max="18" width="17.140625" customWidth="1"/>
    <col min="19" max="19" width="14.42578125" customWidth="1"/>
    <col min="20" max="20" width="15" bestFit="1" customWidth="1"/>
    <col min="21" max="21" width="14.28515625" bestFit="1" customWidth="1"/>
    <col min="22" max="23" width="14.28515625" customWidth="1"/>
    <col min="24" max="24" width="2.28515625" customWidth="1"/>
    <col min="25" max="25" width="15.5703125" customWidth="1"/>
    <col min="34" max="34" width="14.85546875" customWidth="1"/>
  </cols>
  <sheetData>
    <row r="1" spans="1:34" x14ac:dyDescent="0.25">
      <c r="A1" s="46" t="s">
        <v>55</v>
      </c>
      <c r="B1" s="4"/>
      <c r="C1" s="46"/>
      <c r="D1" s="46"/>
      <c r="E1" s="46"/>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25">
      <c r="A2" s="4"/>
      <c r="B2" s="4"/>
      <c r="C2" s="4"/>
      <c r="D2" s="4"/>
      <c r="E2" s="4"/>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x14ac:dyDescent="0.25">
      <c r="A3" s="4"/>
      <c r="B3" s="4" t="s">
        <v>33</v>
      </c>
      <c r="C3" s="25"/>
      <c r="D3" s="15"/>
      <c r="E3" s="15"/>
      <c r="F3" s="83"/>
      <c r="G3" s="4"/>
      <c r="H3" s="4"/>
      <c r="I3" s="4"/>
      <c r="J3" s="4"/>
      <c r="K3" s="4"/>
      <c r="L3" s="4"/>
      <c r="M3" s="4"/>
      <c r="N3" s="4"/>
      <c r="O3" s="1"/>
      <c r="P3" s="1"/>
      <c r="Q3" s="1"/>
      <c r="R3" s="1"/>
      <c r="S3" s="1"/>
      <c r="T3" s="1"/>
      <c r="U3" s="1"/>
      <c r="V3" s="1"/>
      <c r="W3" s="1"/>
      <c r="X3" s="1"/>
      <c r="Y3" s="1"/>
      <c r="Z3" s="1"/>
      <c r="AA3" s="1"/>
      <c r="AB3" s="1"/>
      <c r="AC3" s="1"/>
      <c r="AD3" s="1"/>
      <c r="AE3" s="1"/>
      <c r="AF3" s="1"/>
      <c r="AG3" s="1"/>
      <c r="AH3" s="1"/>
    </row>
    <row r="4" spans="1:34" x14ac:dyDescent="0.25">
      <c r="A4" s="4"/>
      <c r="B4" s="4" t="s">
        <v>66</v>
      </c>
      <c r="C4" s="54"/>
      <c r="D4" s="15"/>
      <c r="E4" s="15"/>
      <c r="F4" s="83"/>
      <c r="G4" s="4"/>
      <c r="H4" s="4"/>
      <c r="I4" s="4"/>
      <c r="J4" s="4"/>
      <c r="K4" s="4"/>
      <c r="L4" s="4"/>
      <c r="M4" s="4"/>
      <c r="N4" s="4"/>
      <c r="O4" s="1"/>
      <c r="P4" s="1"/>
      <c r="Q4" s="1"/>
      <c r="R4" s="1"/>
      <c r="S4" s="1"/>
      <c r="T4" s="1"/>
      <c r="U4" s="1"/>
      <c r="V4" s="1"/>
      <c r="W4" s="1"/>
      <c r="X4" s="1"/>
      <c r="Y4" s="1"/>
      <c r="Z4" s="1"/>
      <c r="AA4" s="1"/>
      <c r="AB4" s="1"/>
      <c r="AC4" s="1"/>
      <c r="AD4" s="1"/>
      <c r="AE4" s="1"/>
      <c r="AF4" s="1"/>
      <c r="AG4" s="1"/>
      <c r="AH4" s="1"/>
    </row>
    <row r="5" spans="1:34" x14ac:dyDescent="0.25">
      <c r="A5" s="4"/>
      <c r="B5" s="15"/>
      <c r="C5" s="15"/>
      <c r="D5" s="15"/>
      <c r="E5" s="15"/>
      <c r="F5" s="83"/>
      <c r="G5" s="4"/>
      <c r="H5" s="4"/>
      <c r="I5" s="4"/>
      <c r="J5" s="4"/>
      <c r="K5" s="4"/>
      <c r="L5" s="4"/>
      <c r="M5" s="4"/>
      <c r="N5" s="4"/>
      <c r="O5" s="1"/>
      <c r="P5" s="1"/>
      <c r="Q5" s="1"/>
      <c r="R5" s="1"/>
      <c r="S5" s="1"/>
      <c r="T5" s="1"/>
      <c r="U5" s="1"/>
      <c r="V5" s="1"/>
      <c r="W5" s="1"/>
      <c r="X5" s="1"/>
      <c r="Y5" s="1"/>
      <c r="Z5" s="1"/>
      <c r="AA5" s="1"/>
      <c r="AB5" s="1"/>
      <c r="AC5" s="1"/>
      <c r="AD5" s="1"/>
      <c r="AE5" s="1"/>
      <c r="AF5" s="1"/>
      <c r="AG5" s="1"/>
      <c r="AH5" s="1"/>
    </row>
    <row r="6" spans="1:34" x14ac:dyDescent="0.25">
      <c r="A6" s="4" t="s">
        <v>34</v>
      </c>
      <c r="B6" s="15" t="s">
        <v>153</v>
      </c>
      <c r="C6" s="26" t="s">
        <v>331</v>
      </c>
      <c r="D6" s="340"/>
      <c r="E6" s="340"/>
      <c r="F6" s="83"/>
      <c r="G6" s="4"/>
      <c r="H6" s="4"/>
      <c r="I6" s="4"/>
      <c r="J6" s="4"/>
      <c r="K6" s="4"/>
      <c r="L6" s="4"/>
      <c r="M6" s="4"/>
      <c r="N6" s="4"/>
      <c r="O6" s="1"/>
      <c r="P6" s="1"/>
      <c r="Q6" s="1"/>
      <c r="R6" s="1"/>
      <c r="S6" s="1"/>
      <c r="T6" s="1"/>
      <c r="U6" s="1"/>
      <c r="V6" s="1"/>
      <c r="W6" s="1"/>
      <c r="X6" s="1"/>
      <c r="Y6" s="1"/>
      <c r="Z6" s="1"/>
      <c r="AA6" s="1"/>
      <c r="AB6" s="1"/>
      <c r="AC6" s="1"/>
      <c r="AD6" s="1"/>
      <c r="AE6" s="1"/>
      <c r="AF6" s="1"/>
      <c r="AG6" s="1"/>
      <c r="AH6" s="1"/>
    </row>
    <row r="7" spans="1:34" x14ac:dyDescent="0.25">
      <c r="A7" s="4"/>
      <c r="B7" s="15"/>
      <c r="C7" s="15"/>
      <c r="D7" s="15"/>
      <c r="E7" s="15"/>
      <c r="F7" s="4"/>
      <c r="G7" s="4"/>
      <c r="H7" s="4"/>
      <c r="I7" s="4"/>
      <c r="J7" s="4"/>
      <c r="K7" s="4"/>
      <c r="L7" s="4"/>
      <c r="M7" s="4"/>
      <c r="N7" s="4"/>
      <c r="O7" s="1"/>
      <c r="P7" s="1"/>
      <c r="Q7" s="1"/>
      <c r="R7" s="1"/>
      <c r="S7" s="1"/>
      <c r="T7" s="1"/>
      <c r="U7" s="1"/>
      <c r="V7" s="1"/>
      <c r="W7" s="1"/>
      <c r="X7" s="1"/>
      <c r="Y7" s="1"/>
      <c r="Z7" s="1"/>
      <c r="AA7" s="1"/>
      <c r="AB7" s="1"/>
      <c r="AC7" s="1"/>
      <c r="AD7" s="1"/>
      <c r="AE7" s="1"/>
      <c r="AF7" s="1"/>
      <c r="AG7" s="1"/>
      <c r="AH7" s="1"/>
    </row>
    <row r="8" spans="1:34" x14ac:dyDescent="0.25">
      <c r="A8" s="4"/>
      <c r="B8" s="15"/>
      <c r="C8" s="15"/>
      <c r="D8" s="15"/>
      <c r="E8" s="15"/>
      <c r="F8" s="4"/>
      <c r="G8" s="4"/>
      <c r="H8" s="4"/>
      <c r="I8" s="4"/>
      <c r="J8" s="4"/>
      <c r="K8" s="4"/>
      <c r="L8" s="4"/>
      <c r="M8" s="4"/>
      <c r="N8" s="4"/>
      <c r="O8" s="1"/>
      <c r="P8" s="1"/>
      <c r="Q8" s="1"/>
      <c r="R8" s="1"/>
      <c r="S8" s="1"/>
      <c r="T8" s="1"/>
      <c r="U8" s="1"/>
      <c r="V8" s="1"/>
      <c r="W8" s="1"/>
      <c r="X8" s="1"/>
      <c r="Y8" s="1"/>
      <c r="Z8" s="1"/>
      <c r="AA8" s="1"/>
      <c r="AB8" s="1"/>
      <c r="AC8" s="1"/>
      <c r="AD8" s="1"/>
      <c r="AE8" s="1"/>
      <c r="AF8" s="1"/>
      <c r="AG8" s="1"/>
      <c r="AH8" s="1"/>
    </row>
    <row r="9" spans="1:34" x14ac:dyDescent="0.25">
      <c r="A9" s="4" t="s">
        <v>35</v>
      </c>
      <c r="B9" s="24" t="s">
        <v>91</v>
      </c>
      <c r="C9" s="23"/>
      <c r="D9" s="23"/>
      <c r="E9" s="23"/>
      <c r="F9" s="23"/>
      <c r="G9" s="23"/>
      <c r="H9" s="23"/>
      <c r="I9" s="23"/>
      <c r="J9" s="23"/>
      <c r="K9" s="23"/>
      <c r="L9" s="23"/>
      <c r="M9" s="23"/>
      <c r="N9" s="23"/>
      <c r="O9" s="1"/>
      <c r="P9" s="1"/>
      <c r="Q9" s="83"/>
      <c r="R9" s="83"/>
      <c r="S9" s="83"/>
      <c r="T9" s="83"/>
      <c r="U9" s="83"/>
      <c r="V9" s="83"/>
      <c r="W9" s="83"/>
      <c r="X9" s="83"/>
      <c r="Y9" s="83"/>
      <c r="Z9" s="83"/>
      <c r="AA9" s="83"/>
      <c r="AB9" s="83"/>
      <c r="AC9" s="83"/>
      <c r="AD9" s="83"/>
      <c r="AE9" s="1"/>
      <c r="AF9" s="1"/>
      <c r="AG9" s="1"/>
      <c r="AH9" s="1"/>
    </row>
    <row r="10" spans="1:34" x14ac:dyDescent="0.25">
      <c r="A10" s="4"/>
      <c r="B10" s="383" t="s">
        <v>26</v>
      </c>
      <c r="C10" s="383"/>
      <c r="D10" s="196"/>
      <c r="E10" s="196"/>
      <c r="F10" s="26">
        <v>2015</v>
      </c>
      <c r="G10" s="26"/>
      <c r="H10" s="26"/>
      <c r="I10" s="26"/>
      <c r="J10" s="26"/>
      <c r="K10" s="26"/>
      <c r="L10" s="26"/>
      <c r="M10" s="134"/>
      <c r="N10" s="134"/>
      <c r="O10" s="384"/>
      <c r="P10" s="385"/>
      <c r="Q10" s="83"/>
      <c r="R10" s="83"/>
      <c r="S10" s="83"/>
      <c r="T10" s="83"/>
      <c r="U10" s="83"/>
      <c r="V10" s="83"/>
      <c r="W10" s="83"/>
      <c r="X10" s="83"/>
      <c r="Y10" s="83"/>
      <c r="Z10" s="83"/>
      <c r="AA10" s="83"/>
      <c r="AB10" s="83"/>
      <c r="AC10" s="83"/>
      <c r="AD10" s="83"/>
      <c r="AE10" s="1"/>
      <c r="AF10" s="1"/>
      <c r="AG10" s="1"/>
      <c r="AH10" s="1"/>
    </row>
    <row r="11" spans="1:34" ht="15.75" thickBot="1" x14ac:dyDescent="0.3">
      <c r="A11" s="4"/>
      <c r="B11" s="5" t="s">
        <v>3</v>
      </c>
      <c r="C11" s="5" t="s">
        <v>2</v>
      </c>
      <c r="D11" s="125"/>
      <c r="E11" s="125"/>
      <c r="F11" s="116">
        <f>F12+F13</f>
        <v>8575196237.4699993</v>
      </c>
      <c r="G11" s="116"/>
      <c r="H11" s="116"/>
      <c r="I11" s="116">
        <f>I12+I13</f>
        <v>0</v>
      </c>
      <c r="J11" s="116"/>
      <c r="K11" s="116"/>
      <c r="L11" s="116">
        <f>L12+L13</f>
        <v>0</v>
      </c>
      <c r="M11" s="135"/>
      <c r="N11" s="135"/>
      <c r="O11" s="6" t="s">
        <v>0</v>
      </c>
      <c r="P11" s="7">
        <v>1</v>
      </c>
      <c r="Q11" s="83"/>
      <c r="R11" s="83"/>
      <c r="S11" s="83"/>
      <c r="T11" s="83"/>
      <c r="U11" s="83"/>
      <c r="V11" s="83"/>
      <c r="W11" s="83"/>
      <c r="X11" s="83"/>
      <c r="Y11" s="83"/>
      <c r="Z11" s="83"/>
      <c r="AA11" s="83"/>
      <c r="AB11" s="83"/>
      <c r="AC11" s="83"/>
      <c r="AD11" s="83"/>
      <c r="AE11" s="1"/>
      <c r="AF11" s="1"/>
      <c r="AG11" s="1"/>
      <c r="AH11" s="1"/>
    </row>
    <row r="12" spans="1:34" x14ac:dyDescent="0.25">
      <c r="A12" s="1"/>
      <c r="B12" s="5" t="s">
        <v>7</v>
      </c>
      <c r="C12" s="5" t="s">
        <v>1</v>
      </c>
      <c r="D12" s="126"/>
      <c r="E12" s="126"/>
      <c r="F12" s="117">
        <v>4028248318.52</v>
      </c>
      <c r="G12" s="117"/>
      <c r="H12" s="117"/>
      <c r="I12" s="117"/>
      <c r="J12" s="117"/>
      <c r="K12" s="117"/>
      <c r="L12" s="117"/>
      <c r="M12" s="117"/>
      <c r="N12" s="117"/>
      <c r="O12" s="6" t="s">
        <v>0</v>
      </c>
      <c r="P12" s="8">
        <f>IFERROR(F12/$F$11,0)</f>
        <v>0.46975581747252032</v>
      </c>
      <c r="Q12" s="1"/>
      <c r="R12" s="1"/>
      <c r="S12" s="1"/>
      <c r="T12" s="1"/>
      <c r="U12" s="1"/>
      <c r="V12" s="1"/>
      <c r="W12" s="1"/>
      <c r="X12" s="1"/>
      <c r="Y12" s="1"/>
      <c r="Z12" s="1"/>
      <c r="AA12" s="1"/>
      <c r="AB12" s="1"/>
      <c r="AC12" s="1"/>
      <c r="AD12" s="1"/>
      <c r="AE12" s="1"/>
      <c r="AF12" s="1"/>
      <c r="AG12" s="1"/>
      <c r="AH12" s="1"/>
    </row>
    <row r="13" spans="1:34" ht="15.75" thickBot="1" x14ac:dyDescent="0.3">
      <c r="A13" s="1"/>
      <c r="B13" s="5" t="s">
        <v>8</v>
      </c>
      <c r="C13" s="5" t="s">
        <v>6</v>
      </c>
      <c r="D13" s="125"/>
      <c r="E13" s="125"/>
      <c r="F13" s="116">
        <f>F14+F15</f>
        <v>4546947918.9499998</v>
      </c>
      <c r="G13" s="116"/>
      <c r="H13" s="116"/>
      <c r="I13" s="116">
        <f>I14+I15</f>
        <v>0</v>
      </c>
      <c r="J13" s="116"/>
      <c r="K13" s="116"/>
      <c r="L13" s="116">
        <f>L14+L15</f>
        <v>0</v>
      </c>
      <c r="M13" s="135"/>
      <c r="N13" s="135"/>
      <c r="O13" s="6" t="s">
        <v>0</v>
      </c>
      <c r="P13" s="8">
        <f>IFERROR(F13/$F$11,0)</f>
        <v>0.53024418252747973</v>
      </c>
      <c r="Q13" s="1"/>
      <c r="R13" s="1"/>
      <c r="S13" s="1"/>
      <c r="T13" s="1"/>
      <c r="U13" s="1"/>
      <c r="V13" s="1"/>
      <c r="W13" s="1"/>
      <c r="X13" s="1"/>
      <c r="Y13" s="1"/>
      <c r="Z13" s="1"/>
      <c r="AA13" s="1"/>
      <c r="AB13" s="1"/>
      <c r="AC13" s="1"/>
      <c r="AD13" s="1"/>
      <c r="AE13" s="1"/>
      <c r="AF13" s="1"/>
      <c r="AG13" s="1"/>
      <c r="AH13" s="1"/>
    </row>
    <row r="14" spans="1:34" x14ac:dyDescent="0.25">
      <c r="A14" s="1"/>
      <c r="B14" s="5" t="s">
        <v>9</v>
      </c>
      <c r="C14" s="5" t="s">
        <v>4</v>
      </c>
      <c r="D14" s="126"/>
      <c r="E14" s="126"/>
      <c r="F14" s="117">
        <v>223213382.66999999</v>
      </c>
      <c r="G14" s="117"/>
      <c r="H14" s="117"/>
      <c r="I14" s="117"/>
      <c r="J14" s="117"/>
      <c r="K14" s="117"/>
      <c r="L14" s="117"/>
      <c r="M14" s="117"/>
      <c r="N14" s="117"/>
      <c r="O14" s="6" t="s">
        <v>0</v>
      </c>
      <c r="P14" s="8">
        <f>IFERROR(F14/$F$11,0)</f>
        <v>2.6030119485155503E-2</v>
      </c>
      <c r="Q14" s="1"/>
      <c r="R14" s="1"/>
      <c r="S14" s="1"/>
      <c r="T14" s="1"/>
      <c r="U14" s="1"/>
      <c r="V14" s="1"/>
      <c r="W14" s="1"/>
      <c r="X14" s="1"/>
      <c r="Y14" s="1"/>
      <c r="Z14" s="1"/>
      <c r="AA14" s="1"/>
      <c r="AB14" s="1"/>
      <c r="AC14" s="1"/>
      <c r="AD14" s="1"/>
      <c r="AE14" s="1"/>
      <c r="AF14" s="1"/>
      <c r="AG14" s="1"/>
      <c r="AH14" s="1"/>
    </row>
    <row r="15" spans="1:34" x14ac:dyDescent="0.25">
      <c r="A15" s="1"/>
      <c r="B15" s="5" t="s">
        <v>67</v>
      </c>
      <c r="C15" s="5" t="s">
        <v>5</v>
      </c>
      <c r="D15" s="5"/>
      <c r="E15" s="5"/>
      <c r="F15" s="118">
        <v>4323734536.2799997</v>
      </c>
      <c r="G15" s="118"/>
      <c r="H15" s="118"/>
      <c r="I15" s="118"/>
      <c r="J15" s="118"/>
      <c r="K15" s="118"/>
      <c r="L15" s="118"/>
      <c r="M15" s="118"/>
      <c r="N15" s="118"/>
      <c r="O15" s="6" t="s">
        <v>0</v>
      </c>
      <c r="P15" s="8">
        <f>IFERROR(F15/$F$11,0)</f>
        <v>0.50421406304232419</v>
      </c>
      <c r="Q15" s="1"/>
      <c r="R15" s="1"/>
      <c r="S15" s="1"/>
      <c r="T15" s="1"/>
      <c r="U15" s="1"/>
      <c r="V15" s="1"/>
      <c r="W15" s="1"/>
      <c r="X15" s="1"/>
      <c r="Y15" s="1"/>
      <c r="Z15" s="1"/>
      <c r="AA15" s="1"/>
      <c r="AB15" s="1"/>
      <c r="AC15" s="1"/>
      <c r="AD15" s="1"/>
      <c r="AE15" s="1"/>
      <c r="AF15" s="1"/>
      <c r="AG15" s="1"/>
      <c r="AH15" s="1"/>
    </row>
    <row r="16" spans="1:34" x14ac:dyDescent="0.25">
      <c r="A16" s="1"/>
      <c r="B16" s="386" t="s">
        <v>84</v>
      </c>
      <c r="C16" s="386"/>
      <c r="D16" s="386"/>
      <c r="E16" s="386"/>
      <c r="F16" s="386"/>
      <c r="G16" s="386"/>
      <c r="H16" s="386"/>
      <c r="I16" s="386"/>
      <c r="J16" s="386"/>
      <c r="K16" s="386"/>
      <c r="L16" s="386"/>
      <c r="M16" s="386"/>
      <c r="N16" s="386"/>
      <c r="O16" s="386"/>
      <c r="P16" s="386"/>
      <c r="Q16" s="1"/>
      <c r="R16" s="1"/>
      <c r="S16" s="1"/>
      <c r="T16" s="1"/>
      <c r="U16" s="1"/>
      <c r="V16" s="1"/>
      <c r="W16" s="1"/>
      <c r="X16" s="1"/>
      <c r="Y16" s="1"/>
      <c r="Z16" s="1"/>
      <c r="AA16" s="1"/>
      <c r="AB16" s="1"/>
      <c r="AC16" s="1"/>
      <c r="AD16" s="1"/>
      <c r="AE16" s="1"/>
      <c r="AF16" s="1"/>
      <c r="AG16" s="1"/>
      <c r="AH16" s="1"/>
    </row>
    <row r="17" spans="1:34" x14ac:dyDescent="0.25">
      <c r="A17" s="1"/>
      <c r="B17" s="1"/>
      <c r="C17" s="1"/>
      <c r="D17" s="1"/>
      <c r="E17" s="1"/>
      <c r="F17" s="37"/>
      <c r="G17" s="37"/>
      <c r="H17" s="37"/>
      <c r="I17" s="37"/>
      <c r="J17" s="37"/>
      <c r="K17" s="37"/>
      <c r="L17" s="37"/>
      <c r="M17" s="37"/>
      <c r="N17" s="37"/>
      <c r="O17" s="37"/>
      <c r="P17" s="1"/>
      <c r="Q17" s="1"/>
      <c r="R17" s="1"/>
      <c r="S17" s="1"/>
      <c r="T17" s="1"/>
      <c r="U17" s="1"/>
      <c r="V17" s="1"/>
      <c r="W17" s="1"/>
      <c r="X17" s="1"/>
      <c r="Y17" s="1"/>
      <c r="Z17" s="1"/>
      <c r="AA17" s="1"/>
      <c r="AB17" s="1"/>
      <c r="AC17" s="1"/>
      <c r="AD17" s="1"/>
      <c r="AE17" s="1"/>
      <c r="AF17" s="1"/>
      <c r="AG17" s="1"/>
      <c r="AH17" s="1"/>
    </row>
    <row r="18" spans="1:34" x14ac:dyDescent="0.25">
      <c r="A18" s="1" t="s">
        <v>36</v>
      </c>
      <c r="B18" s="3" t="s">
        <v>45</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1"/>
      <c r="B19" s="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1"/>
      <c r="B20" s="2" t="s">
        <v>22</v>
      </c>
      <c r="C20" s="51" t="s">
        <v>198</v>
      </c>
      <c r="D20" s="341"/>
      <c r="E20" s="127" t="s">
        <v>29</v>
      </c>
      <c r="F20" s="1"/>
      <c r="G20" s="1"/>
      <c r="H20" s="1"/>
      <c r="I20" s="83"/>
      <c r="J20" s="83"/>
      <c r="K20" s="83"/>
      <c r="L20" s="37"/>
      <c r="M20" s="37"/>
      <c r="N20" s="37"/>
      <c r="O20" s="37"/>
      <c r="P20" s="37"/>
      <c r="Q20" s="37"/>
      <c r="R20" s="37"/>
      <c r="S20" s="37"/>
      <c r="T20" s="1"/>
      <c r="U20" s="1"/>
      <c r="V20" s="1"/>
      <c r="W20" s="1"/>
      <c r="X20" s="1"/>
      <c r="Y20" s="1"/>
      <c r="Z20" s="1"/>
      <c r="AA20" s="1"/>
      <c r="AB20" s="1"/>
      <c r="AC20" s="1"/>
      <c r="AD20" s="1"/>
      <c r="AE20" s="1"/>
      <c r="AF20" s="1"/>
      <c r="AG20" s="1"/>
      <c r="AH20" s="1"/>
    </row>
    <row r="21" spans="1:34" x14ac:dyDescent="0.25">
      <c r="A21" s="1"/>
      <c r="B21" s="1"/>
      <c r="C21" s="1" t="s">
        <v>199</v>
      </c>
      <c r="D21" s="1"/>
      <c r="E21" s="1" t="s">
        <v>200</v>
      </c>
      <c r="F21" s="1"/>
      <c r="G21" s="1"/>
      <c r="H21" s="1"/>
      <c r="I21" s="83"/>
      <c r="J21" s="83"/>
      <c r="K21" s="83"/>
      <c r="L21" s="37"/>
      <c r="M21" s="37"/>
      <c r="N21" s="37"/>
      <c r="O21" s="37"/>
      <c r="P21" s="37"/>
      <c r="Q21" s="37"/>
      <c r="R21" s="37"/>
      <c r="S21" s="37"/>
      <c r="T21" s="1"/>
      <c r="U21" s="1"/>
      <c r="V21" s="1"/>
      <c r="W21" s="1"/>
      <c r="X21" s="1"/>
      <c r="Y21" s="1"/>
      <c r="Z21" s="1"/>
      <c r="AA21" s="1"/>
      <c r="AB21" s="1"/>
      <c r="AC21" s="1"/>
      <c r="AD21" s="1"/>
      <c r="AE21" s="1"/>
      <c r="AF21" s="1"/>
      <c r="AG21" s="1"/>
      <c r="AH21" s="1"/>
    </row>
    <row r="22" spans="1:34" x14ac:dyDescent="0.25">
      <c r="A22" s="1"/>
      <c r="B22" s="2" t="s">
        <v>46</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
      <c r="B23" s="38"/>
      <c r="C23" s="38"/>
      <c r="D23" s="38"/>
      <c r="E23" s="38"/>
      <c r="F23" s="38"/>
      <c r="G23" s="38"/>
      <c r="H23" s="38"/>
      <c r="I23" s="38"/>
      <c r="J23" s="38"/>
      <c r="K23" s="38"/>
      <c r="L23" s="38"/>
      <c r="M23" s="38"/>
      <c r="N23" s="38"/>
      <c r="O23" s="38"/>
      <c r="P23" s="38"/>
      <c r="Q23" s="1"/>
      <c r="R23" s="1"/>
      <c r="S23" s="1"/>
      <c r="T23" s="1"/>
      <c r="U23" s="1"/>
      <c r="V23" s="1"/>
      <c r="W23" s="1"/>
      <c r="X23" s="1"/>
      <c r="Y23" s="1"/>
      <c r="Z23" s="1"/>
      <c r="AA23" s="1"/>
      <c r="AB23" s="1"/>
      <c r="AC23" s="1"/>
      <c r="AD23" s="1"/>
      <c r="AE23" s="1"/>
      <c r="AF23" s="1"/>
      <c r="AG23" s="1"/>
      <c r="AH23" s="1"/>
    </row>
    <row r="24" spans="1:34" x14ac:dyDescent="0.25">
      <c r="A24" s="1"/>
      <c r="B24" s="38"/>
      <c r="C24" s="38"/>
      <c r="D24" s="38"/>
      <c r="E24" s="38"/>
      <c r="F24" s="38"/>
      <c r="G24" s="38"/>
      <c r="H24" s="38"/>
      <c r="I24" s="38"/>
      <c r="J24" s="38"/>
      <c r="K24" s="38"/>
      <c r="L24" s="38"/>
      <c r="M24" s="38"/>
      <c r="N24" s="38"/>
      <c r="O24" s="38"/>
      <c r="P24" s="38"/>
      <c r="Q24" s="1"/>
      <c r="R24" s="1"/>
      <c r="S24" s="1"/>
      <c r="T24" s="1"/>
      <c r="U24" s="1"/>
      <c r="V24" s="1"/>
      <c r="W24" s="1"/>
      <c r="X24" s="1"/>
      <c r="Y24" s="1"/>
      <c r="Z24" s="1"/>
      <c r="AA24" s="1"/>
      <c r="AB24" s="1"/>
      <c r="AC24" s="1"/>
      <c r="AD24" s="1"/>
      <c r="AE24" s="1"/>
      <c r="AF24" s="1"/>
      <c r="AG24" s="1"/>
      <c r="AH24" s="1"/>
    </row>
    <row r="25" spans="1:34" x14ac:dyDescent="0.25">
      <c r="A25" s="1"/>
      <c r="B25" s="38"/>
      <c r="C25" s="38"/>
      <c r="D25" s="38"/>
      <c r="E25" s="38"/>
      <c r="F25" s="38"/>
      <c r="G25" s="38"/>
      <c r="H25" s="38"/>
      <c r="I25" s="38"/>
      <c r="J25" s="38"/>
      <c r="K25" s="38"/>
      <c r="L25" s="38"/>
      <c r="M25" s="38"/>
      <c r="N25" s="38"/>
      <c r="O25" s="38"/>
      <c r="P25" s="38"/>
      <c r="Q25" s="1"/>
      <c r="R25" s="1"/>
      <c r="S25" s="1"/>
      <c r="T25" s="1"/>
      <c r="U25" s="1"/>
      <c r="V25" s="1"/>
      <c r="W25" s="1"/>
      <c r="X25" s="1"/>
      <c r="Y25" s="1"/>
      <c r="Z25" s="1"/>
      <c r="AA25" s="1"/>
      <c r="AB25" s="1"/>
      <c r="AC25" s="1"/>
      <c r="AD25" s="1"/>
      <c r="AE25" s="1"/>
      <c r="AF25" s="1"/>
      <c r="AG25" s="1"/>
      <c r="AH25" s="1"/>
    </row>
    <row r="26" spans="1:34" x14ac:dyDescent="0.25">
      <c r="A26" s="1"/>
      <c r="B26" s="38"/>
      <c r="C26" s="38"/>
      <c r="D26" s="38"/>
      <c r="E26" s="38"/>
      <c r="F26" s="38"/>
      <c r="G26" s="38"/>
      <c r="H26" s="38"/>
      <c r="I26" s="38"/>
      <c r="J26" s="38"/>
      <c r="K26" s="38"/>
      <c r="L26" s="38"/>
      <c r="M26" s="38"/>
      <c r="N26" s="38"/>
      <c r="O26" s="38"/>
      <c r="P26" s="38"/>
      <c r="Q26" s="1"/>
      <c r="R26" s="1"/>
      <c r="S26" s="1"/>
      <c r="T26" s="1"/>
      <c r="U26" s="1"/>
      <c r="V26" s="1"/>
      <c r="W26" s="1"/>
      <c r="X26" s="1"/>
      <c r="Y26" s="1"/>
      <c r="Z26" s="1"/>
      <c r="AA26" s="1"/>
      <c r="AB26" s="1"/>
      <c r="AC26" s="1"/>
      <c r="AD26" s="1"/>
      <c r="AE26" s="1"/>
      <c r="AF26" s="1"/>
      <c r="AG26" s="1"/>
      <c r="AH26" s="1"/>
    </row>
    <row r="27" spans="1:34" x14ac:dyDescent="0.25">
      <c r="A27" s="1"/>
      <c r="B27" s="38"/>
      <c r="C27" s="38"/>
      <c r="D27" s="38"/>
      <c r="E27" s="38"/>
      <c r="F27" s="38"/>
      <c r="G27" s="38"/>
      <c r="H27" s="38"/>
      <c r="I27" s="38"/>
      <c r="J27" s="38"/>
      <c r="K27" s="38"/>
      <c r="L27" s="38"/>
      <c r="M27" s="38"/>
      <c r="N27" s="38"/>
      <c r="O27" s="38"/>
      <c r="P27" s="38"/>
      <c r="Q27" s="1"/>
      <c r="R27" s="1"/>
      <c r="S27" s="1"/>
      <c r="T27" s="1"/>
      <c r="U27" s="1"/>
      <c r="V27" s="1"/>
      <c r="W27" s="1"/>
      <c r="X27" s="1"/>
      <c r="Y27" s="1"/>
      <c r="Z27" s="1"/>
      <c r="AA27" s="1"/>
      <c r="AB27" s="1"/>
      <c r="AC27" s="1"/>
      <c r="AD27" s="1"/>
      <c r="AE27" s="1"/>
      <c r="AF27" s="1"/>
      <c r="AG27" s="1"/>
      <c r="AH27" s="1"/>
    </row>
    <row r="28" spans="1:34" x14ac:dyDescent="0.25">
      <c r="A28" s="1"/>
      <c r="B28" s="38"/>
      <c r="C28" s="38"/>
      <c r="D28" s="38"/>
      <c r="E28" s="38"/>
      <c r="F28" s="38"/>
      <c r="G28" s="38"/>
      <c r="H28" s="38"/>
      <c r="I28" s="38"/>
      <c r="J28" s="38"/>
      <c r="K28" s="38"/>
      <c r="L28" s="38"/>
      <c r="M28" s="38"/>
      <c r="N28" s="38"/>
      <c r="O28" s="38"/>
      <c r="P28" s="38"/>
      <c r="Q28" s="1"/>
      <c r="R28" s="1"/>
      <c r="S28" s="1"/>
      <c r="T28" s="1"/>
      <c r="U28" s="1"/>
      <c r="V28" s="1"/>
      <c r="W28" s="1"/>
      <c r="X28" s="1"/>
      <c r="Y28" s="1"/>
      <c r="Z28" s="1"/>
      <c r="AA28" s="1"/>
      <c r="AB28" s="1"/>
      <c r="AC28" s="1"/>
      <c r="AD28" s="1"/>
      <c r="AE28" s="1"/>
      <c r="AF28" s="1"/>
      <c r="AG28" s="1"/>
      <c r="AH28" s="1"/>
    </row>
    <row r="29" spans="1:34" x14ac:dyDescent="0.25">
      <c r="A29" s="37"/>
      <c r="B29" s="38"/>
      <c r="C29" s="38"/>
      <c r="D29" s="38"/>
      <c r="E29" s="38"/>
      <c r="F29" s="38"/>
      <c r="G29" s="38"/>
      <c r="H29" s="38"/>
      <c r="I29" s="38"/>
      <c r="J29" s="38"/>
      <c r="K29" s="38"/>
      <c r="L29" s="38"/>
      <c r="M29" s="38"/>
      <c r="N29" s="38"/>
      <c r="O29" s="38"/>
      <c r="P29" s="38"/>
      <c r="Q29" s="37"/>
      <c r="R29" s="37"/>
      <c r="S29" s="37"/>
      <c r="T29" s="37"/>
      <c r="U29" s="37"/>
      <c r="V29" s="37"/>
      <c r="W29" s="37"/>
      <c r="X29" s="37"/>
      <c r="Y29" s="37"/>
      <c r="Z29" s="37"/>
      <c r="AA29" s="37"/>
      <c r="AB29" s="37"/>
      <c r="AC29" s="37"/>
      <c r="AD29" s="37"/>
      <c r="AE29" s="37"/>
      <c r="AF29" s="37"/>
      <c r="AG29" s="37"/>
      <c r="AH29" s="37"/>
    </row>
    <row r="30" spans="1:3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1" t="s">
        <v>37</v>
      </c>
      <c r="B31" s="46" t="s">
        <v>49</v>
      </c>
      <c r="C31" s="3"/>
      <c r="D31" s="3"/>
      <c r="E31" s="3"/>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15.75" thickBot="1" x14ac:dyDescent="0.3">
      <c r="A32" s="1"/>
      <c r="B32" s="2" t="s">
        <v>26</v>
      </c>
      <c r="C32" s="102">
        <v>2015</v>
      </c>
      <c r="D32" s="338"/>
      <c r="E32" s="338"/>
      <c r="F32" s="83"/>
      <c r="G32" s="83"/>
      <c r="H32" s="83"/>
      <c r="I32" s="83"/>
      <c r="J32" s="83"/>
      <c r="K32" s="83"/>
      <c r="L32" s="84"/>
      <c r="M32" s="136"/>
      <c r="N32" s="136"/>
      <c r="O32" s="35"/>
      <c r="P32" s="35"/>
      <c r="Q32" s="35"/>
      <c r="R32" s="35"/>
      <c r="S32" s="35"/>
      <c r="T32" s="1"/>
      <c r="U32" s="1"/>
      <c r="V32" s="1"/>
      <c r="W32" s="1"/>
      <c r="X32" s="1"/>
      <c r="Y32" s="3" t="s">
        <v>30</v>
      </c>
      <c r="Z32" s="1"/>
      <c r="AA32" s="1"/>
      <c r="AB32" s="1"/>
      <c r="AC32" s="1"/>
      <c r="AD32" s="1"/>
      <c r="AE32" s="1"/>
      <c r="AF32" s="1"/>
      <c r="AG32" s="1"/>
      <c r="AH32" s="1"/>
    </row>
    <row r="33" spans="1:34" ht="78" thickBot="1" x14ac:dyDescent="0.3">
      <c r="A33" s="9"/>
      <c r="B33" s="138" t="s">
        <v>43</v>
      </c>
      <c r="C33" s="395" t="s">
        <v>154</v>
      </c>
      <c r="D33" s="395"/>
      <c r="E33" s="395"/>
      <c r="F33" s="387" t="s">
        <v>156</v>
      </c>
      <c r="G33" s="387"/>
      <c r="H33" s="387"/>
      <c r="I33" s="387" t="s">
        <v>92</v>
      </c>
      <c r="J33" s="387"/>
      <c r="K33" s="387"/>
      <c r="L33" s="139" t="s">
        <v>159</v>
      </c>
      <c r="M33" s="139" t="s">
        <v>194</v>
      </c>
      <c r="N33" s="139" t="s">
        <v>195</v>
      </c>
      <c r="O33" s="140" t="s">
        <v>196</v>
      </c>
      <c r="P33" s="140" t="s">
        <v>23</v>
      </c>
      <c r="Q33" s="140" t="s">
        <v>56</v>
      </c>
      <c r="R33" s="140" t="s">
        <v>83</v>
      </c>
      <c r="S33" s="144" t="s">
        <v>85</v>
      </c>
      <c r="T33" s="144" t="s">
        <v>197</v>
      </c>
      <c r="U33" s="318"/>
      <c r="V33" s="308"/>
      <c r="W33" s="308"/>
      <c r="X33" s="9"/>
      <c r="Y33" s="11"/>
      <c r="Z33" s="382">
        <v>2016</v>
      </c>
      <c r="AA33" s="382"/>
      <c r="AB33" s="382"/>
      <c r="AC33" s="382">
        <v>2015</v>
      </c>
      <c r="AD33" s="382"/>
      <c r="AE33" s="382"/>
      <c r="AF33" s="382">
        <v>2014</v>
      </c>
      <c r="AG33" s="382"/>
      <c r="AH33" s="382"/>
    </row>
    <row r="34" spans="1:34" ht="15.75" thickBot="1" x14ac:dyDescent="0.3">
      <c r="A34" s="9"/>
      <c r="B34" s="120"/>
      <c r="C34" s="141" t="s">
        <v>0</v>
      </c>
      <c r="D34" s="141" t="s">
        <v>155</v>
      </c>
      <c r="E34" s="141" t="s">
        <v>193</v>
      </c>
      <c r="F34" s="141" t="s">
        <v>0</v>
      </c>
      <c r="G34" s="141" t="s">
        <v>155</v>
      </c>
      <c r="H34" s="141" t="s">
        <v>193</v>
      </c>
      <c r="I34" s="141" t="s">
        <v>0</v>
      </c>
      <c r="J34" s="141" t="s">
        <v>155</v>
      </c>
      <c r="K34" s="141" t="s">
        <v>193</v>
      </c>
      <c r="L34" s="122" t="s">
        <v>0</v>
      </c>
      <c r="M34" s="121" t="s">
        <v>155</v>
      </c>
      <c r="N34" s="141" t="s">
        <v>193</v>
      </c>
      <c r="O34" s="123"/>
      <c r="P34" s="123"/>
      <c r="Q34" s="123"/>
      <c r="R34" s="123"/>
      <c r="S34" s="336"/>
      <c r="T34" s="337"/>
      <c r="U34" s="319"/>
      <c r="V34" s="309"/>
      <c r="W34" s="309"/>
      <c r="X34" s="9"/>
      <c r="Y34" s="11"/>
      <c r="Z34" s="195"/>
      <c r="AA34" s="195"/>
      <c r="AB34" s="195"/>
      <c r="AC34" s="195"/>
      <c r="AD34" s="195"/>
      <c r="AE34" s="195"/>
      <c r="AF34" s="195"/>
      <c r="AG34" s="195"/>
      <c r="AH34" s="195"/>
    </row>
    <row r="35" spans="1:34" ht="45" x14ac:dyDescent="0.25">
      <c r="A35" s="9"/>
      <c r="B35" s="12"/>
      <c r="C35" s="66" t="s">
        <v>44</v>
      </c>
      <c r="D35" s="66"/>
      <c r="E35" s="66"/>
      <c r="F35" s="66" t="s">
        <v>42</v>
      </c>
      <c r="G35" s="66"/>
      <c r="H35" s="66"/>
      <c r="I35" s="67" t="s">
        <v>59</v>
      </c>
      <c r="J35" s="67"/>
      <c r="K35" s="67"/>
      <c r="L35" s="67" t="s">
        <v>60</v>
      </c>
      <c r="M35" s="67"/>
      <c r="N35" s="67"/>
      <c r="O35" s="67" t="s">
        <v>61</v>
      </c>
      <c r="P35" s="68" t="s">
        <v>62</v>
      </c>
      <c r="Q35" s="67" t="s">
        <v>63</v>
      </c>
      <c r="R35" s="68" t="s">
        <v>64</v>
      </c>
      <c r="S35" s="287" t="s">
        <v>65</v>
      </c>
      <c r="T35" s="335"/>
      <c r="U35" s="309"/>
      <c r="V35" s="310"/>
      <c r="W35" s="310"/>
      <c r="X35" s="9"/>
      <c r="Y35" s="20" t="s">
        <v>31</v>
      </c>
      <c r="Z35" s="106" t="s">
        <v>27</v>
      </c>
      <c r="AA35" s="106" t="s">
        <v>28</v>
      </c>
      <c r="AB35" s="106" t="s">
        <v>29</v>
      </c>
      <c r="AC35" s="106" t="s">
        <v>27</v>
      </c>
      <c r="AD35" s="106" t="s">
        <v>28</v>
      </c>
      <c r="AE35" s="106" t="s">
        <v>29</v>
      </c>
      <c r="AF35" s="106" t="s">
        <v>27</v>
      </c>
      <c r="AG35" s="106" t="s">
        <v>28</v>
      </c>
      <c r="AH35" s="106" t="s">
        <v>29</v>
      </c>
    </row>
    <row r="36" spans="1:34" x14ac:dyDescent="0.25">
      <c r="A36" s="1"/>
      <c r="B36" s="13" t="s">
        <v>269</v>
      </c>
      <c r="C36" s="99">
        <v>172988593</v>
      </c>
      <c r="D36" s="362">
        <v>12879161</v>
      </c>
      <c r="E36" s="210">
        <f>+D36/C36</f>
        <v>7.4450926368306844E-2</v>
      </c>
      <c r="F36" s="99">
        <f>5424324+177949318</f>
        <v>183373642</v>
      </c>
      <c r="G36" s="215">
        <f>396952+13076111</f>
        <v>13473063</v>
      </c>
      <c r="H36" s="210">
        <f>+G36/F36</f>
        <v>7.3473280309282393E-2</v>
      </c>
      <c r="I36" s="62">
        <f>12958329+188252257</f>
        <v>201210586</v>
      </c>
      <c r="J36" s="215">
        <f>719058+10472955</f>
        <v>11192013</v>
      </c>
      <c r="K36" s="210">
        <f>+J36/I36</f>
        <v>5.5623380571040132E-2</v>
      </c>
      <c r="L36" s="50">
        <f>+C36+-F36+I36</f>
        <v>190825537</v>
      </c>
      <c r="M36" s="16">
        <f>+D36-G36+J36</f>
        <v>10598111</v>
      </c>
      <c r="N36" s="142">
        <f>+M36/L36</f>
        <v>5.5538221805187429E-2</v>
      </c>
      <c r="O36" s="277">
        <f>AE36</f>
        <v>5.0680000000000003E-2</v>
      </c>
      <c r="P36" s="16">
        <f>L36*O36</f>
        <v>9671038.2151600011</v>
      </c>
      <c r="Q36" s="143">
        <f>+O36</f>
        <v>5.0680000000000003E-2</v>
      </c>
      <c r="R36" s="16">
        <f>L36*Q36</f>
        <v>9671038.2151600011</v>
      </c>
      <c r="S36" s="363">
        <f>+R36-P36</f>
        <v>0</v>
      </c>
      <c r="T36" s="364"/>
      <c r="U36" s="279"/>
      <c r="V36" s="312"/>
      <c r="W36" s="279"/>
      <c r="X36" s="1"/>
      <c r="Y36" s="11" t="s">
        <v>10</v>
      </c>
      <c r="Z36" s="21">
        <v>8.4229999999999999E-2</v>
      </c>
      <c r="AA36" s="21">
        <v>9.214E-2</v>
      </c>
      <c r="AB36" s="21">
        <v>9.1789999999999997E-2</v>
      </c>
      <c r="AC36" s="21">
        <v>5.5490000000000005E-2</v>
      </c>
      <c r="AD36" s="21">
        <v>6.1609999999999998E-2</v>
      </c>
      <c r="AE36" s="21">
        <v>5.0680000000000003E-2</v>
      </c>
      <c r="AF36" s="21">
        <v>3.6260000000000001E-2</v>
      </c>
      <c r="AG36" s="21">
        <v>1.806E-2</v>
      </c>
      <c r="AH36" s="21">
        <v>1.261E-2</v>
      </c>
    </row>
    <row r="37" spans="1:34" x14ac:dyDescent="0.25">
      <c r="A37" s="1"/>
      <c r="B37" s="13" t="s">
        <v>157</v>
      </c>
      <c r="C37" s="99">
        <f>407432336-172988593</f>
        <v>234443743</v>
      </c>
      <c r="D37" s="362">
        <f>30477663-12879161</f>
        <v>17598502</v>
      </c>
      <c r="E37" s="210">
        <f t="shared" ref="E37:E71" si="0">+D37/C37</f>
        <v>7.5064925063920346E-2</v>
      </c>
      <c r="F37" s="99">
        <f>431144056-F36</f>
        <v>247770414</v>
      </c>
      <c r="G37" s="215">
        <f>32757048-G36</f>
        <v>19283985</v>
      </c>
      <c r="H37" s="210">
        <f t="shared" ref="H37:H71" si="1">+G37/F37</f>
        <v>7.783005520586489E-2</v>
      </c>
      <c r="I37" s="62">
        <f>425813497-I36</f>
        <v>224602911</v>
      </c>
      <c r="J37" s="16">
        <f>24379132-J36</f>
        <v>13187119</v>
      </c>
      <c r="K37" s="210">
        <f t="shared" ref="K37:K71" si="2">+J37/I37</f>
        <v>5.8713036893809446E-2</v>
      </c>
      <c r="L37" s="50">
        <f>+C37+-F37+I37</f>
        <v>211276240</v>
      </c>
      <c r="M37" s="16">
        <f>+D37-G37+J37</f>
        <v>11501636</v>
      </c>
      <c r="N37" s="142">
        <f t="shared" ref="N37:N71" si="3">+M37/L37</f>
        <v>5.4438852187070348E-2</v>
      </c>
      <c r="O37" s="277">
        <f>AC36</f>
        <v>5.5490000000000005E-2</v>
      </c>
      <c r="P37" s="16">
        <f>L37*O37</f>
        <v>11723718.557600001</v>
      </c>
      <c r="Q37" s="143">
        <f>+Q36</f>
        <v>5.0680000000000003E-2</v>
      </c>
      <c r="R37" s="16">
        <f>L37*Q37</f>
        <v>10707479.8432</v>
      </c>
      <c r="S37" s="363">
        <f>+R37-P37</f>
        <v>-1016238.7144000009</v>
      </c>
      <c r="T37" s="364"/>
      <c r="U37" s="279"/>
      <c r="V37" s="312"/>
      <c r="W37" s="279"/>
      <c r="X37" s="1"/>
      <c r="Y37" s="11" t="s">
        <v>11</v>
      </c>
      <c r="Z37" s="22">
        <v>0.10384</v>
      </c>
      <c r="AA37" s="22">
        <v>9.6780000000000005E-2</v>
      </c>
      <c r="AB37" s="22">
        <v>9.851E-2</v>
      </c>
      <c r="AC37" s="22">
        <v>6.9809999999999997E-2</v>
      </c>
      <c r="AD37" s="22">
        <v>4.095E-2</v>
      </c>
      <c r="AE37" s="22">
        <v>3.9609999999999999E-2</v>
      </c>
      <c r="AF37" s="22">
        <v>2.231E-2</v>
      </c>
      <c r="AG37" s="22">
        <v>1.1180000000000001E-2</v>
      </c>
      <c r="AH37" s="22">
        <v>1.3300000000000001E-2</v>
      </c>
    </row>
    <row r="38" spans="1:34" x14ac:dyDescent="0.25">
      <c r="A38" s="1"/>
      <c r="B38" s="132" t="s">
        <v>158</v>
      </c>
      <c r="C38" s="350">
        <f>SUM(C36:C37)</f>
        <v>407432336</v>
      </c>
      <c r="D38" s="137">
        <f t="shared" ref="D38:S38" si="4">SUM(D36:D37)</f>
        <v>30477663</v>
      </c>
      <c r="E38" s="339">
        <f t="shared" si="0"/>
        <v>7.4804232033266985E-2</v>
      </c>
      <c r="F38" s="350">
        <f t="shared" si="4"/>
        <v>431144056</v>
      </c>
      <c r="G38" s="137">
        <f t="shared" si="4"/>
        <v>32757048</v>
      </c>
      <c r="H38" s="339">
        <f t="shared" si="1"/>
        <v>7.5977037243440501E-2</v>
      </c>
      <c r="I38" s="350">
        <f t="shared" si="4"/>
        <v>425813497</v>
      </c>
      <c r="J38" s="137">
        <f t="shared" si="4"/>
        <v>24379132</v>
      </c>
      <c r="K38" s="339">
        <f t="shared" si="2"/>
        <v>5.7253074812703739E-2</v>
      </c>
      <c r="L38" s="133">
        <f>SUM(L36:L37)</f>
        <v>402101777</v>
      </c>
      <c r="M38" s="137">
        <f t="shared" si="4"/>
        <v>22099747</v>
      </c>
      <c r="N38" s="142">
        <f>+M38/L38</f>
        <v>5.4960580291093818E-2</v>
      </c>
      <c r="O38" s="371"/>
      <c r="P38" s="137">
        <f t="shared" si="4"/>
        <v>21394756.772760004</v>
      </c>
      <c r="Q38" s="357"/>
      <c r="R38" s="137">
        <f t="shared" si="4"/>
        <v>20378518.058360003</v>
      </c>
      <c r="S38" s="146">
        <f t="shared" si="4"/>
        <v>-1016238.7144000009</v>
      </c>
      <c r="T38" s="365">
        <v>-2913723.1107157916</v>
      </c>
      <c r="U38" s="279"/>
      <c r="V38" s="315"/>
      <c r="W38" s="314"/>
      <c r="X38" s="1"/>
      <c r="Y38" s="11" t="s">
        <v>12</v>
      </c>
      <c r="Z38" s="22">
        <v>9.0219999999999995E-2</v>
      </c>
      <c r="AA38" s="22">
        <v>0.10299</v>
      </c>
      <c r="AB38" s="22">
        <v>0.1061</v>
      </c>
      <c r="AC38" s="22">
        <v>3.6040000000000003E-2</v>
      </c>
      <c r="AD38" s="22">
        <v>5.74E-2</v>
      </c>
      <c r="AE38" s="22">
        <v>6.2899999999999998E-2</v>
      </c>
      <c r="AF38" s="22">
        <v>1.103E-2</v>
      </c>
      <c r="AG38" s="22">
        <v>-8.0000000000000002E-3</v>
      </c>
      <c r="AH38" s="22">
        <v>-2.7E-4</v>
      </c>
    </row>
    <row r="39" spans="1:34" x14ac:dyDescent="0.25">
      <c r="A39" s="1"/>
      <c r="B39" s="13" t="s">
        <v>160</v>
      </c>
      <c r="C39" s="99">
        <v>187182042</v>
      </c>
      <c r="D39" s="215">
        <v>9510258</v>
      </c>
      <c r="E39" s="210">
        <f t="shared" si="0"/>
        <v>5.0807534197110642E-2</v>
      </c>
      <c r="F39" s="99">
        <f>12958329+188252257</f>
        <v>201210586</v>
      </c>
      <c r="G39" s="215">
        <f>719058+10472955</f>
        <v>11192013</v>
      </c>
      <c r="H39" s="210">
        <f t="shared" si="1"/>
        <v>5.5623380571040132E-2</v>
      </c>
      <c r="I39" s="62">
        <f>8277889+174445143</f>
        <v>182723032</v>
      </c>
      <c r="J39" s="16">
        <f>577879+12165333</f>
        <v>12743212</v>
      </c>
      <c r="K39" s="210">
        <f t="shared" si="2"/>
        <v>6.9740589681108175E-2</v>
      </c>
      <c r="L39" s="50">
        <f>+C39+-F39+I39</f>
        <v>168694488</v>
      </c>
      <c r="M39" s="16">
        <f>+D39-G39+J39</f>
        <v>11061457</v>
      </c>
      <c r="N39" s="142">
        <f t="shared" si="3"/>
        <v>6.5570945032892833E-2</v>
      </c>
      <c r="O39" s="276">
        <f>AE37</f>
        <v>3.9609999999999999E-2</v>
      </c>
      <c r="P39" s="16">
        <f>L39*O39</f>
        <v>6681988.6696800003</v>
      </c>
      <c r="Q39" s="143">
        <f>+O39</f>
        <v>3.9609999999999999E-2</v>
      </c>
      <c r="R39" s="16">
        <f>L39*Q39</f>
        <v>6681988.6696800003</v>
      </c>
      <c r="S39" s="363">
        <f>+R39-P39</f>
        <v>0</v>
      </c>
      <c r="T39" s="365"/>
      <c r="U39" s="279"/>
      <c r="V39" s="312"/>
      <c r="W39" s="279"/>
      <c r="X39" s="1"/>
      <c r="Y39" s="11" t="s">
        <v>13</v>
      </c>
      <c r="Z39" s="22">
        <v>0.12114999999999999</v>
      </c>
      <c r="AA39" s="22">
        <v>0.11176999999999999</v>
      </c>
      <c r="AB39" s="22">
        <v>0.11132</v>
      </c>
      <c r="AC39" s="22">
        <v>6.7049999999999998E-2</v>
      </c>
      <c r="AD39" s="22">
        <v>9.2679999999999998E-2</v>
      </c>
      <c r="AE39" s="22">
        <v>9.5590000000000008E-2</v>
      </c>
      <c r="AF39" s="22">
        <v>-9.6500000000000006E-3</v>
      </c>
      <c r="AG39" s="22">
        <v>5.4530000000000002E-2</v>
      </c>
      <c r="AH39" s="22">
        <v>5.1979999999999998E-2</v>
      </c>
    </row>
    <row r="40" spans="1:34" x14ac:dyDescent="0.25">
      <c r="A40" s="1"/>
      <c r="B40" s="13" t="s">
        <v>161</v>
      </c>
      <c r="C40" s="99">
        <f>374739133-C39</f>
        <v>187557091</v>
      </c>
      <c r="D40" s="215">
        <f>20668726-D39</f>
        <v>11158468</v>
      </c>
      <c r="E40" s="210">
        <f t="shared" si="0"/>
        <v>5.9493714369882184E-2</v>
      </c>
      <c r="F40" s="99">
        <f>425813497-F39</f>
        <v>224602911</v>
      </c>
      <c r="G40" s="215">
        <f>24379132-G39</f>
        <v>13187119</v>
      </c>
      <c r="H40" s="210">
        <f t="shared" si="1"/>
        <v>5.8713036893809446E-2</v>
      </c>
      <c r="I40" s="62">
        <f>425604330-I39</f>
        <v>242881298</v>
      </c>
      <c r="J40" s="16">
        <f>28809512-J39</f>
        <v>16066300</v>
      </c>
      <c r="K40" s="210">
        <f t="shared" si="2"/>
        <v>6.6148773628507213E-2</v>
      </c>
      <c r="L40" s="50">
        <f>+C40+-F40+I40</f>
        <v>205835478</v>
      </c>
      <c r="M40" s="16">
        <f>+D40-G40+J40</f>
        <v>14037649</v>
      </c>
      <c r="N40" s="142">
        <f t="shared" si="3"/>
        <v>6.8198393864832188E-2</v>
      </c>
      <c r="O40" s="276">
        <f>AC37</f>
        <v>6.9809999999999997E-2</v>
      </c>
      <c r="P40" s="16">
        <f>L40*O40</f>
        <v>14369374.719179999</v>
      </c>
      <c r="Q40" s="143">
        <f>+Q39</f>
        <v>3.9609999999999999E-2</v>
      </c>
      <c r="R40" s="16">
        <f>L40*Q40</f>
        <v>8153143.2835799996</v>
      </c>
      <c r="S40" s="363">
        <f>+R40-P40</f>
        <v>-6216231.4355999995</v>
      </c>
      <c r="T40" s="365"/>
      <c r="U40" s="279"/>
      <c r="V40" s="312"/>
      <c r="W40" s="279"/>
      <c r="X40" s="1"/>
      <c r="Y40" s="11" t="s">
        <v>14</v>
      </c>
      <c r="Z40" s="22">
        <v>0.10405</v>
      </c>
      <c r="AA40" s="22">
        <v>0.11493</v>
      </c>
      <c r="AB40" s="22">
        <v>0.10749</v>
      </c>
      <c r="AC40" s="22">
        <v>9.4159999999999994E-2</v>
      </c>
      <c r="AD40" s="22">
        <v>9.7299999999999998E-2</v>
      </c>
      <c r="AE40" s="22">
        <v>9.6680000000000002E-2</v>
      </c>
      <c r="AF40" s="22">
        <v>5.3560000000000003E-2</v>
      </c>
      <c r="AG40" s="22">
        <v>7.3520000000000002E-2</v>
      </c>
      <c r="AH40" s="22">
        <v>7.1959999999999996E-2</v>
      </c>
    </row>
    <row r="41" spans="1:34" x14ac:dyDescent="0.25">
      <c r="A41" s="1"/>
      <c r="B41" s="132" t="s">
        <v>162</v>
      </c>
      <c r="C41" s="350">
        <f>SUM(C39:C40)</f>
        <v>374739133</v>
      </c>
      <c r="D41" s="137">
        <f t="shared" ref="D41" si="5">SUM(D39:D40)</f>
        <v>20668726</v>
      </c>
      <c r="E41" s="339">
        <f t="shared" si="0"/>
        <v>5.5154970964828486E-2</v>
      </c>
      <c r="F41" s="350">
        <f t="shared" ref="F41:G41" si="6">SUM(F39:F40)</f>
        <v>425813497</v>
      </c>
      <c r="G41" s="137">
        <f t="shared" si="6"/>
        <v>24379132</v>
      </c>
      <c r="H41" s="339">
        <f t="shared" si="1"/>
        <v>5.7253074812703739E-2</v>
      </c>
      <c r="I41" s="350">
        <f t="shared" ref="I41:J41" si="7">SUM(I39:I40)</f>
        <v>425604330</v>
      </c>
      <c r="J41" s="137">
        <f t="shared" si="7"/>
        <v>28809512</v>
      </c>
      <c r="K41" s="339">
        <f t="shared" si="2"/>
        <v>6.7690833878499307E-2</v>
      </c>
      <c r="L41" s="133">
        <f>SUM(L39:L40)</f>
        <v>374529966</v>
      </c>
      <c r="M41" s="137">
        <f t="shared" ref="M41" si="8">SUM(M39:M40)</f>
        <v>25099106</v>
      </c>
      <c r="N41" s="142">
        <f t="shared" si="3"/>
        <v>6.7014947476859571E-2</v>
      </c>
      <c r="O41" s="357"/>
      <c r="P41" s="137">
        <f t="shared" ref="P41" si="9">SUM(P39:P40)</f>
        <v>21051363.388859998</v>
      </c>
      <c r="Q41" s="357"/>
      <c r="R41" s="137">
        <f t="shared" ref="R41:S41" si="10">SUM(R39:R40)</f>
        <v>14835131.953260001</v>
      </c>
      <c r="S41" s="146">
        <f t="shared" si="10"/>
        <v>-6216231.4355999995</v>
      </c>
      <c r="T41" s="365">
        <v>14158143.269110151</v>
      </c>
      <c r="U41" s="279"/>
      <c r="V41" s="315"/>
      <c r="W41" s="314"/>
      <c r="X41" s="1"/>
      <c r="Y41" s="11" t="s">
        <v>15</v>
      </c>
      <c r="Z41" s="22">
        <v>0.11650000000000001</v>
      </c>
      <c r="AA41" s="22">
        <v>9.3600000000000003E-2</v>
      </c>
      <c r="AB41" s="22">
        <v>9.5449999999999993E-2</v>
      </c>
      <c r="AC41" s="22">
        <v>9.2280000000000001E-2</v>
      </c>
      <c r="AD41" s="22">
        <v>9.7680000000000003E-2</v>
      </c>
      <c r="AE41" s="22">
        <v>9.5400000000000013E-2</v>
      </c>
      <c r="AF41" s="22">
        <v>7.1900000000000006E-2</v>
      </c>
      <c r="AG41" s="22">
        <v>6.6640000000000005E-2</v>
      </c>
      <c r="AH41" s="22">
        <v>6.0249999999999998E-2</v>
      </c>
    </row>
    <row r="42" spans="1:34" x14ac:dyDescent="0.25">
      <c r="A42" s="1"/>
      <c r="B42" s="13" t="s">
        <v>163</v>
      </c>
      <c r="C42" s="99">
        <v>175281666</v>
      </c>
      <c r="D42" s="215">
        <v>6955377</v>
      </c>
      <c r="E42" s="210">
        <f t="shared" si="0"/>
        <v>3.9681143833947816E-2</v>
      </c>
      <c r="F42" s="99">
        <f>I39</f>
        <v>182723032</v>
      </c>
      <c r="G42" s="215">
        <f>J39</f>
        <v>12743212</v>
      </c>
      <c r="H42" s="210">
        <f t="shared" si="1"/>
        <v>6.9740589681108175E-2</v>
      </c>
      <c r="I42" s="62">
        <f>-7547622+186644217</f>
        <v>179096595</v>
      </c>
      <c r="J42" s="16">
        <f>-272016+6726658</f>
        <v>6454642</v>
      </c>
      <c r="K42" s="210">
        <f t="shared" si="2"/>
        <v>3.6040003998959333E-2</v>
      </c>
      <c r="L42" s="50">
        <f>+C42+-F42+I42</f>
        <v>171655229</v>
      </c>
      <c r="M42" s="16">
        <f>+D42-G42+J42</f>
        <v>666807</v>
      </c>
      <c r="N42" s="142">
        <f t="shared" si="3"/>
        <v>3.8845714394170889E-3</v>
      </c>
      <c r="O42" s="276">
        <f>AE38</f>
        <v>6.2899999999999998E-2</v>
      </c>
      <c r="P42" s="16">
        <f>L42*O42</f>
        <v>10797113.904099999</v>
      </c>
      <c r="Q42" s="143">
        <f>+O42</f>
        <v>6.2899999999999998E-2</v>
      </c>
      <c r="R42" s="16">
        <f>L42*Q42</f>
        <v>10797113.904099999</v>
      </c>
      <c r="S42" s="363">
        <f>+R42-P42</f>
        <v>0</v>
      </c>
      <c r="T42" s="365"/>
      <c r="U42" s="279"/>
      <c r="V42" s="312"/>
      <c r="W42" s="279"/>
      <c r="X42" s="1"/>
      <c r="Y42" s="11" t="s">
        <v>16</v>
      </c>
      <c r="Z42" s="22">
        <v>7.6670000000000002E-2</v>
      </c>
      <c r="AA42" s="22">
        <v>8.412E-2</v>
      </c>
      <c r="AB42" s="22">
        <v>8.3059999999999995E-2</v>
      </c>
      <c r="AC42" s="22">
        <v>8.8880000000000001E-2</v>
      </c>
      <c r="AD42" s="22">
        <v>8.4129999999999996E-2</v>
      </c>
      <c r="AE42" s="22">
        <v>7.8829999999999997E-2</v>
      </c>
      <c r="AF42" s="22">
        <v>5.9760000000000001E-2</v>
      </c>
      <c r="AG42" s="22">
        <v>5.7529999999999998E-2</v>
      </c>
      <c r="AH42" s="22">
        <v>6.2560000000000004E-2</v>
      </c>
    </row>
    <row r="43" spans="1:34" x14ac:dyDescent="0.25">
      <c r="A43" s="1"/>
      <c r="B43" s="13" t="s">
        <v>164</v>
      </c>
      <c r="C43" s="99">
        <f>416659820-C42</f>
        <v>241378154</v>
      </c>
      <c r="D43" s="215">
        <f>21823629-D42</f>
        <v>14868252</v>
      </c>
      <c r="E43" s="210">
        <f t="shared" si="0"/>
        <v>6.15973390864527E-2</v>
      </c>
      <c r="F43" s="99">
        <f>I40</f>
        <v>242881298</v>
      </c>
      <c r="G43" s="215">
        <f>J40</f>
        <v>16066300</v>
      </c>
      <c r="H43" s="210">
        <f t="shared" si="1"/>
        <v>6.6148773628507213E-2</v>
      </c>
      <c r="I43" s="62">
        <f>381850793-I42</f>
        <v>202754198</v>
      </c>
      <c r="J43" s="16">
        <f>15189774-J42</f>
        <v>8735132</v>
      </c>
      <c r="K43" s="210">
        <f t="shared" si="2"/>
        <v>4.3082373071259415E-2</v>
      </c>
      <c r="L43" s="50">
        <f>+C43+-F43+I43</f>
        <v>201251054</v>
      </c>
      <c r="M43" s="16">
        <f>+D43-G43+J43</f>
        <v>7537084</v>
      </c>
      <c r="N43" s="142">
        <f t="shared" si="3"/>
        <v>3.7451152926632619E-2</v>
      </c>
      <c r="O43" s="276">
        <f>AC38</f>
        <v>3.6040000000000003E-2</v>
      </c>
      <c r="P43" s="16">
        <f>L43*O43</f>
        <v>7253087.9861600008</v>
      </c>
      <c r="Q43" s="143">
        <f>+Q42</f>
        <v>6.2899999999999998E-2</v>
      </c>
      <c r="R43" s="16">
        <f>L43*Q43</f>
        <v>12658691.296599999</v>
      </c>
      <c r="S43" s="363">
        <f>+R43-P43</f>
        <v>5405603.3104399983</v>
      </c>
      <c r="T43" s="365"/>
      <c r="U43" s="279"/>
      <c r="V43" s="312"/>
      <c r="W43" s="279"/>
      <c r="X43" s="1"/>
      <c r="Y43" s="11" t="s">
        <v>17</v>
      </c>
      <c r="Z43" s="22">
        <v>8.5690000000000002E-2</v>
      </c>
      <c r="AA43" s="22">
        <v>7.0499999999999993E-2</v>
      </c>
      <c r="AB43" s="22">
        <v>7.1029999999999996E-2</v>
      </c>
      <c r="AC43" s="22">
        <v>8.8050000000000003E-2</v>
      </c>
      <c r="AD43" s="22">
        <v>7.3550000000000004E-2</v>
      </c>
      <c r="AE43" s="22">
        <v>8.0099999999999991E-2</v>
      </c>
      <c r="AF43" s="22">
        <v>6.1079999999999995E-2</v>
      </c>
      <c r="AG43" s="22">
        <v>6.8970000000000004E-2</v>
      </c>
      <c r="AH43" s="22">
        <v>6.7610000000000003E-2</v>
      </c>
    </row>
    <row r="44" spans="1:34" x14ac:dyDescent="0.25">
      <c r="A44" s="1"/>
      <c r="B44" s="132" t="s">
        <v>165</v>
      </c>
      <c r="C44" s="350">
        <f>SUM(C42:C43)</f>
        <v>416659820</v>
      </c>
      <c r="D44" s="137">
        <f t="shared" ref="D44" si="11">SUM(D42:D43)</f>
        <v>21823629</v>
      </c>
      <c r="E44" s="339">
        <f t="shared" si="0"/>
        <v>5.2377570268234648E-2</v>
      </c>
      <c r="F44" s="350">
        <f t="shared" ref="F44:G44" si="12">SUM(F42:F43)</f>
        <v>425604330</v>
      </c>
      <c r="G44" s="137">
        <f t="shared" si="12"/>
        <v>28809512</v>
      </c>
      <c r="H44" s="339">
        <f t="shared" si="1"/>
        <v>6.7690833878499307E-2</v>
      </c>
      <c r="I44" s="350">
        <f t="shared" ref="I44:J44" si="13">SUM(I42:I43)</f>
        <v>381850793</v>
      </c>
      <c r="J44" s="137">
        <f t="shared" si="13"/>
        <v>15189774</v>
      </c>
      <c r="K44" s="339">
        <f t="shared" si="2"/>
        <v>3.977934386534062E-2</v>
      </c>
      <c r="L44" s="133">
        <f t="shared" ref="L44" si="14">SUM(L42:L43)</f>
        <v>372906283</v>
      </c>
      <c r="M44" s="137">
        <f>SUM(M42:M43)</f>
        <v>8203891</v>
      </c>
      <c r="N44" s="142">
        <f t="shared" si="3"/>
        <v>2.1999873356920618E-2</v>
      </c>
      <c r="O44" s="357"/>
      <c r="P44" s="137">
        <f t="shared" ref="P44" si="15">SUM(P42:P43)</f>
        <v>18050201.89026</v>
      </c>
      <c r="Q44" s="357"/>
      <c r="R44" s="137">
        <f t="shared" ref="R44" si="16">SUM(R42:R43)</f>
        <v>23455805.2007</v>
      </c>
      <c r="S44" s="146">
        <f t="shared" ref="S44" si="17">SUM(S42:S43)</f>
        <v>5405603.3104399983</v>
      </c>
      <c r="T44" s="365">
        <v>-12699490.155718088</v>
      </c>
      <c r="U44" s="279"/>
      <c r="V44" s="315"/>
      <c r="W44" s="314"/>
      <c r="X44" s="1"/>
      <c r="Y44" s="11" t="s">
        <v>18</v>
      </c>
      <c r="Z44" s="22">
        <v>7.0599999999999996E-2</v>
      </c>
      <c r="AA44" s="22">
        <v>9.1480000000000006E-2</v>
      </c>
      <c r="AB44" s="22">
        <v>9.5310000000000006E-2</v>
      </c>
      <c r="AC44" s="22">
        <v>8.270000000000001E-2</v>
      </c>
      <c r="AD44" s="22">
        <v>7.1910000000000002E-2</v>
      </c>
      <c r="AE44" s="22">
        <v>6.7030000000000006E-2</v>
      </c>
      <c r="AF44" s="22">
        <v>8.0489999999999992E-2</v>
      </c>
      <c r="AG44" s="22">
        <v>8.072E-2</v>
      </c>
      <c r="AH44" s="22">
        <v>7.9629999999999992E-2</v>
      </c>
    </row>
    <row r="45" spans="1:34" x14ac:dyDescent="0.25">
      <c r="A45" s="1"/>
      <c r="B45" s="13" t="s">
        <v>168</v>
      </c>
      <c r="C45" s="99">
        <v>186744467</v>
      </c>
      <c r="D45" s="215">
        <v>11746672</v>
      </c>
      <c r="E45" s="210">
        <f t="shared" si="0"/>
        <v>6.2902383073014961E-2</v>
      </c>
      <c r="F45" s="99">
        <f>I42</f>
        <v>179096595</v>
      </c>
      <c r="G45" s="215">
        <f>J42</f>
        <v>6454642</v>
      </c>
      <c r="H45" s="210">
        <f t="shared" si="1"/>
        <v>3.6040003998959333E-2</v>
      </c>
      <c r="I45" s="62">
        <f>-15846678+174421228</f>
        <v>158574550</v>
      </c>
      <c r="J45" s="16">
        <f>-1062520+11694855</f>
        <v>10632335</v>
      </c>
      <c r="K45" s="210">
        <f t="shared" si="2"/>
        <v>6.7049441414148744E-2</v>
      </c>
      <c r="L45" s="50">
        <f>+C45+-F45+I45</f>
        <v>166222422</v>
      </c>
      <c r="M45" s="16">
        <f>+D45-G45+J45</f>
        <v>15924365</v>
      </c>
      <c r="N45" s="142">
        <f t="shared" si="3"/>
        <v>9.5801545955093825E-2</v>
      </c>
      <c r="O45" s="276">
        <f>AE39</f>
        <v>9.5590000000000008E-2</v>
      </c>
      <c r="P45" s="16">
        <f>L45*O45</f>
        <v>15889201.318980001</v>
      </c>
      <c r="Q45" s="143">
        <f>+O45</f>
        <v>9.5590000000000008E-2</v>
      </c>
      <c r="R45" s="16">
        <f>L45*Q45</f>
        <v>15889201.318980001</v>
      </c>
      <c r="S45" s="363">
        <f>+R45-P45</f>
        <v>0</v>
      </c>
      <c r="T45" s="365"/>
      <c r="U45" s="279"/>
      <c r="V45" s="312"/>
      <c r="W45" s="279"/>
      <c r="X45" s="1"/>
      <c r="Y45" s="11" t="s">
        <v>19</v>
      </c>
      <c r="Z45" s="22">
        <v>9.7199999999999995E-2</v>
      </c>
      <c r="AA45" s="22">
        <v>0.1178</v>
      </c>
      <c r="AB45" s="22">
        <v>0.11226</v>
      </c>
      <c r="AC45" s="22">
        <v>6.3710000000000003E-2</v>
      </c>
      <c r="AD45" s="22">
        <v>7.1929999999999994E-2</v>
      </c>
      <c r="AE45" s="22">
        <v>7.5439999999999993E-2</v>
      </c>
      <c r="AF45" s="22">
        <v>7.492E-2</v>
      </c>
      <c r="AG45" s="22">
        <v>0.10135</v>
      </c>
      <c r="AH45" s="22">
        <v>0.10014000000000001</v>
      </c>
    </row>
    <row r="46" spans="1:34" x14ac:dyDescent="0.25">
      <c r="A46" s="1"/>
      <c r="B46" s="13" t="s">
        <v>166</v>
      </c>
      <c r="C46" s="99">
        <f>394160632-C45</f>
        <v>207416165</v>
      </c>
      <c r="D46" s="215">
        <f>21208503-D45</f>
        <v>9461831</v>
      </c>
      <c r="E46" s="210">
        <f t="shared" si="0"/>
        <v>4.5617616158316304E-2</v>
      </c>
      <c r="F46" s="99">
        <f>I43</f>
        <v>202754198</v>
      </c>
      <c r="G46" s="215">
        <f>J43</f>
        <v>8735132</v>
      </c>
      <c r="H46" s="210">
        <f t="shared" si="1"/>
        <v>4.3082373071259415E-2</v>
      </c>
      <c r="I46" s="62">
        <f>335645702-I45</f>
        <v>177071152</v>
      </c>
      <c r="J46" s="16">
        <f>21262027-J45</f>
        <v>10629692</v>
      </c>
      <c r="K46" s="210">
        <f t="shared" si="2"/>
        <v>6.0030625429036574E-2</v>
      </c>
      <c r="L46" s="50">
        <f>+C46+-F46+I46</f>
        <v>181733119</v>
      </c>
      <c r="M46" s="16">
        <f>+D46-G46+J46</f>
        <v>11356391</v>
      </c>
      <c r="N46" s="142">
        <f t="shared" si="3"/>
        <v>6.248938587798078E-2</v>
      </c>
      <c r="O46" s="276">
        <f>AC39</f>
        <v>6.7049999999999998E-2</v>
      </c>
      <c r="P46" s="16">
        <f>L46*O46</f>
        <v>12185205.62895</v>
      </c>
      <c r="Q46" s="143">
        <f>+Q45</f>
        <v>9.5590000000000008E-2</v>
      </c>
      <c r="R46" s="16">
        <f>L46*Q46</f>
        <v>17371868.845210001</v>
      </c>
      <c r="S46" s="363">
        <f>+R46-P46</f>
        <v>5186663.2162600011</v>
      </c>
      <c r="T46" s="365"/>
      <c r="U46" s="279"/>
      <c r="V46" s="312"/>
      <c r="W46" s="279"/>
      <c r="X46" s="1"/>
      <c r="Y46" s="11" t="s">
        <v>20</v>
      </c>
      <c r="Z46" s="22">
        <v>0.12271</v>
      </c>
      <c r="AA46" s="22">
        <v>0.115</v>
      </c>
      <c r="AB46" s="22">
        <v>0.11108999999999999</v>
      </c>
      <c r="AC46" s="22">
        <v>7.6230000000000006E-2</v>
      </c>
      <c r="AD46" s="22">
        <v>0.12447999999999999</v>
      </c>
      <c r="AE46" s="22">
        <v>0.11320000000000001</v>
      </c>
      <c r="AF46" s="22">
        <v>9.9010000000000001E-2</v>
      </c>
      <c r="AG46" s="22">
        <v>8.5040000000000004E-2</v>
      </c>
      <c r="AH46" s="22">
        <v>8.231999999999999E-2</v>
      </c>
    </row>
    <row r="47" spans="1:34" x14ac:dyDescent="0.25">
      <c r="A47" s="1"/>
      <c r="B47" s="132" t="s">
        <v>167</v>
      </c>
      <c r="C47" s="350">
        <f>SUM(C45:C46)</f>
        <v>394160632</v>
      </c>
      <c r="D47" s="137">
        <f t="shared" ref="D47" si="18">SUM(D45:D46)</f>
        <v>21208503</v>
      </c>
      <c r="E47" s="339">
        <f t="shared" si="0"/>
        <v>5.3806751050673167E-2</v>
      </c>
      <c r="F47" s="350">
        <f t="shared" ref="F47:G47" si="19">SUM(F45:F46)</f>
        <v>381850793</v>
      </c>
      <c r="G47" s="137">
        <f t="shared" si="19"/>
        <v>15189774</v>
      </c>
      <c r="H47" s="339">
        <f t="shared" si="1"/>
        <v>3.977934386534062E-2</v>
      </c>
      <c r="I47" s="350">
        <f t="shared" ref="I47:J47" si="20">SUM(I45:I46)</f>
        <v>335645702</v>
      </c>
      <c r="J47" s="137">
        <f t="shared" si="20"/>
        <v>21262027</v>
      </c>
      <c r="K47" s="339">
        <f t="shared" si="2"/>
        <v>6.3346638652920992E-2</v>
      </c>
      <c r="L47" s="133">
        <f t="shared" ref="L47" si="21">SUM(L45:L46)</f>
        <v>347955541</v>
      </c>
      <c r="M47" s="137">
        <f>SUM(M45:M46)</f>
        <v>27280756</v>
      </c>
      <c r="N47" s="142">
        <f t="shared" si="3"/>
        <v>7.8402993444498706E-2</v>
      </c>
      <c r="O47" s="357"/>
      <c r="P47" s="137">
        <f t="shared" ref="P47" si="22">SUM(P45:P46)</f>
        <v>28074406.947930001</v>
      </c>
      <c r="Q47" s="357"/>
      <c r="R47" s="137">
        <f t="shared" ref="R47:S47" si="23">SUM(R45:R46)</f>
        <v>33261070.164190002</v>
      </c>
      <c r="S47" s="146">
        <f t="shared" si="23"/>
        <v>5186663.2162600011</v>
      </c>
      <c r="T47" s="365">
        <v>-7019636.7262089178</v>
      </c>
      <c r="U47" s="279"/>
      <c r="V47" s="315"/>
      <c r="W47" s="314"/>
      <c r="X47" s="1"/>
      <c r="Y47" s="29" t="s">
        <v>21</v>
      </c>
      <c r="Z47" s="30">
        <v>0.10594000000000001</v>
      </c>
      <c r="AA47" s="30">
        <v>7.8719999999999998E-2</v>
      </c>
      <c r="AB47" s="30">
        <v>8.7080000000000005E-2</v>
      </c>
      <c r="AC47" s="30">
        <v>0.11462</v>
      </c>
      <c r="AD47" s="30">
        <v>8.8090000000000002E-2</v>
      </c>
      <c r="AE47" s="30">
        <v>9.4709999999999989E-2</v>
      </c>
      <c r="AF47" s="30">
        <v>7.3180000000000009E-2</v>
      </c>
      <c r="AG47" s="30">
        <v>5.7889999999999997E-2</v>
      </c>
      <c r="AH47" s="30">
        <v>7.4439999999999992E-2</v>
      </c>
    </row>
    <row r="48" spans="1:34" x14ac:dyDescent="0.25">
      <c r="A48" s="1"/>
      <c r="B48" s="13" t="s">
        <v>169</v>
      </c>
      <c r="C48" s="99">
        <v>174674990</v>
      </c>
      <c r="D48" s="215">
        <v>16696242</v>
      </c>
      <c r="E48" s="210">
        <f t="shared" si="0"/>
        <v>9.5584616893351473E-2</v>
      </c>
      <c r="F48" s="99">
        <f>I45</f>
        <v>158574550</v>
      </c>
      <c r="G48" s="215">
        <f>J45</f>
        <v>10632335</v>
      </c>
      <c r="H48" s="210">
        <f t="shared" si="1"/>
        <v>6.7049441414148744E-2</v>
      </c>
      <c r="I48" s="62">
        <v>178503529</v>
      </c>
      <c r="J48" s="16">
        <v>16807892</v>
      </c>
      <c r="K48" s="210">
        <f t="shared" si="2"/>
        <v>9.4159998371796894E-2</v>
      </c>
      <c r="L48" s="50">
        <f>+C48+-F48+I48</f>
        <v>194603969</v>
      </c>
      <c r="M48" s="16">
        <f>+D48-G48+J48</f>
        <v>22871799</v>
      </c>
      <c r="N48" s="142">
        <f t="shared" si="3"/>
        <v>0.11752997185787099</v>
      </c>
      <c r="O48" s="276">
        <f>AE40</f>
        <v>9.6680000000000002E-2</v>
      </c>
      <c r="P48" s="16">
        <f>L48*O48</f>
        <v>18814311.722920001</v>
      </c>
      <c r="Q48" s="143">
        <f>+O48</f>
        <v>9.6680000000000002E-2</v>
      </c>
      <c r="R48" s="16">
        <f>L48*Q48</f>
        <v>18814311.722920001</v>
      </c>
      <c r="S48" s="363">
        <f>+R48-P48</f>
        <v>0</v>
      </c>
      <c r="T48" s="365"/>
      <c r="U48" s="279"/>
      <c r="V48" s="312"/>
      <c r="W48" s="279"/>
      <c r="X48" s="1"/>
      <c r="Y48" s="33"/>
      <c r="Z48" s="34"/>
      <c r="AA48" s="34"/>
      <c r="AB48" s="34"/>
      <c r="AC48" s="34"/>
      <c r="AD48" s="34"/>
      <c r="AE48" s="34"/>
      <c r="AF48" s="34"/>
      <c r="AG48" s="34"/>
      <c r="AH48" s="34"/>
    </row>
    <row r="49" spans="1:34" x14ac:dyDescent="0.25">
      <c r="A49" s="1"/>
      <c r="B49" s="13" t="s">
        <v>170</v>
      </c>
      <c r="C49" s="99">
        <f>300159529-C48</f>
        <v>125484539</v>
      </c>
      <c r="D49" s="215">
        <f>25007238-D48</f>
        <v>8310996</v>
      </c>
      <c r="E49" s="210">
        <f t="shared" si="0"/>
        <v>6.6231235068728272E-2</v>
      </c>
      <c r="F49" s="99">
        <f>I46</f>
        <v>177071152</v>
      </c>
      <c r="G49" s="215">
        <f>J46</f>
        <v>10629692</v>
      </c>
      <c r="H49" s="210">
        <f t="shared" si="1"/>
        <v>6.0030625429036574E-2</v>
      </c>
      <c r="I49" s="62">
        <f>393389851-I48</f>
        <v>214886322</v>
      </c>
      <c r="J49" s="16">
        <f>36771339-J48</f>
        <v>19963447</v>
      </c>
      <c r="K49" s="210">
        <f t="shared" si="2"/>
        <v>9.290236258034143E-2</v>
      </c>
      <c r="L49" s="50">
        <f>+C49+-F49+I49</f>
        <v>163299709</v>
      </c>
      <c r="M49" s="16">
        <f>+D49-G49+J49</f>
        <v>17644751</v>
      </c>
      <c r="N49" s="142">
        <f t="shared" si="3"/>
        <v>0.10805133155503663</v>
      </c>
      <c r="O49" s="276">
        <f>AC40</f>
        <v>9.4159999999999994E-2</v>
      </c>
      <c r="P49" s="16">
        <f>L49*O49</f>
        <v>15376300.599439999</v>
      </c>
      <c r="Q49" s="143">
        <f>+Q48</f>
        <v>9.6680000000000002E-2</v>
      </c>
      <c r="R49" s="16">
        <f>L49*Q49</f>
        <v>15787815.866119999</v>
      </c>
      <c r="S49" s="363">
        <f>+R49-P49</f>
        <v>411515.26668000035</v>
      </c>
      <c r="T49" s="365"/>
      <c r="U49" s="279"/>
      <c r="V49" s="312"/>
      <c r="W49" s="279"/>
      <c r="X49" s="1"/>
      <c r="Y49" s="31"/>
      <c r="Z49" s="32"/>
      <c r="AA49" s="32"/>
      <c r="AB49" s="32"/>
      <c r="AC49" s="32"/>
      <c r="AD49" s="32"/>
      <c r="AE49" s="32"/>
      <c r="AF49" s="32"/>
      <c r="AG49" s="32"/>
      <c r="AH49" s="32"/>
    </row>
    <row r="50" spans="1:34" x14ac:dyDescent="0.25">
      <c r="A50" s="1"/>
      <c r="B50" s="132" t="s">
        <v>171</v>
      </c>
      <c r="C50" s="350">
        <f>SUM(C48:C49)</f>
        <v>300159529</v>
      </c>
      <c r="D50" s="137">
        <f t="shared" ref="D50" si="24">SUM(D48:D49)</f>
        <v>25007238</v>
      </c>
      <c r="E50" s="339">
        <f t="shared" si="0"/>
        <v>8.3313157117860484E-2</v>
      </c>
      <c r="F50" s="350">
        <f t="shared" ref="F50:G50" si="25">SUM(F48:F49)</f>
        <v>335645702</v>
      </c>
      <c r="G50" s="137">
        <f t="shared" si="25"/>
        <v>21262027</v>
      </c>
      <c r="H50" s="339">
        <f t="shared" si="1"/>
        <v>6.3346638652920992E-2</v>
      </c>
      <c r="I50" s="350">
        <f t="shared" ref="I50:J50" si="26">SUM(I48:I49)</f>
        <v>393389851</v>
      </c>
      <c r="J50" s="137">
        <f t="shared" si="26"/>
        <v>36771339</v>
      </c>
      <c r="K50" s="339">
        <f t="shared" si="2"/>
        <v>9.3473024040978625E-2</v>
      </c>
      <c r="L50" s="133">
        <f t="shared" ref="L50" si="27">SUM(L48:L49)</f>
        <v>357903678</v>
      </c>
      <c r="M50" s="137">
        <f t="shared" ref="M50" si="28">SUM(M48:M49)</f>
        <v>40516550</v>
      </c>
      <c r="N50" s="142">
        <f t="shared" si="3"/>
        <v>0.11320517918790429</v>
      </c>
      <c r="O50" s="357"/>
      <c r="P50" s="137">
        <f t="shared" ref="P50" si="29">SUM(P48:P49)</f>
        <v>34190612.322360002</v>
      </c>
      <c r="Q50" s="357"/>
      <c r="R50" s="137">
        <f t="shared" ref="R50:S50" si="30">SUM(R48:R49)</f>
        <v>34602127.589039996</v>
      </c>
      <c r="S50" s="146">
        <f t="shared" si="30"/>
        <v>411515.26668000035</v>
      </c>
      <c r="T50" s="365">
        <v>4681715.053180173</v>
      </c>
      <c r="U50" s="279"/>
      <c r="V50" s="315"/>
      <c r="W50" s="314"/>
      <c r="X50" s="1"/>
      <c r="Y50" s="31"/>
      <c r="Z50" s="32"/>
      <c r="AA50" s="32"/>
      <c r="AB50" s="32"/>
      <c r="AC50" s="32"/>
      <c r="AD50" s="32"/>
      <c r="AE50" s="32"/>
      <c r="AF50" s="32"/>
      <c r="AG50" s="32"/>
      <c r="AH50" s="32"/>
    </row>
    <row r="51" spans="1:34" x14ac:dyDescent="0.25">
      <c r="A51" s="1"/>
      <c r="B51" s="13" t="s">
        <v>172</v>
      </c>
      <c r="C51" s="99">
        <v>173812036</v>
      </c>
      <c r="D51" s="215">
        <v>16804148</v>
      </c>
      <c r="E51" s="210">
        <f t="shared" si="0"/>
        <v>9.6680002068441337E-2</v>
      </c>
      <c r="F51" s="99">
        <f>I48</f>
        <v>178503529</v>
      </c>
      <c r="G51" s="215">
        <f>J48</f>
        <v>16807892</v>
      </c>
      <c r="H51" s="210">
        <f t="shared" si="1"/>
        <v>9.4159998371796894E-2</v>
      </c>
      <c r="I51" s="62">
        <v>165848323</v>
      </c>
      <c r="J51" s="16">
        <v>15304483</v>
      </c>
      <c r="K51" s="210">
        <f>+J51/I51</f>
        <v>9.227999851406396E-2</v>
      </c>
      <c r="L51" s="50">
        <f>+C51+-F51+I51</f>
        <v>161156830</v>
      </c>
      <c r="M51" s="16">
        <f>+D51-G51+J51</f>
        <v>15300739</v>
      </c>
      <c r="N51" s="142">
        <f t="shared" si="3"/>
        <v>9.4943161887709016E-2</v>
      </c>
      <c r="O51" s="276">
        <f>AE41</f>
        <v>9.5400000000000013E-2</v>
      </c>
      <c r="P51" s="16">
        <f>L51*O51</f>
        <v>15374361.582000002</v>
      </c>
      <c r="Q51" s="143">
        <f>+O51</f>
        <v>9.5400000000000013E-2</v>
      </c>
      <c r="R51" s="16">
        <f>L51*Q51</f>
        <v>15374361.582000002</v>
      </c>
      <c r="S51" s="363">
        <f>+R51-P51</f>
        <v>0</v>
      </c>
      <c r="T51" s="365"/>
      <c r="U51" s="279"/>
      <c r="V51" s="312"/>
      <c r="W51" s="279"/>
      <c r="X51" s="1"/>
      <c r="Y51" s="31"/>
      <c r="Z51" s="32"/>
      <c r="AA51" s="32"/>
      <c r="AB51" s="32"/>
      <c r="AC51" s="32"/>
      <c r="AD51" s="32"/>
      <c r="AE51" s="32"/>
      <c r="AF51" s="32"/>
      <c r="AG51" s="32"/>
      <c r="AH51" s="32"/>
    </row>
    <row r="52" spans="1:34" x14ac:dyDescent="0.25">
      <c r="A52" s="1"/>
      <c r="B52" s="13" t="s">
        <v>173</v>
      </c>
      <c r="C52" s="99">
        <f>418857207-C51</f>
        <v>245045171</v>
      </c>
      <c r="D52" s="215">
        <f>37805261-D51</f>
        <v>21001113</v>
      </c>
      <c r="E52" s="210">
        <f t="shared" si="0"/>
        <v>8.5703027381837285E-2</v>
      </c>
      <c r="F52" s="99">
        <f>I49</f>
        <v>214886322</v>
      </c>
      <c r="G52" s="215">
        <f>J49</f>
        <v>19963447</v>
      </c>
      <c r="H52" s="210">
        <f t="shared" si="1"/>
        <v>9.290236258034143E-2</v>
      </c>
      <c r="I52" s="62">
        <f>365393165-I51</f>
        <v>199544842</v>
      </c>
      <c r="J52" s="16">
        <f>33718481-J51</f>
        <v>18413998</v>
      </c>
      <c r="K52" s="210">
        <f>+J52/I52</f>
        <v>9.2279999900974644E-2</v>
      </c>
      <c r="L52" s="50">
        <f>+C52+-F52+I52</f>
        <v>229703691</v>
      </c>
      <c r="M52" s="16">
        <f>+D52-G52+J52</f>
        <v>19451664</v>
      </c>
      <c r="N52" s="142">
        <f t="shared" si="3"/>
        <v>8.4681547411443209E-2</v>
      </c>
      <c r="O52" s="276">
        <f>AC41</f>
        <v>9.2280000000000001E-2</v>
      </c>
      <c r="P52" s="16">
        <f>L52*O52</f>
        <v>21197056.60548</v>
      </c>
      <c r="Q52" s="143">
        <f>+Q51</f>
        <v>9.5400000000000013E-2</v>
      </c>
      <c r="R52" s="16">
        <f>L52*Q52</f>
        <v>21913732.121400002</v>
      </c>
      <c r="S52" s="363">
        <f>+R52-P52</f>
        <v>716675.51592000201</v>
      </c>
      <c r="T52" s="365"/>
      <c r="U52" s="279"/>
      <c r="V52" s="312"/>
      <c r="W52" s="279"/>
      <c r="X52" s="1"/>
      <c r="Y52" s="31"/>
      <c r="Z52" s="32"/>
      <c r="AA52" s="32"/>
      <c r="AB52" s="32"/>
      <c r="AC52" s="32"/>
      <c r="AD52" s="32"/>
      <c r="AE52" s="32"/>
      <c r="AF52" s="32"/>
      <c r="AG52" s="32"/>
      <c r="AH52" s="32"/>
    </row>
    <row r="53" spans="1:34" x14ac:dyDescent="0.25">
      <c r="A53" s="1"/>
      <c r="B53" s="132" t="s">
        <v>174</v>
      </c>
      <c r="C53" s="350">
        <f>SUM(C51:C52)</f>
        <v>418857207</v>
      </c>
      <c r="D53" s="137">
        <f t="shared" ref="D53" si="31">SUM(D51:D52)</f>
        <v>37805261</v>
      </c>
      <c r="E53" s="339">
        <f t="shared" si="0"/>
        <v>9.0258112712860633E-2</v>
      </c>
      <c r="F53" s="350">
        <f t="shared" ref="F53:G53" si="32">SUM(F51:F52)</f>
        <v>393389851</v>
      </c>
      <c r="G53" s="137">
        <f t="shared" si="32"/>
        <v>36771339</v>
      </c>
      <c r="H53" s="339">
        <f t="shared" si="1"/>
        <v>9.3473024040978625E-2</v>
      </c>
      <c r="I53" s="350">
        <f t="shared" ref="I53:J53" si="33">SUM(I51:I52)</f>
        <v>365393165</v>
      </c>
      <c r="J53" s="137">
        <f t="shared" si="33"/>
        <v>33718481</v>
      </c>
      <c r="K53" s="339">
        <f t="shared" si="2"/>
        <v>9.2279999271469682E-2</v>
      </c>
      <c r="L53" s="133">
        <f t="shared" ref="L53" si="34">SUM(L51:L52)</f>
        <v>390860521</v>
      </c>
      <c r="M53" s="137">
        <f t="shared" ref="M53" si="35">SUM(M51:M52)</f>
        <v>34752403</v>
      </c>
      <c r="N53" s="142">
        <f t="shared" si="3"/>
        <v>8.8912543305953384E-2</v>
      </c>
      <c r="O53" s="357"/>
      <c r="P53" s="137">
        <f t="shared" ref="P53" si="36">SUM(P51:P52)</f>
        <v>36571418.187480003</v>
      </c>
      <c r="Q53" s="357"/>
      <c r="R53" s="137">
        <f t="shared" ref="R53:S53" si="37">SUM(R51:R52)</f>
        <v>37288093.703400001</v>
      </c>
      <c r="S53" s="146">
        <f t="shared" si="37"/>
        <v>716675.51592000201</v>
      </c>
      <c r="T53" s="365">
        <v>-3205490.9863839</v>
      </c>
      <c r="U53" s="279"/>
      <c r="V53" s="315"/>
      <c r="W53" s="314"/>
      <c r="X53" s="1"/>
      <c r="Y53" s="31"/>
      <c r="Z53" s="32"/>
      <c r="AA53" s="32"/>
      <c r="AB53" s="32"/>
      <c r="AC53" s="32"/>
      <c r="AD53" s="32"/>
      <c r="AE53" s="32"/>
      <c r="AF53" s="32"/>
      <c r="AG53" s="32"/>
      <c r="AH53" s="32"/>
    </row>
    <row r="54" spans="1:34" x14ac:dyDescent="0.25">
      <c r="A54" s="1"/>
      <c r="B54" s="13" t="s">
        <v>175</v>
      </c>
      <c r="C54" s="99">
        <v>193223590</v>
      </c>
      <c r="D54" s="215">
        <v>18445002</v>
      </c>
      <c r="E54" s="210">
        <f t="shared" si="0"/>
        <v>9.5459369117404352E-2</v>
      </c>
      <c r="F54" s="99">
        <f>I51</f>
        <v>165848323</v>
      </c>
      <c r="G54" s="211">
        <f>J51</f>
        <v>15304483</v>
      </c>
      <c r="H54" s="210">
        <f t="shared" si="1"/>
        <v>9.227999851406396E-2</v>
      </c>
      <c r="I54" s="100">
        <v>173290631</v>
      </c>
      <c r="J54" s="351">
        <v>15402071</v>
      </c>
      <c r="K54" s="210">
        <f t="shared" si="2"/>
        <v>8.8879998365289578E-2</v>
      </c>
      <c r="L54" s="50">
        <f>+C54+-F54+I54</f>
        <v>200665898</v>
      </c>
      <c r="M54" s="16">
        <f>+D54-G54+J54</f>
        <v>18542590</v>
      </c>
      <c r="N54" s="142">
        <f t="shared" si="3"/>
        <v>9.2405287519257501E-2</v>
      </c>
      <c r="O54" s="278">
        <f>AE42</f>
        <v>7.8829999999999997E-2</v>
      </c>
      <c r="P54" s="16">
        <f>L54*O54</f>
        <v>15818492.73934</v>
      </c>
      <c r="Q54" s="143">
        <f>+O54</f>
        <v>7.8829999999999997E-2</v>
      </c>
      <c r="R54" s="16">
        <f>L54*Q54</f>
        <v>15818492.73934</v>
      </c>
      <c r="S54" s="363">
        <f>+R54-P54</f>
        <v>0</v>
      </c>
      <c r="T54" s="365"/>
      <c r="U54" s="279"/>
      <c r="V54" s="312"/>
      <c r="W54" s="279"/>
      <c r="X54" s="1"/>
      <c r="Y54" s="31"/>
      <c r="Z54" s="32"/>
      <c r="AA54" s="32"/>
      <c r="AB54" s="32"/>
      <c r="AC54" s="32"/>
      <c r="AD54" s="32"/>
      <c r="AE54" s="32"/>
      <c r="AF54" s="32"/>
      <c r="AG54" s="32"/>
      <c r="AH54" s="32"/>
    </row>
    <row r="55" spans="1:34" x14ac:dyDescent="0.25">
      <c r="A55" s="1"/>
      <c r="B55" s="13" t="s">
        <v>176</v>
      </c>
      <c r="C55" s="99">
        <f>383347321-C54</f>
        <v>190123731</v>
      </c>
      <c r="D55" s="215">
        <f>35863151-D54</f>
        <v>17418149</v>
      </c>
      <c r="E55" s="210">
        <f t="shared" si="0"/>
        <v>9.1614807411916396E-2</v>
      </c>
      <c r="F55" s="99">
        <f>I52</f>
        <v>199544842</v>
      </c>
      <c r="G55" s="211">
        <f>J52</f>
        <v>18413998</v>
      </c>
      <c r="H55" s="210">
        <f t="shared" si="1"/>
        <v>9.2279999900974644E-2</v>
      </c>
      <c r="I55" s="100">
        <f>384073417-I54</f>
        <v>210782786</v>
      </c>
      <c r="J55" s="351">
        <f>34136445-J54</f>
        <v>18734374</v>
      </c>
      <c r="K55" s="210">
        <f t="shared" si="2"/>
        <v>8.8879999906633742E-2</v>
      </c>
      <c r="L55" s="50">
        <f>+C55+-F55+I55</f>
        <v>201361675</v>
      </c>
      <c r="M55" s="16">
        <f>+D55-G55+J55</f>
        <v>17738525</v>
      </c>
      <c r="N55" s="142">
        <f t="shared" si="3"/>
        <v>8.8092855802873113E-2</v>
      </c>
      <c r="O55" s="278">
        <f>AC42</f>
        <v>8.8880000000000001E-2</v>
      </c>
      <c r="P55" s="16">
        <f>L55*O55</f>
        <v>17897025.673999999</v>
      </c>
      <c r="Q55" s="143">
        <f>+Q54</f>
        <v>7.8829999999999997E-2</v>
      </c>
      <c r="R55" s="16">
        <f>L55*Q55</f>
        <v>15873340.84025</v>
      </c>
      <c r="S55" s="363">
        <f>+R55-P55</f>
        <v>-2023684.8337499984</v>
      </c>
      <c r="T55" s="365"/>
      <c r="U55" s="279"/>
      <c r="V55" s="312"/>
      <c r="W55" s="279"/>
      <c r="X55" s="1"/>
      <c r="Y55" s="31"/>
      <c r="Z55" s="32"/>
      <c r="AA55" s="32"/>
      <c r="AB55" s="32"/>
      <c r="AC55" s="32"/>
      <c r="AD55" s="32"/>
      <c r="AE55" s="32"/>
      <c r="AF55" s="32"/>
      <c r="AG55" s="32"/>
      <c r="AH55" s="32"/>
    </row>
    <row r="56" spans="1:34" x14ac:dyDescent="0.25">
      <c r="A56" s="1"/>
      <c r="B56" s="132" t="s">
        <v>177</v>
      </c>
      <c r="C56" s="350">
        <f>SUM(C54:C55)</f>
        <v>383347321</v>
      </c>
      <c r="D56" s="137">
        <f t="shared" ref="D56" si="38">SUM(D54:D55)</f>
        <v>35863151</v>
      </c>
      <c r="E56" s="339">
        <f t="shared" si="0"/>
        <v>9.3552632392075591E-2</v>
      </c>
      <c r="F56" s="350">
        <f t="shared" ref="F56:G56" si="39">SUM(F54:F55)</f>
        <v>365393165</v>
      </c>
      <c r="G56" s="137">
        <f t="shared" si="39"/>
        <v>33718481</v>
      </c>
      <c r="H56" s="339">
        <f t="shared" si="1"/>
        <v>9.2279999271469682E-2</v>
      </c>
      <c r="I56" s="350">
        <f t="shared" ref="I56:J56" si="40">SUM(I54:I55)</f>
        <v>384073417</v>
      </c>
      <c r="J56" s="137">
        <f t="shared" si="40"/>
        <v>34136445</v>
      </c>
      <c r="K56" s="339">
        <f t="shared" si="2"/>
        <v>8.8879999211192481E-2</v>
      </c>
      <c r="L56" s="133">
        <f t="shared" ref="L56" si="41">SUM(L54:L55)</f>
        <v>402027573</v>
      </c>
      <c r="M56" s="137">
        <f t="shared" ref="M56" si="42">SUM(M54:M55)</f>
        <v>36281115</v>
      </c>
      <c r="N56" s="142">
        <f t="shared" si="3"/>
        <v>9.0245339963286542E-2</v>
      </c>
      <c r="O56" s="360"/>
      <c r="P56" s="137">
        <f t="shared" ref="P56" si="43">SUM(P54:P55)</f>
        <v>33715518.413340002</v>
      </c>
      <c r="Q56" s="360"/>
      <c r="R56" s="137">
        <f t="shared" ref="R56:S56" si="44">SUM(R54:R55)</f>
        <v>31691833.57959</v>
      </c>
      <c r="S56" s="146">
        <f t="shared" si="44"/>
        <v>-2023684.8337499984</v>
      </c>
      <c r="T56" s="365">
        <v>3350219.1689701676</v>
      </c>
      <c r="U56" s="279"/>
      <c r="V56" s="315"/>
      <c r="W56" s="314"/>
      <c r="X56" s="1"/>
      <c r="Y56" s="31"/>
      <c r="Z56" s="31"/>
      <c r="AA56" s="31"/>
      <c r="AB56" s="31"/>
      <c r="AC56" s="31"/>
      <c r="AD56" s="31"/>
      <c r="AE56" s="31"/>
      <c r="AF56" s="31"/>
      <c r="AG56" s="31"/>
      <c r="AH56" s="31"/>
    </row>
    <row r="57" spans="1:34" x14ac:dyDescent="0.25">
      <c r="A57" s="1"/>
      <c r="B57" s="13" t="s">
        <v>178</v>
      </c>
      <c r="C57" s="62">
        <v>178529113</v>
      </c>
      <c r="D57" s="16">
        <v>14124972</v>
      </c>
      <c r="E57" s="210">
        <f t="shared" si="0"/>
        <v>7.9118591711145728E-2</v>
      </c>
      <c r="F57" s="62">
        <f>I54</f>
        <v>173290631</v>
      </c>
      <c r="G57" s="351">
        <f>J54</f>
        <v>15402071</v>
      </c>
      <c r="H57" s="210">
        <f t="shared" si="1"/>
        <v>8.8879998365289578E-2</v>
      </c>
      <c r="I57" s="100">
        <v>169918476</v>
      </c>
      <c r="J57" s="351">
        <v>14961322</v>
      </c>
      <c r="K57" s="210">
        <f t="shared" si="2"/>
        <v>8.8050001107589967E-2</v>
      </c>
      <c r="L57" s="50">
        <f>+C57+-F57+I57</f>
        <v>175156958</v>
      </c>
      <c r="M57" s="16">
        <f>+D57-G57+J57</f>
        <v>13684223</v>
      </c>
      <c r="N57" s="142">
        <f t="shared" si="3"/>
        <v>7.8125489025677189E-2</v>
      </c>
      <c r="O57" s="278">
        <f>AE43</f>
        <v>8.0099999999999991E-2</v>
      </c>
      <c r="P57" s="16">
        <f>L57*O57</f>
        <v>14030072.335799998</v>
      </c>
      <c r="Q57" s="143">
        <f>+O57</f>
        <v>8.0099999999999991E-2</v>
      </c>
      <c r="R57" s="16">
        <f>L57*Q57</f>
        <v>14030072.335799998</v>
      </c>
      <c r="S57" s="363">
        <f>+R57-P57</f>
        <v>0</v>
      </c>
      <c r="T57" s="365"/>
      <c r="U57" s="279"/>
      <c r="V57" s="312"/>
      <c r="W57" s="279"/>
      <c r="X57" s="1"/>
      <c r="Y57" s="1"/>
      <c r="Z57" s="31"/>
      <c r="AA57" s="31"/>
      <c r="AB57" s="31"/>
      <c r="AC57" s="31"/>
      <c r="AD57" s="31"/>
      <c r="AE57" s="31"/>
      <c r="AF57" s="31"/>
      <c r="AG57" s="31"/>
      <c r="AH57" s="31"/>
    </row>
    <row r="58" spans="1:34" x14ac:dyDescent="0.25">
      <c r="A58" s="1"/>
      <c r="B58" s="13" t="s">
        <v>179</v>
      </c>
      <c r="C58" s="62">
        <f>362908214-C57</f>
        <v>184379101</v>
      </c>
      <c r="D58" s="16">
        <f>30577872-D57</f>
        <v>16452900</v>
      </c>
      <c r="E58" s="210">
        <f t="shared" si="0"/>
        <v>8.9234082988613767E-2</v>
      </c>
      <c r="F58" s="62">
        <f>I55</f>
        <v>210782786</v>
      </c>
      <c r="G58" s="351">
        <f>J55</f>
        <v>18734374</v>
      </c>
      <c r="H58" s="210">
        <f t="shared" si="1"/>
        <v>8.8879999906633742E-2</v>
      </c>
      <c r="I58" s="100">
        <f>379041666-I57</f>
        <v>209123190</v>
      </c>
      <c r="J58" s="351">
        <f>33374619-J57</f>
        <v>18413297</v>
      </c>
      <c r="K58" s="210">
        <f t="shared" si="2"/>
        <v>8.8050000576215384E-2</v>
      </c>
      <c r="L58" s="50">
        <f>+C58+-F58+I58</f>
        <v>182719505</v>
      </c>
      <c r="M58" s="16">
        <f>+D58-G58+J58</f>
        <v>16131823</v>
      </c>
      <c r="N58" s="142">
        <f t="shared" si="3"/>
        <v>8.8287361549058488E-2</v>
      </c>
      <c r="O58" s="278">
        <f>AC43</f>
        <v>8.8050000000000003E-2</v>
      </c>
      <c r="P58" s="16">
        <f>L58*O58</f>
        <v>16088452.415250001</v>
      </c>
      <c r="Q58" s="143">
        <f>+Q57</f>
        <v>8.0099999999999991E-2</v>
      </c>
      <c r="R58" s="16">
        <f>L58*Q58</f>
        <v>14635832.350499999</v>
      </c>
      <c r="S58" s="363">
        <f>+R58-P58</f>
        <v>-1452620.0647500027</v>
      </c>
      <c r="T58" s="365"/>
      <c r="U58" s="279"/>
      <c r="V58" s="312"/>
      <c r="W58" s="279"/>
      <c r="X58" s="1"/>
      <c r="Y58" s="1"/>
      <c r="Z58" s="31"/>
      <c r="AA58" s="31"/>
      <c r="AB58" s="31"/>
      <c r="AC58" s="31"/>
      <c r="AD58" s="31"/>
      <c r="AE58" s="31"/>
      <c r="AF58" s="31"/>
      <c r="AG58" s="31"/>
      <c r="AH58" s="31"/>
    </row>
    <row r="59" spans="1:34" x14ac:dyDescent="0.25">
      <c r="A59" s="1"/>
      <c r="B59" s="132" t="s">
        <v>180</v>
      </c>
      <c r="C59" s="350">
        <f>SUM(C57:C58)</f>
        <v>362908214</v>
      </c>
      <c r="D59" s="137">
        <f t="shared" ref="D59" si="45">SUM(D57:D58)</f>
        <v>30577872</v>
      </c>
      <c r="E59" s="339">
        <f t="shared" si="0"/>
        <v>8.4257866921689462E-2</v>
      </c>
      <c r="F59" s="350">
        <f t="shared" ref="F59:G59" si="46">SUM(F57:F58)</f>
        <v>384073417</v>
      </c>
      <c r="G59" s="137">
        <f t="shared" si="46"/>
        <v>34136445</v>
      </c>
      <c r="H59" s="339">
        <f t="shared" si="1"/>
        <v>8.8879999211192481E-2</v>
      </c>
      <c r="I59" s="350">
        <f t="shared" ref="I59:J59" si="47">SUM(I57:I58)</f>
        <v>379041666</v>
      </c>
      <c r="J59" s="137">
        <f t="shared" si="47"/>
        <v>33374619</v>
      </c>
      <c r="K59" s="339">
        <f t="shared" si="2"/>
        <v>8.8050000814422338E-2</v>
      </c>
      <c r="L59" s="133">
        <f t="shared" ref="L59" si="48">SUM(L57:L58)</f>
        <v>357876463</v>
      </c>
      <c r="M59" s="137">
        <f t="shared" ref="M59" si="49">SUM(M57:M58)</f>
        <v>29816046</v>
      </c>
      <c r="N59" s="142">
        <f t="shared" si="3"/>
        <v>8.3313794235191155E-2</v>
      </c>
      <c r="O59" s="360"/>
      <c r="P59" s="137">
        <f t="shared" ref="P59" si="50">SUM(P57:P58)</f>
        <v>30118524.751049999</v>
      </c>
      <c r="Q59" s="360"/>
      <c r="R59" s="137">
        <f t="shared" ref="R59:S59" si="51">SUM(R57:R58)</f>
        <v>28665904.686299995</v>
      </c>
      <c r="S59" s="146">
        <f t="shared" si="51"/>
        <v>-1452620.0647500027</v>
      </c>
      <c r="T59" s="365">
        <v>5622452.4752557874</v>
      </c>
      <c r="U59" s="279"/>
      <c r="V59" s="315"/>
      <c r="W59" s="314"/>
      <c r="X59" s="1"/>
      <c r="Y59" s="83"/>
      <c r="Z59" s="83"/>
      <c r="AA59" s="83"/>
      <c r="AB59" s="83"/>
      <c r="AC59" s="1"/>
      <c r="AD59" s="1"/>
      <c r="AE59" s="1"/>
      <c r="AF59" s="1"/>
      <c r="AG59" s="1"/>
      <c r="AH59" s="1"/>
    </row>
    <row r="60" spans="1:34" x14ac:dyDescent="0.25">
      <c r="A60" s="1"/>
      <c r="B60" s="13" t="s">
        <v>181</v>
      </c>
      <c r="C60" s="62">
        <v>175264521</v>
      </c>
      <c r="D60" s="16">
        <v>14039151</v>
      </c>
      <c r="E60" s="210">
        <f t="shared" si="0"/>
        <v>8.0102640967477948E-2</v>
      </c>
      <c r="F60" s="62">
        <f>I57</f>
        <v>169918476</v>
      </c>
      <c r="G60" s="351">
        <f>J57</f>
        <v>14961322</v>
      </c>
      <c r="H60" s="210">
        <f t="shared" si="1"/>
        <v>8.8050001107589967E-2</v>
      </c>
      <c r="I60" s="100">
        <f>-4074773+188614711</f>
        <v>184539938</v>
      </c>
      <c r="J60" s="351">
        <f>-336984+15108536</f>
        <v>14771552</v>
      </c>
      <c r="K60" s="210">
        <f t="shared" si="2"/>
        <v>8.0045285373402483E-2</v>
      </c>
      <c r="L60" s="50">
        <f>+C60+-F60+I60</f>
        <v>189885983</v>
      </c>
      <c r="M60" s="16">
        <f>+D60-G60+J60</f>
        <v>13849381</v>
      </c>
      <c r="N60" s="142">
        <f t="shared" si="3"/>
        <v>7.2935246621126326E-2</v>
      </c>
      <c r="O60" s="278">
        <f>AE44</f>
        <v>6.7030000000000006E-2</v>
      </c>
      <c r="P60" s="16">
        <f>L60*O60</f>
        <v>12728057.440490002</v>
      </c>
      <c r="Q60" s="143">
        <f>+O60</f>
        <v>6.7030000000000006E-2</v>
      </c>
      <c r="R60" s="16">
        <f>L60*Q60</f>
        <v>12728057.440490002</v>
      </c>
      <c r="S60" s="363">
        <f>+R60-P60</f>
        <v>0</v>
      </c>
      <c r="T60" s="365"/>
      <c r="U60" s="279"/>
      <c r="V60" s="312"/>
      <c r="W60" s="279"/>
      <c r="X60" s="1"/>
      <c r="Y60" s="83"/>
      <c r="Z60" s="83"/>
      <c r="AA60" s="83"/>
      <c r="AB60" s="83"/>
      <c r="AC60" s="1"/>
      <c r="AD60" s="1"/>
      <c r="AE60" s="1"/>
      <c r="AF60" s="1"/>
      <c r="AG60" s="1"/>
      <c r="AH60" s="1"/>
    </row>
    <row r="61" spans="1:34" x14ac:dyDescent="0.25">
      <c r="A61" s="1"/>
      <c r="B61" s="13" t="s">
        <v>182</v>
      </c>
      <c r="C61" s="62">
        <f>403931271-C60</f>
        <v>228666750</v>
      </c>
      <c r="D61" s="16">
        <f>34042186-D60</f>
        <v>20003035</v>
      </c>
      <c r="E61" s="210">
        <f t="shared" si="0"/>
        <v>8.7476797566764741E-2</v>
      </c>
      <c r="F61" s="62">
        <f>I58</f>
        <v>209123190</v>
      </c>
      <c r="G61" s="351">
        <f>J58</f>
        <v>18413297</v>
      </c>
      <c r="H61" s="210">
        <f t="shared" si="1"/>
        <v>8.8050000576215384E-2</v>
      </c>
      <c r="I61" s="100">
        <f>427452791-I60</f>
        <v>242912853</v>
      </c>
      <c r="J61" s="351">
        <f>36058255-J60</f>
        <v>21286703</v>
      </c>
      <c r="K61" s="210">
        <f t="shared" si="2"/>
        <v>8.7631027906127312E-2</v>
      </c>
      <c r="L61" s="50">
        <f>+C61+-F61+I61</f>
        <v>262456413</v>
      </c>
      <c r="M61" s="16">
        <f>+D61-G61+J61</f>
        <v>22876441</v>
      </c>
      <c r="N61" s="142">
        <f t="shared" si="3"/>
        <v>8.7162819679319478E-2</v>
      </c>
      <c r="O61" s="278">
        <f>AC44</f>
        <v>8.270000000000001E-2</v>
      </c>
      <c r="P61" s="16">
        <f>L61*O61</f>
        <v>21705145.355100002</v>
      </c>
      <c r="Q61" s="143">
        <f>+Q60</f>
        <v>6.7030000000000006E-2</v>
      </c>
      <c r="R61" s="16">
        <f>L61*Q61</f>
        <v>17592453.363390002</v>
      </c>
      <c r="S61" s="363">
        <f>+R61-P61</f>
        <v>-4112691.9917099997</v>
      </c>
      <c r="T61" s="365"/>
      <c r="U61" s="279"/>
      <c r="V61" s="312"/>
      <c r="W61" s="279"/>
      <c r="X61" s="1"/>
      <c r="Y61" s="83"/>
      <c r="Z61" s="83"/>
      <c r="AA61" s="83"/>
      <c r="AB61" s="83"/>
      <c r="AC61" s="1"/>
      <c r="AD61" s="1"/>
      <c r="AE61" s="1"/>
      <c r="AF61" s="1"/>
      <c r="AG61" s="1"/>
      <c r="AH61" s="1"/>
    </row>
    <row r="62" spans="1:34" x14ac:dyDescent="0.25">
      <c r="A62" s="1"/>
      <c r="B62" s="132" t="s">
        <v>183</v>
      </c>
      <c r="C62" s="350">
        <f>SUM(C60:C61)</f>
        <v>403931271</v>
      </c>
      <c r="D62" s="137">
        <f t="shared" ref="D62" si="52">SUM(D60:D61)</f>
        <v>34042186</v>
      </c>
      <c r="E62" s="339">
        <f t="shared" si="0"/>
        <v>8.4277173974975556E-2</v>
      </c>
      <c r="F62" s="350">
        <f t="shared" ref="F62:G62" si="53">SUM(F60:F61)</f>
        <v>379041666</v>
      </c>
      <c r="G62" s="137">
        <f t="shared" si="53"/>
        <v>33374619</v>
      </c>
      <c r="H62" s="339">
        <f t="shared" si="1"/>
        <v>8.8050000814422338E-2</v>
      </c>
      <c r="I62" s="350">
        <f t="shared" ref="I62:J62" si="54">SUM(I60:I61)</f>
        <v>427452791</v>
      </c>
      <c r="J62" s="137">
        <f t="shared" si="54"/>
        <v>36058255</v>
      </c>
      <c r="K62" s="339">
        <f t="shared" si="2"/>
        <v>8.4356110801484974E-2</v>
      </c>
      <c r="L62" s="133">
        <f t="shared" ref="L62" si="55">SUM(L60:L61)</f>
        <v>452342396</v>
      </c>
      <c r="M62" s="137">
        <f t="shared" ref="M62" si="56">SUM(M60:M61)</f>
        <v>36725822</v>
      </c>
      <c r="N62" s="142">
        <f t="shared" si="3"/>
        <v>8.1190315842072869E-2</v>
      </c>
      <c r="O62" s="360"/>
      <c r="P62" s="137">
        <f t="shared" ref="P62" si="57">SUM(P60:P61)</f>
        <v>34433202.795590006</v>
      </c>
      <c r="Q62" s="360"/>
      <c r="R62" s="137">
        <f t="shared" ref="R62:S62" si="58">SUM(R60:R61)</f>
        <v>30320510.803880006</v>
      </c>
      <c r="S62" s="146">
        <f t="shared" si="58"/>
        <v>-4112691.9917099997</v>
      </c>
      <c r="T62" s="365">
        <v>1851937.2525104191</v>
      </c>
      <c r="U62" s="279"/>
      <c r="V62" s="315"/>
      <c r="W62" s="314"/>
      <c r="X62" s="1"/>
      <c r="Y62" s="83"/>
      <c r="Z62" s="83"/>
      <c r="AA62" s="83"/>
      <c r="AB62" s="83"/>
      <c r="AC62" s="1"/>
      <c r="AD62" s="1"/>
      <c r="AE62" s="1"/>
      <c r="AF62" s="1"/>
      <c r="AG62" s="1"/>
      <c r="AH62" s="1"/>
    </row>
    <row r="63" spans="1:34" x14ac:dyDescent="0.25">
      <c r="A63" s="1"/>
      <c r="B63" s="13" t="s">
        <v>184</v>
      </c>
      <c r="C63" s="62">
        <v>173279209</v>
      </c>
      <c r="D63" s="16">
        <v>11614767</v>
      </c>
      <c r="E63" s="210">
        <f t="shared" si="0"/>
        <v>6.7029201408692951E-2</v>
      </c>
      <c r="F63" s="62">
        <f>I60</f>
        <v>184539938</v>
      </c>
      <c r="G63" s="351">
        <f>J60</f>
        <v>14771552</v>
      </c>
      <c r="H63" s="210">
        <f t="shared" si="1"/>
        <v>8.0045285373402483E-2</v>
      </c>
      <c r="I63" s="100">
        <f>-21530980+180515946</f>
        <v>158984966</v>
      </c>
      <c r="J63" s="351">
        <f>1371739+12117630</f>
        <v>13489369</v>
      </c>
      <c r="K63" s="210">
        <f t="shared" si="2"/>
        <v>8.4846821302587819E-2</v>
      </c>
      <c r="L63" s="50">
        <f>+C63+-F63+I63</f>
        <v>147724237</v>
      </c>
      <c r="M63" s="16">
        <f>+D63-G63+J63</f>
        <v>10332584</v>
      </c>
      <c r="N63" s="142">
        <f t="shared" si="3"/>
        <v>6.9945082877632334E-2</v>
      </c>
      <c r="O63" s="278">
        <f>AE45</f>
        <v>7.5439999999999993E-2</v>
      </c>
      <c r="P63" s="16">
        <f>L63*O63</f>
        <v>11144316.43928</v>
      </c>
      <c r="Q63" s="143">
        <f>+O63</f>
        <v>7.5439999999999993E-2</v>
      </c>
      <c r="R63" s="16">
        <f>L63*Q63</f>
        <v>11144316.43928</v>
      </c>
      <c r="S63" s="363">
        <f>+R63-P63</f>
        <v>0</v>
      </c>
      <c r="T63" s="365"/>
      <c r="U63" s="279"/>
      <c r="V63" s="312"/>
      <c r="W63" s="279"/>
      <c r="X63" s="1"/>
      <c r="Y63" s="83"/>
      <c r="Z63" s="83"/>
      <c r="AA63" s="83"/>
      <c r="AB63" s="83"/>
      <c r="AC63" s="1"/>
      <c r="AD63" s="1"/>
      <c r="AE63" s="1"/>
      <c r="AF63" s="1"/>
      <c r="AG63" s="1"/>
      <c r="AH63" s="1"/>
    </row>
    <row r="64" spans="1:34" x14ac:dyDescent="0.25">
      <c r="A64" s="1"/>
      <c r="B64" s="13" t="s">
        <v>185</v>
      </c>
      <c r="C64" s="62">
        <f>403574400-C63</f>
        <v>230295191</v>
      </c>
      <c r="D64" s="16">
        <f>30240378-D63</f>
        <v>18625611</v>
      </c>
      <c r="E64" s="210">
        <f t="shared" si="0"/>
        <v>8.0877116535186352E-2</v>
      </c>
      <c r="F64" s="62">
        <f>I61</f>
        <v>242912853</v>
      </c>
      <c r="G64" s="351">
        <f>J61</f>
        <v>21286703</v>
      </c>
      <c r="H64" s="210">
        <f t="shared" si="1"/>
        <v>8.7631027906127312E-2</v>
      </c>
      <c r="I64" s="100">
        <f>336216727-I63</f>
        <v>177231761</v>
      </c>
      <c r="J64" s="351">
        <f>25909751-J63</f>
        <v>12420382</v>
      </c>
      <c r="K64" s="210">
        <f t="shared" si="2"/>
        <v>7.0079888220486622E-2</v>
      </c>
      <c r="L64" s="50">
        <f>+C64+-F64+I64</f>
        <v>164614099</v>
      </c>
      <c r="M64" s="16">
        <f>+D64-G64+J64</f>
        <v>9759290</v>
      </c>
      <c r="N64" s="142">
        <f t="shared" si="3"/>
        <v>5.9285869553615818E-2</v>
      </c>
      <c r="O64" s="278">
        <f>AC45</f>
        <v>6.3710000000000003E-2</v>
      </c>
      <c r="P64" s="16">
        <f>L64*O64</f>
        <v>10487564.24729</v>
      </c>
      <c r="Q64" s="143">
        <f>+Q63</f>
        <v>7.5439999999999993E-2</v>
      </c>
      <c r="R64" s="16">
        <f>L64*Q64</f>
        <v>12418487.628559999</v>
      </c>
      <c r="S64" s="363">
        <f>+R64-P64</f>
        <v>1930923.3812699988</v>
      </c>
      <c r="T64" s="365"/>
      <c r="U64" s="279"/>
      <c r="V64" s="312"/>
      <c r="W64" s="279"/>
      <c r="X64" s="1"/>
      <c r="Y64" s="83"/>
      <c r="Z64" s="83"/>
      <c r="AA64" s="83"/>
      <c r="AB64" s="83"/>
      <c r="AC64" s="1"/>
      <c r="AD64" s="1"/>
      <c r="AE64" s="1"/>
      <c r="AF64" s="1"/>
      <c r="AG64" s="1"/>
      <c r="AH64" s="1"/>
    </row>
    <row r="65" spans="1:34" x14ac:dyDescent="0.25">
      <c r="A65" s="1"/>
      <c r="B65" s="132" t="s">
        <v>186</v>
      </c>
      <c r="C65" s="350">
        <f>SUM(C63:C64)</f>
        <v>403574400</v>
      </c>
      <c r="D65" s="137">
        <f t="shared" ref="D65" si="59">SUM(D63:D64)</f>
        <v>30240378</v>
      </c>
      <c r="E65" s="339">
        <f t="shared" si="0"/>
        <v>7.4931358381502888E-2</v>
      </c>
      <c r="F65" s="350">
        <f t="shared" ref="F65:G65" si="60">SUM(F63:F64)</f>
        <v>427452791</v>
      </c>
      <c r="G65" s="137">
        <f t="shared" si="60"/>
        <v>36058255</v>
      </c>
      <c r="H65" s="339">
        <f t="shared" si="1"/>
        <v>8.4356110801484974E-2</v>
      </c>
      <c r="I65" s="350">
        <f t="shared" ref="I65:J65" si="61">SUM(I63:I64)</f>
        <v>336216727</v>
      </c>
      <c r="J65" s="137">
        <f t="shared" si="61"/>
        <v>25909751</v>
      </c>
      <c r="K65" s="339">
        <f t="shared" si="2"/>
        <v>7.7062647153780667E-2</v>
      </c>
      <c r="L65" s="133">
        <f t="shared" ref="L65" si="62">SUM(L63:L64)</f>
        <v>312338336</v>
      </c>
      <c r="M65" s="137">
        <f t="shared" ref="M65" si="63">SUM(M63:M64)</f>
        <v>20091874</v>
      </c>
      <c r="N65" s="142">
        <f t="shared" si="3"/>
        <v>6.432727489461941E-2</v>
      </c>
      <c r="O65" s="360"/>
      <c r="P65" s="137">
        <f t="shared" ref="P65" si="64">SUM(P63:P64)</f>
        <v>21631880.68657</v>
      </c>
      <c r="Q65" s="360"/>
      <c r="R65" s="137">
        <f t="shared" ref="R65:S65" si="65">SUM(R63:R64)</f>
        <v>23562804.067839999</v>
      </c>
      <c r="S65" s="146">
        <f t="shared" si="65"/>
        <v>1930923.3812699988</v>
      </c>
      <c r="T65" s="365">
        <v>-167191.61543171667</v>
      </c>
      <c r="U65" s="279"/>
      <c r="V65" s="315"/>
      <c r="W65" s="314"/>
      <c r="X65" s="1"/>
      <c r="Y65" s="83"/>
      <c r="Z65" s="83"/>
      <c r="AA65" s="83"/>
      <c r="AB65" s="83"/>
      <c r="AC65" s="1"/>
      <c r="AD65" s="1"/>
      <c r="AE65" s="1"/>
      <c r="AF65" s="1"/>
      <c r="AG65" s="1"/>
      <c r="AH65" s="1"/>
    </row>
    <row r="66" spans="1:34" x14ac:dyDescent="0.25">
      <c r="A66" s="1"/>
      <c r="B66" s="13" t="s">
        <v>187</v>
      </c>
      <c r="C66" s="62">
        <v>165067549</v>
      </c>
      <c r="D66" s="16">
        <v>12452844</v>
      </c>
      <c r="E66" s="210">
        <f t="shared" si="0"/>
        <v>7.5440897229291259E-2</v>
      </c>
      <c r="F66" s="62">
        <f>I63</f>
        <v>158984966</v>
      </c>
      <c r="G66" s="351">
        <f>J63</f>
        <v>13489369</v>
      </c>
      <c r="H66" s="210">
        <f t="shared" si="1"/>
        <v>8.4846821302587819E-2</v>
      </c>
      <c r="I66" s="100">
        <f>-5106891+171250084</f>
        <v>166143193</v>
      </c>
      <c r="J66" s="351">
        <f>-389298+12491779</f>
        <v>12102481</v>
      </c>
      <c r="K66" s="210">
        <f t="shared" si="2"/>
        <v>7.2843676478518138E-2</v>
      </c>
      <c r="L66" s="50">
        <f>+C66+-F66+I66</f>
        <v>172225776</v>
      </c>
      <c r="M66" s="16">
        <f>+D66-G66+J66</f>
        <v>11065956</v>
      </c>
      <c r="N66" s="142">
        <f t="shared" si="3"/>
        <v>6.4252612222226252E-2</v>
      </c>
      <c r="O66" s="278">
        <f>AE46</f>
        <v>0.11320000000000001</v>
      </c>
      <c r="P66" s="16">
        <f>L66*O66</f>
        <v>19495957.843200002</v>
      </c>
      <c r="Q66" s="143">
        <f>+O66</f>
        <v>0.11320000000000001</v>
      </c>
      <c r="R66" s="16">
        <f>L66*Q66</f>
        <v>19495957.843200002</v>
      </c>
      <c r="S66" s="363">
        <f>+R66-P66</f>
        <v>0</v>
      </c>
      <c r="T66" s="365"/>
      <c r="U66" s="279"/>
      <c r="V66" s="312"/>
      <c r="W66" s="279"/>
      <c r="X66" s="1"/>
      <c r="Y66" s="1"/>
      <c r="Z66" s="1"/>
      <c r="AA66" s="1"/>
      <c r="AB66" s="1"/>
      <c r="AC66" s="1"/>
      <c r="AD66" s="1"/>
      <c r="AE66" s="1"/>
      <c r="AF66" s="1"/>
      <c r="AG66" s="1"/>
      <c r="AH66" s="1"/>
    </row>
    <row r="67" spans="1:34" x14ac:dyDescent="0.25">
      <c r="A67" s="1"/>
      <c r="B67" s="13" t="s">
        <v>188</v>
      </c>
      <c r="C67" s="62">
        <f>347620836-C66</f>
        <v>182553287</v>
      </c>
      <c r="D67" s="16">
        <f>25029535-D66</f>
        <v>12576691</v>
      </c>
      <c r="E67" s="210">
        <f t="shared" si="0"/>
        <v>6.8893259643141899E-2</v>
      </c>
      <c r="F67" s="62">
        <f>I64</f>
        <v>177231761</v>
      </c>
      <c r="G67" s="351">
        <f>J64</f>
        <v>12420382</v>
      </c>
      <c r="H67" s="210">
        <f t="shared" si="1"/>
        <v>7.0079888220486622E-2</v>
      </c>
      <c r="I67" s="100">
        <f>361648012-I66</f>
        <v>195504819</v>
      </c>
      <c r="J67" s="351">
        <f>26227510-J66</f>
        <v>14125029</v>
      </c>
      <c r="K67" s="210">
        <f t="shared" si="2"/>
        <v>7.2249006813484229E-2</v>
      </c>
      <c r="L67" s="50">
        <f>+C67+-F67+I67</f>
        <v>200826345</v>
      </c>
      <c r="M67" s="16">
        <f>+D67-G67+J67</f>
        <v>14281338</v>
      </c>
      <c r="N67" s="142">
        <f t="shared" si="3"/>
        <v>7.1112871172355402E-2</v>
      </c>
      <c r="O67" s="278">
        <f>AC46</f>
        <v>7.6230000000000006E-2</v>
      </c>
      <c r="P67" s="16">
        <f>L67*O67</f>
        <v>15308992.279350001</v>
      </c>
      <c r="Q67" s="143">
        <f>+Q66</f>
        <v>0.11320000000000001</v>
      </c>
      <c r="R67" s="16">
        <f>L67*Q67</f>
        <v>22733542.254000001</v>
      </c>
      <c r="S67" s="363">
        <f>+R67-P67</f>
        <v>7424549.9746499993</v>
      </c>
      <c r="T67" s="365"/>
      <c r="U67" s="279"/>
      <c r="V67" s="312"/>
      <c r="W67" s="279"/>
      <c r="X67" s="1"/>
      <c r="Y67" s="1"/>
      <c r="Z67" s="1"/>
      <c r="AA67" s="1"/>
      <c r="AB67" s="1"/>
      <c r="AC67" s="1"/>
      <c r="AD67" s="1"/>
      <c r="AE67" s="1"/>
      <c r="AF67" s="1"/>
      <c r="AG67" s="1"/>
      <c r="AH67" s="1"/>
    </row>
    <row r="68" spans="1:34" x14ac:dyDescent="0.25">
      <c r="A68" s="1"/>
      <c r="B68" s="132" t="s">
        <v>189</v>
      </c>
      <c r="C68" s="350">
        <f>SUM(C66:C67)</f>
        <v>347620836</v>
      </c>
      <c r="D68" s="137">
        <f t="shared" ref="D68" si="66">SUM(D66:D67)</f>
        <v>25029535</v>
      </c>
      <c r="E68" s="339">
        <f t="shared" si="0"/>
        <v>7.2002401490110904E-2</v>
      </c>
      <c r="F68" s="350">
        <f t="shared" ref="F68:G68" si="67">SUM(F66:F67)</f>
        <v>336216727</v>
      </c>
      <c r="G68" s="137">
        <f t="shared" si="67"/>
        <v>25909751</v>
      </c>
      <c r="H68" s="339">
        <f t="shared" si="1"/>
        <v>7.7062647153780667E-2</v>
      </c>
      <c r="I68" s="350">
        <f t="shared" ref="I68:J68" si="68">SUM(I66:I67)</f>
        <v>361648012</v>
      </c>
      <c r="J68" s="137">
        <f t="shared" si="68"/>
        <v>26227510</v>
      </c>
      <c r="K68" s="339">
        <f t="shared" si="2"/>
        <v>7.2522201504594472E-2</v>
      </c>
      <c r="L68" s="133">
        <f t="shared" ref="L68" si="69">SUM(L66:L67)</f>
        <v>373052121</v>
      </c>
      <c r="M68" s="137">
        <f t="shared" ref="M68" si="70">SUM(M66:M67)</f>
        <v>25347294</v>
      </c>
      <c r="N68" s="142">
        <f t="shared" si="3"/>
        <v>6.7945717429656438E-2</v>
      </c>
      <c r="O68" s="360"/>
      <c r="P68" s="137">
        <f t="shared" ref="P68" si="71">SUM(P66:P67)</f>
        <v>34804950.122550003</v>
      </c>
      <c r="Q68" s="360"/>
      <c r="R68" s="137">
        <f t="shared" ref="R68:S68" si="72">SUM(R66:R67)</f>
        <v>42229500.097200006</v>
      </c>
      <c r="S68" s="146">
        <f t="shared" si="72"/>
        <v>7424549.9746499993</v>
      </c>
      <c r="T68" s="365">
        <v>-22187222.622087121</v>
      </c>
      <c r="U68" s="279"/>
      <c r="V68" s="315"/>
      <c r="W68" s="314"/>
      <c r="X68" s="1"/>
      <c r="Y68" s="1"/>
      <c r="Z68" s="1"/>
      <c r="AA68" s="1"/>
      <c r="AB68" s="1"/>
      <c r="AC68" s="1"/>
      <c r="AD68" s="1"/>
      <c r="AE68" s="1"/>
      <c r="AF68" s="1"/>
      <c r="AG68" s="1"/>
      <c r="AH68" s="1"/>
    </row>
    <row r="69" spans="1:34" x14ac:dyDescent="0.25">
      <c r="A69" s="1"/>
      <c r="B69" s="13" t="s">
        <v>190</v>
      </c>
      <c r="C69" s="101">
        <f>162429628</f>
        <v>162429628</v>
      </c>
      <c r="D69" s="211">
        <v>18342743</v>
      </c>
      <c r="E69" s="210">
        <f t="shared" si="0"/>
        <v>0.11292732259412673</v>
      </c>
      <c r="F69" s="101">
        <f>I66</f>
        <v>166143193</v>
      </c>
      <c r="G69" s="211">
        <f>J66</f>
        <v>12102481</v>
      </c>
      <c r="H69" s="210">
        <f t="shared" si="1"/>
        <v>7.2843676478518138E-2</v>
      </c>
      <c r="I69" s="100">
        <f>1019358+170911714</f>
        <v>171931072</v>
      </c>
      <c r="J69" s="351">
        <f>116839+19157478</f>
        <v>19274317</v>
      </c>
      <c r="K69" s="210">
        <f t="shared" si="2"/>
        <v>0.11210490794822707</v>
      </c>
      <c r="L69" s="50">
        <f>+C69+-F69+I69</f>
        <v>168217507</v>
      </c>
      <c r="M69" s="16">
        <f>+D69-G69+J69</f>
        <v>25514579</v>
      </c>
      <c r="N69" s="142">
        <f t="shared" si="3"/>
        <v>0.15167612132071367</v>
      </c>
      <c r="O69" s="278">
        <f>AE47</f>
        <v>9.4709999999999989E-2</v>
      </c>
      <c r="P69" s="16">
        <f>L69*O69</f>
        <v>15931880.087969998</v>
      </c>
      <c r="Q69" s="143">
        <f>+O69</f>
        <v>9.4709999999999989E-2</v>
      </c>
      <c r="R69" s="16">
        <f>L69*Q69</f>
        <v>15931880.087969998</v>
      </c>
      <c r="S69" s="363">
        <f>+R69-P69</f>
        <v>0</v>
      </c>
      <c r="T69" s="365"/>
      <c r="U69" s="279"/>
      <c r="V69" s="312"/>
      <c r="W69" s="279"/>
      <c r="X69" s="1"/>
      <c r="Y69" s="1"/>
      <c r="Z69" s="1"/>
      <c r="AA69" s="1"/>
      <c r="AB69" s="1"/>
      <c r="AC69" s="1"/>
      <c r="AD69" s="1"/>
      <c r="AE69" s="1"/>
      <c r="AF69" s="1"/>
      <c r="AG69" s="1"/>
      <c r="AH69" s="1"/>
    </row>
    <row r="70" spans="1:34" x14ac:dyDescent="0.25">
      <c r="A70" s="1"/>
      <c r="B70" s="13" t="s">
        <v>191</v>
      </c>
      <c r="C70" s="101">
        <f>349222520-C69</f>
        <v>186792892</v>
      </c>
      <c r="D70" s="211">
        <f>33764816-D69</f>
        <v>15422073</v>
      </c>
      <c r="E70" s="210">
        <f t="shared" si="0"/>
        <v>8.2562418916882555E-2</v>
      </c>
      <c r="F70" s="101">
        <f>I67</f>
        <v>195504819</v>
      </c>
      <c r="G70" s="211">
        <f>J67</f>
        <v>14125029</v>
      </c>
      <c r="H70" s="210">
        <f t="shared" si="1"/>
        <v>7.2249006813484229E-2</v>
      </c>
      <c r="I70" s="100">
        <f>389638440-I69</f>
        <v>217707368</v>
      </c>
      <c r="J70" s="351">
        <f>36584877-J69</f>
        <v>17310560</v>
      </c>
      <c r="K70" s="210">
        <f t="shared" si="2"/>
        <v>7.9512972661540796E-2</v>
      </c>
      <c r="L70" s="50">
        <f>+C70+-F70+I70</f>
        <v>208995441</v>
      </c>
      <c r="M70" s="16">
        <f>+D70-G70+J70</f>
        <v>18607604</v>
      </c>
      <c r="N70" s="142">
        <f t="shared" si="3"/>
        <v>8.9033540210094825E-2</v>
      </c>
      <c r="O70" s="278">
        <f>AC47</f>
        <v>0.11462</v>
      </c>
      <c r="P70" s="16">
        <f>L70*O70</f>
        <v>23955057.447420001</v>
      </c>
      <c r="Q70" s="143">
        <f>+Q69</f>
        <v>9.4709999999999989E-2</v>
      </c>
      <c r="R70" s="16">
        <f>L70*Q70</f>
        <v>19793958.217109997</v>
      </c>
      <c r="S70" s="363">
        <f>+R70-P70</f>
        <v>-4161099.2303100042</v>
      </c>
      <c r="T70" s="365"/>
      <c r="U70" s="279"/>
      <c r="V70" s="312"/>
      <c r="W70" s="279"/>
      <c r="X70" s="1"/>
      <c r="Y70" s="1"/>
      <c r="Z70" s="1"/>
      <c r="AA70" s="1"/>
      <c r="AB70" s="1"/>
      <c r="AC70" s="1"/>
      <c r="AD70" s="1"/>
      <c r="AE70" s="1"/>
      <c r="AF70" s="1"/>
      <c r="AG70" s="1"/>
      <c r="AH70" s="1"/>
    </row>
    <row r="71" spans="1:34" x14ac:dyDescent="0.25">
      <c r="A71" s="1"/>
      <c r="B71" s="132" t="s">
        <v>192</v>
      </c>
      <c r="C71" s="350">
        <f>SUM(C69:C70)</f>
        <v>349222520</v>
      </c>
      <c r="D71" s="137">
        <f t="shared" ref="D71" si="73">SUM(D69:D70)</f>
        <v>33764816</v>
      </c>
      <c r="E71" s="339">
        <f t="shared" si="0"/>
        <v>9.6685677659046732E-2</v>
      </c>
      <c r="F71" s="350">
        <f t="shared" ref="F71:G71" si="74">SUM(F69:F70)</f>
        <v>361648012</v>
      </c>
      <c r="G71" s="137">
        <f t="shared" si="74"/>
        <v>26227510</v>
      </c>
      <c r="H71" s="339">
        <f t="shared" si="1"/>
        <v>7.2522201504594472E-2</v>
      </c>
      <c r="I71" s="350">
        <f t="shared" ref="I71:J71" si="75">SUM(I69:I70)</f>
        <v>389638440</v>
      </c>
      <c r="J71" s="137">
        <f t="shared" si="75"/>
        <v>36584877</v>
      </c>
      <c r="K71" s="339">
        <f t="shared" si="2"/>
        <v>9.389442427702975E-2</v>
      </c>
      <c r="L71" s="133">
        <f t="shared" ref="L71" si="76">SUM(L69:L70)</f>
        <v>377212948</v>
      </c>
      <c r="M71" s="137">
        <f t="shared" ref="M71" si="77">SUM(M69:M70)</f>
        <v>44122183</v>
      </c>
      <c r="N71" s="142">
        <f t="shared" si="3"/>
        <v>0.11696889842710277</v>
      </c>
      <c r="O71" s="360"/>
      <c r="P71" s="137">
        <f t="shared" ref="P71" si="78">SUM(P69:P70)</f>
        <v>39886937.535389997</v>
      </c>
      <c r="Q71" s="360"/>
      <c r="R71" s="137">
        <f t="shared" ref="R71:S71" si="79">SUM(R69:R70)</f>
        <v>35725838.305079997</v>
      </c>
      <c r="S71" s="146">
        <f t="shared" si="79"/>
        <v>-4161099.2303100042</v>
      </c>
      <c r="T71" s="365">
        <v>12791451.134450436</v>
      </c>
      <c r="U71" s="279"/>
      <c r="V71" s="315"/>
      <c r="W71" s="314"/>
      <c r="X71" s="1"/>
      <c r="Y71" s="1"/>
      <c r="Z71" s="1"/>
      <c r="AA71" s="1"/>
      <c r="AB71" s="1"/>
      <c r="AC71" s="1"/>
      <c r="AD71" s="1"/>
      <c r="AE71" s="1"/>
      <c r="AF71" s="1"/>
      <c r="AG71" s="1"/>
      <c r="AH71" s="1"/>
    </row>
    <row r="72" spans="1:34" ht="15.75" thickBot="1" x14ac:dyDescent="0.3">
      <c r="A72" s="1"/>
      <c r="B72" s="73" t="s">
        <v>87</v>
      </c>
      <c r="C72" s="366">
        <f>C38+C41+C44+C47+C50+C53+C56+C59+C62+C65+C68+C71</f>
        <v>4562613219</v>
      </c>
      <c r="D72" s="367"/>
      <c r="E72" s="367"/>
      <c r="F72" s="366">
        <f>F38+F41+F44+F47+F50+F53+F56+F59+F62+F65+F68+F71</f>
        <v>4647274007</v>
      </c>
      <c r="G72" s="367"/>
      <c r="H72" s="367"/>
      <c r="I72" s="366">
        <f>I38+I41+I44+I47+I50+I53+I56+I59+I62+I65+I68+I71</f>
        <v>4605768391</v>
      </c>
      <c r="J72" s="367"/>
      <c r="K72" s="367"/>
      <c r="L72" s="366">
        <f>+L38+L41+L44+L47+L50+L53+L56+L59+L62+L65+L68+L71</f>
        <v>4521107603</v>
      </c>
      <c r="M72" s="367"/>
      <c r="N72" s="367"/>
      <c r="O72" s="368"/>
      <c r="P72" s="367">
        <f>P38+P41+P44+P47+P50+P53+P56+P59+P62+P65+P68+P71</f>
        <v>353923773.81414008</v>
      </c>
      <c r="Q72" s="366"/>
      <c r="R72" s="366">
        <f>+R38+R41+R44+R47+R50+R53+R56+R59+R62+R65+R68+R71</f>
        <v>356017138.20883995</v>
      </c>
      <c r="S72" s="369">
        <f>+S38+S41+S44+S47+S50+S53+S56+S59+S62+S65+S68+S71</f>
        <v>2093364.3946999945</v>
      </c>
      <c r="T72" s="370">
        <v>-5736836.8630684018</v>
      </c>
      <c r="U72" s="311"/>
      <c r="V72" s="313"/>
      <c r="W72" s="311"/>
      <c r="X72" s="1"/>
      <c r="Y72" s="1"/>
      <c r="Z72" s="1"/>
      <c r="AA72" s="1"/>
      <c r="AB72" s="1"/>
      <c r="AC72" s="1"/>
      <c r="AD72" s="1"/>
      <c r="AE72" s="1"/>
      <c r="AF72" s="1"/>
      <c r="AG72" s="1"/>
      <c r="AH72" s="1"/>
    </row>
    <row r="73" spans="1:34" x14ac:dyDescent="0.25">
      <c r="A73" s="1" t="s">
        <v>39</v>
      </c>
      <c r="B73" s="1"/>
      <c r="C73" s="1"/>
      <c r="D73" s="1"/>
      <c r="E73" s="1"/>
      <c r="F73" s="1"/>
      <c r="G73" s="1"/>
      <c r="H73" s="1"/>
      <c r="I73" s="1"/>
      <c r="J73" s="1"/>
      <c r="K73" s="1"/>
      <c r="L73" s="1"/>
      <c r="M73" s="1"/>
      <c r="N73" s="1"/>
      <c r="O73" s="4"/>
      <c r="P73" s="4"/>
      <c r="Q73" s="4"/>
      <c r="R73" s="72" t="s">
        <v>140</v>
      </c>
      <c r="S73" s="27">
        <v>5736837</v>
      </c>
      <c r="T73" s="145"/>
      <c r="U73" s="279"/>
      <c r="V73" s="145"/>
      <c r="W73" s="145"/>
      <c r="X73" s="1"/>
      <c r="Y73" s="1"/>
      <c r="Z73" s="1"/>
      <c r="AA73" s="1"/>
      <c r="AB73" s="1"/>
      <c r="AC73" s="1"/>
      <c r="AD73" s="1"/>
      <c r="AE73" s="1"/>
      <c r="AF73" s="1"/>
      <c r="AG73" s="1"/>
      <c r="AH73" s="1"/>
    </row>
    <row r="74" spans="1:34" ht="15.75" thickBot="1" x14ac:dyDescent="0.3">
      <c r="A74" s="1"/>
      <c r="B74" s="1"/>
      <c r="C74" s="1"/>
      <c r="D74" s="1"/>
      <c r="E74" s="1"/>
      <c r="F74" s="1"/>
      <c r="G74" s="1"/>
      <c r="H74" s="1"/>
      <c r="I74" s="1"/>
      <c r="J74" s="1"/>
      <c r="K74" s="1"/>
      <c r="L74" s="1"/>
      <c r="M74" s="1"/>
      <c r="N74" s="1"/>
      <c r="O74" s="4"/>
      <c r="P74" s="4"/>
      <c r="Q74" s="4"/>
      <c r="R74" s="72" t="s">
        <v>86</v>
      </c>
      <c r="S74" s="282">
        <f>S73-S72</f>
        <v>3643472.6053000055</v>
      </c>
      <c r="T74" s="145"/>
      <c r="U74" s="145"/>
      <c r="V74" s="145"/>
      <c r="W74" s="145"/>
      <c r="X74" s="1"/>
      <c r="Y74" s="1"/>
      <c r="Z74" s="1"/>
      <c r="AA74" s="1"/>
      <c r="AB74" s="1"/>
      <c r="AC74" s="1"/>
      <c r="AD74" s="1"/>
      <c r="AE74" s="1"/>
      <c r="AF74" s="1"/>
      <c r="AG74" s="1"/>
      <c r="AH74" s="1"/>
    </row>
    <row r="75" spans="1:34" ht="15.75" thickTop="1" x14ac:dyDescent="0.25">
      <c r="A75" s="1"/>
      <c r="B75" s="1"/>
      <c r="C75" s="1"/>
      <c r="D75" s="1"/>
      <c r="E75" s="1"/>
      <c r="F75" s="1"/>
      <c r="G75" s="1"/>
      <c r="H75" s="1"/>
      <c r="I75" s="1"/>
      <c r="J75" s="1"/>
      <c r="K75" s="1"/>
      <c r="L75" s="1"/>
      <c r="M75" s="1"/>
      <c r="N75" s="1"/>
      <c r="O75" s="1"/>
      <c r="P75" s="1"/>
      <c r="Q75" s="56"/>
      <c r="R75" s="57"/>
      <c r="S75" s="70"/>
      <c r="T75" s="145"/>
      <c r="U75" s="145"/>
      <c r="V75" s="145"/>
      <c r="W75" s="145"/>
      <c r="X75" s="1"/>
      <c r="Y75" s="1"/>
      <c r="Z75" s="1"/>
      <c r="AA75" s="1"/>
      <c r="AB75" s="1"/>
      <c r="AC75" s="1"/>
      <c r="AD75" s="1"/>
      <c r="AE75" s="1"/>
      <c r="AF75" s="1"/>
      <c r="AG75" s="1"/>
      <c r="AH75" s="1"/>
    </row>
    <row r="76" spans="1:34" x14ac:dyDescent="0.25">
      <c r="A76" s="1"/>
      <c r="B76" s="1"/>
      <c r="C76" s="1"/>
      <c r="D76" s="1"/>
      <c r="E76" s="1"/>
      <c r="F76" s="1"/>
      <c r="G76" s="1"/>
      <c r="H76" s="1"/>
      <c r="I76" s="1"/>
      <c r="J76" s="1"/>
      <c r="K76" s="1"/>
      <c r="L76" s="1"/>
      <c r="M76" s="1"/>
      <c r="N76" s="1"/>
      <c r="O76" s="1"/>
      <c r="P76" s="1" t="s">
        <v>318</v>
      </c>
      <c r="Q76" s="280">
        <v>0.01</v>
      </c>
      <c r="R76" s="281">
        <f>R72*Q76</f>
        <v>3560171.3820883995</v>
      </c>
      <c r="S76" s="71"/>
      <c r="T76" s="1"/>
      <c r="U76" s="1"/>
      <c r="V76" s="1"/>
      <c r="W76" s="1"/>
      <c r="X76" s="1"/>
      <c r="Y76" s="1"/>
      <c r="Z76" s="1"/>
      <c r="AA76" s="1"/>
      <c r="AB76" s="1"/>
      <c r="AC76" s="1"/>
      <c r="AD76" s="1"/>
      <c r="AE76" s="1"/>
      <c r="AF76" s="1"/>
      <c r="AG76" s="1"/>
      <c r="AH76" s="1"/>
    </row>
    <row r="77" spans="1:3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x14ac:dyDescent="0.25">
      <c r="A79" s="1" t="s">
        <v>40</v>
      </c>
      <c r="B79" s="46" t="s">
        <v>54</v>
      </c>
      <c r="C79" s="2"/>
      <c r="D79" s="2"/>
      <c r="E79" s="2"/>
      <c r="F79" s="1"/>
      <c r="G79" s="1"/>
      <c r="H79" s="1"/>
      <c r="I79" s="1"/>
      <c r="J79" s="1"/>
      <c r="K79" s="1"/>
      <c r="L79" s="1"/>
      <c r="M79" s="1"/>
      <c r="N79" s="1"/>
      <c r="O79" s="1"/>
      <c r="P79" s="1"/>
      <c r="Q79" s="1"/>
      <c r="R79" s="1"/>
      <c r="S79" s="1"/>
      <c r="T79" s="1"/>
      <c r="U79" s="1"/>
      <c r="V79" s="1"/>
      <c r="W79" s="1"/>
      <c r="X79" s="1"/>
      <c r="Y79" s="37"/>
      <c r="Z79" s="37"/>
      <c r="AA79" s="37"/>
      <c r="AB79" s="37"/>
      <c r="AC79" s="37"/>
      <c r="AD79" s="37"/>
      <c r="AE79" s="1"/>
      <c r="AF79" s="1"/>
      <c r="AG79" s="1"/>
      <c r="AH79" s="1"/>
    </row>
    <row r="80" spans="1:34" x14ac:dyDescent="0.25">
      <c r="A80" s="1"/>
      <c r="B80" s="3"/>
      <c r="C80" s="2"/>
      <c r="D80" s="2"/>
      <c r="E80" s="2"/>
      <c r="F80" s="1"/>
      <c r="G80" s="1"/>
      <c r="H80" s="1"/>
      <c r="I80" s="1"/>
      <c r="J80" s="1"/>
      <c r="K80" s="1"/>
      <c r="L80" s="1"/>
      <c r="M80" s="1"/>
      <c r="N80" s="1"/>
      <c r="O80" s="1"/>
      <c r="P80" s="1"/>
      <c r="Q80" s="1"/>
      <c r="R80" s="1"/>
      <c r="S80" s="1"/>
      <c r="T80" s="1"/>
      <c r="U80" s="1"/>
      <c r="V80" s="1"/>
      <c r="W80" s="1"/>
      <c r="X80" s="1"/>
      <c r="Y80" s="37"/>
      <c r="Z80" s="37"/>
      <c r="AA80" s="37"/>
      <c r="AB80" s="37"/>
      <c r="AC80" s="37"/>
      <c r="AD80" s="37"/>
      <c r="AE80" s="1"/>
      <c r="AF80" s="1"/>
      <c r="AG80" s="1"/>
      <c r="AH80" s="1"/>
    </row>
    <row r="81" spans="1:34" ht="75" x14ac:dyDescent="0.25">
      <c r="A81" s="11"/>
      <c r="B81" s="195" t="s">
        <v>51</v>
      </c>
      <c r="C81" s="48" t="s">
        <v>73</v>
      </c>
      <c r="D81" s="48"/>
      <c r="E81" s="48"/>
      <c r="F81" s="48" t="s">
        <v>133</v>
      </c>
      <c r="G81" s="48"/>
      <c r="H81" s="48"/>
      <c r="I81" s="393" t="s">
        <v>50</v>
      </c>
      <c r="J81" s="393"/>
      <c r="K81" s="393"/>
      <c r="L81" s="393"/>
      <c r="M81" s="393"/>
      <c r="N81" s="393"/>
      <c r="O81" s="393"/>
      <c r="P81" s="393"/>
      <c r="Q81" s="393"/>
      <c r="R81" s="1"/>
      <c r="S81" s="1"/>
      <c r="T81" s="1"/>
      <c r="U81" s="1"/>
      <c r="V81" s="1"/>
      <c r="W81" s="1"/>
      <c r="X81" s="1"/>
      <c r="Y81" s="37"/>
      <c r="Z81" s="37"/>
      <c r="AA81" s="37"/>
      <c r="AB81" s="37"/>
      <c r="AC81" s="37"/>
      <c r="AD81" s="37"/>
      <c r="AE81" s="1"/>
      <c r="AF81" s="1"/>
      <c r="AG81" s="1"/>
      <c r="AH81" s="1"/>
    </row>
    <row r="82" spans="1:34" ht="57.75" customHeight="1" x14ac:dyDescent="0.25">
      <c r="A82" s="74" t="s">
        <v>57</v>
      </c>
      <c r="B82" s="49" t="s">
        <v>68</v>
      </c>
      <c r="C82" s="241" t="s">
        <v>294</v>
      </c>
      <c r="D82" s="10"/>
      <c r="E82" s="10"/>
      <c r="F82" s="103"/>
      <c r="G82" s="103"/>
      <c r="H82" s="103"/>
      <c r="I82" s="388" t="s">
        <v>323</v>
      </c>
      <c r="J82" s="388"/>
      <c r="K82" s="388"/>
      <c r="L82" s="388"/>
      <c r="M82" s="388"/>
      <c r="N82" s="388"/>
      <c r="O82" s="388"/>
      <c r="P82" s="388"/>
      <c r="Q82" s="388"/>
      <c r="R82" s="1"/>
      <c r="S82" s="1"/>
      <c r="T82" s="1"/>
      <c r="U82" s="1"/>
      <c r="V82" s="1"/>
      <c r="W82" s="1"/>
      <c r="X82" s="1"/>
      <c r="Y82" s="37"/>
      <c r="Z82" s="37"/>
      <c r="AA82" s="37"/>
      <c r="AB82" s="37"/>
      <c r="AC82" s="37"/>
      <c r="AD82" s="37"/>
      <c r="AE82" s="1"/>
      <c r="AF82" s="1"/>
      <c r="AG82" s="1"/>
      <c r="AH82" s="1"/>
    </row>
    <row r="83" spans="1:34" ht="57.75" customHeight="1" x14ac:dyDescent="0.25">
      <c r="A83" s="74" t="s">
        <v>58</v>
      </c>
      <c r="B83" s="49" t="s">
        <v>88</v>
      </c>
      <c r="C83" s="291" t="s">
        <v>294</v>
      </c>
      <c r="D83" s="58"/>
      <c r="E83" s="58"/>
      <c r="F83" s="103"/>
      <c r="G83" s="128"/>
      <c r="H83" s="128"/>
      <c r="I83" s="388" t="s">
        <v>324</v>
      </c>
      <c r="J83" s="388"/>
      <c r="K83" s="388"/>
      <c r="L83" s="388"/>
      <c r="M83" s="388"/>
      <c r="N83" s="388"/>
      <c r="O83" s="388"/>
      <c r="P83" s="388"/>
      <c r="Q83" s="388"/>
      <c r="R83" s="83"/>
      <c r="S83" s="322"/>
      <c r="T83" s="322"/>
      <c r="U83" s="223"/>
      <c r="V83" s="83"/>
      <c r="W83" s="83"/>
      <c r="X83" s="83"/>
      <c r="Y83" s="37"/>
      <c r="Z83" s="37"/>
      <c r="AA83" s="37"/>
      <c r="AB83" s="37"/>
      <c r="AC83" s="37"/>
      <c r="AD83" s="37"/>
      <c r="AE83" s="1"/>
      <c r="AF83" s="1"/>
      <c r="AG83" s="1"/>
      <c r="AH83" s="1"/>
    </row>
    <row r="84" spans="1:34" ht="29.25" x14ac:dyDescent="0.25">
      <c r="A84" s="74" t="s">
        <v>71</v>
      </c>
      <c r="B84" s="49" t="s">
        <v>70</v>
      </c>
      <c r="C84" s="241" t="s">
        <v>295</v>
      </c>
      <c r="D84" s="10"/>
      <c r="E84" s="10"/>
      <c r="F84" s="242">
        <f>+'2015 Summary'!C16</f>
        <v>1104322.7312199995</v>
      </c>
      <c r="G84" s="103"/>
      <c r="H84" s="103"/>
      <c r="I84" s="388" t="s">
        <v>319</v>
      </c>
      <c r="J84" s="388"/>
      <c r="K84" s="388"/>
      <c r="L84" s="388"/>
      <c r="M84" s="388"/>
      <c r="N84" s="388"/>
      <c r="O84" s="388"/>
      <c r="P84" s="388"/>
      <c r="Q84" s="388"/>
      <c r="R84" s="83"/>
      <c r="S84" s="325"/>
      <c r="T84" s="325"/>
      <c r="U84" s="223"/>
      <c r="V84" s="83"/>
      <c r="W84" s="83"/>
      <c r="X84" s="83"/>
      <c r="Y84" s="37"/>
      <c r="Z84" s="37"/>
      <c r="AA84" s="37"/>
      <c r="AB84" s="37"/>
      <c r="AC84" s="37"/>
      <c r="AD84" s="37"/>
      <c r="AE84" s="1"/>
      <c r="AF84" s="1"/>
      <c r="AG84" s="1"/>
      <c r="AH84" s="1"/>
    </row>
    <row r="85" spans="1:34" ht="29.25" x14ac:dyDescent="0.25">
      <c r="A85" s="74" t="s">
        <v>72</v>
      </c>
      <c r="B85" s="49" t="s">
        <v>69</v>
      </c>
      <c r="C85" s="291" t="s">
        <v>295</v>
      </c>
      <c r="D85" s="58"/>
      <c r="E85" s="58"/>
      <c r="F85" s="283">
        <f>'2015 Summary'!C6</f>
        <v>2089774.153359998</v>
      </c>
      <c r="G85" s="128"/>
      <c r="H85" s="128"/>
      <c r="I85" s="389" t="s">
        <v>319</v>
      </c>
      <c r="J85" s="390"/>
      <c r="K85" s="390"/>
      <c r="L85" s="390"/>
      <c r="M85" s="390"/>
      <c r="N85" s="390"/>
      <c r="O85" s="390"/>
      <c r="P85" s="390"/>
      <c r="Q85" s="391"/>
      <c r="R85" s="83"/>
      <c r="S85" s="323"/>
      <c r="T85" s="321"/>
      <c r="U85" s="223"/>
      <c r="V85" s="83"/>
      <c r="W85" s="83"/>
      <c r="X85" s="83"/>
      <c r="Y85" s="37"/>
      <c r="Z85" s="37"/>
      <c r="AA85" s="37"/>
      <c r="AB85" s="37"/>
      <c r="AC85" s="37"/>
      <c r="AD85" s="37"/>
      <c r="AE85" s="1"/>
      <c r="AF85" s="1"/>
      <c r="AG85" s="1"/>
      <c r="AH85" s="1"/>
    </row>
    <row r="86" spans="1:34" ht="43.5" x14ac:dyDescent="0.25">
      <c r="A86" s="74" t="s">
        <v>76</v>
      </c>
      <c r="B86" s="49" t="s">
        <v>78</v>
      </c>
      <c r="C86" s="241" t="s">
        <v>294</v>
      </c>
      <c r="D86" s="10"/>
      <c r="E86" s="10"/>
      <c r="F86" s="103"/>
      <c r="G86" s="103"/>
      <c r="H86" s="103"/>
      <c r="I86" s="388"/>
      <c r="J86" s="388"/>
      <c r="K86" s="388"/>
      <c r="L86" s="388"/>
      <c r="M86" s="388"/>
      <c r="N86" s="388"/>
      <c r="O86" s="388"/>
      <c r="P86" s="388"/>
      <c r="Q86" s="388"/>
      <c r="R86" s="83"/>
      <c r="S86" s="323"/>
      <c r="T86" s="321"/>
      <c r="U86" s="223"/>
      <c r="V86" s="83"/>
      <c r="W86" s="83"/>
      <c r="X86" s="83"/>
      <c r="Y86" s="37"/>
      <c r="Z86" s="37"/>
      <c r="AA86" s="37"/>
      <c r="AB86" s="37"/>
      <c r="AC86" s="37"/>
      <c r="AD86" s="37"/>
      <c r="AE86" s="1"/>
      <c r="AF86" s="1"/>
      <c r="AG86" s="1"/>
      <c r="AH86" s="1"/>
    </row>
    <row r="87" spans="1:34" ht="43.5" x14ac:dyDescent="0.25">
      <c r="A87" s="74" t="s">
        <v>77</v>
      </c>
      <c r="B87" s="49" t="s">
        <v>79</v>
      </c>
      <c r="C87" s="241" t="s">
        <v>294</v>
      </c>
      <c r="D87" s="10"/>
      <c r="E87" s="10"/>
      <c r="F87" s="103"/>
      <c r="G87" s="128"/>
      <c r="H87" s="128"/>
      <c r="I87" s="389"/>
      <c r="J87" s="390"/>
      <c r="K87" s="390"/>
      <c r="L87" s="390"/>
      <c r="M87" s="390"/>
      <c r="N87" s="390"/>
      <c r="O87" s="390"/>
      <c r="P87" s="390"/>
      <c r="Q87" s="391"/>
      <c r="R87" s="83"/>
      <c r="S87" s="322"/>
      <c r="T87" s="324"/>
      <c r="U87" s="223"/>
      <c r="V87" s="83"/>
      <c r="W87" s="83"/>
      <c r="X87" s="83"/>
      <c r="Y87" s="1"/>
      <c r="Z87" s="1"/>
      <c r="AA87" s="1"/>
      <c r="AB87" s="1"/>
      <c r="AC87" s="1"/>
      <c r="AD87" s="1"/>
      <c r="AE87" s="1"/>
      <c r="AF87" s="1"/>
      <c r="AG87" s="1"/>
      <c r="AH87" s="1"/>
    </row>
    <row r="88" spans="1:34" ht="29.25" x14ac:dyDescent="0.25">
      <c r="A88" s="74">
        <v>4</v>
      </c>
      <c r="B88" s="49" t="s">
        <v>75</v>
      </c>
      <c r="C88" s="241" t="s">
        <v>295</v>
      </c>
      <c r="D88" s="10"/>
      <c r="E88" s="10"/>
      <c r="F88" s="284">
        <v>-239979</v>
      </c>
      <c r="G88" s="103"/>
      <c r="H88" s="103"/>
      <c r="I88" s="388" t="s">
        <v>319</v>
      </c>
      <c r="J88" s="388"/>
      <c r="K88" s="388"/>
      <c r="L88" s="388"/>
      <c r="M88" s="388"/>
      <c r="N88" s="388"/>
      <c r="O88" s="388"/>
      <c r="P88" s="388"/>
      <c r="Q88" s="388"/>
      <c r="R88" s="83"/>
      <c r="S88" s="83"/>
      <c r="T88" s="83"/>
      <c r="U88" s="83"/>
      <c r="V88" s="83"/>
      <c r="W88" s="83"/>
      <c r="X88" s="83"/>
      <c r="Y88" s="1"/>
      <c r="Z88" s="1"/>
      <c r="AA88" s="1"/>
      <c r="AB88" s="1"/>
      <c r="AC88" s="1"/>
      <c r="AD88" s="1"/>
      <c r="AE88" s="1"/>
      <c r="AF88" s="1"/>
      <c r="AG88" s="1"/>
      <c r="AH88" s="1"/>
    </row>
    <row r="89" spans="1:34" ht="72" x14ac:dyDescent="0.25">
      <c r="A89" s="74">
        <v>5</v>
      </c>
      <c r="B89" s="49" t="s">
        <v>90</v>
      </c>
      <c r="C89" s="241" t="s">
        <v>294</v>
      </c>
      <c r="D89" s="10"/>
      <c r="E89" s="10"/>
      <c r="F89" s="103"/>
      <c r="G89" s="103"/>
      <c r="H89" s="103"/>
      <c r="I89" s="388"/>
      <c r="J89" s="388"/>
      <c r="K89" s="388"/>
      <c r="L89" s="388"/>
      <c r="M89" s="388"/>
      <c r="N89" s="388"/>
      <c r="O89" s="388"/>
      <c r="P89" s="388"/>
      <c r="Q89" s="388"/>
      <c r="R89" s="83"/>
      <c r="S89" s="83"/>
      <c r="T89" s="83"/>
      <c r="U89" s="83"/>
      <c r="V89" s="83"/>
      <c r="W89" s="83"/>
      <c r="X89" s="83"/>
      <c r="Y89" s="1"/>
      <c r="Z89" s="1"/>
      <c r="AA89" s="1"/>
      <c r="AB89" s="1"/>
      <c r="AC89" s="1"/>
      <c r="AD89" s="1"/>
      <c r="AE89" s="1"/>
      <c r="AF89" s="1"/>
      <c r="AG89" s="1"/>
      <c r="AH89" s="1"/>
    </row>
    <row r="90" spans="1:34" ht="43.5" x14ac:dyDescent="0.25">
      <c r="A90" s="53">
        <v>6</v>
      </c>
      <c r="B90" s="47" t="s">
        <v>330</v>
      </c>
      <c r="C90" s="241" t="s">
        <v>295</v>
      </c>
      <c r="D90" s="10"/>
      <c r="E90" s="10"/>
      <c r="F90" s="320">
        <v>92107.846160292625</v>
      </c>
      <c r="G90" s="103"/>
      <c r="H90" s="103"/>
      <c r="I90" s="388" t="s">
        <v>332</v>
      </c>
      <c r="J90" s="388"/>
      <c r="K90" s="388"/>
      <c r="L90" s="388"/>
      <c r="M90" s="388"/>
      <c r="N90" s="388"/>
      <c r="O90" s="388"/>
      <c r="P90" s="388"/>
      <c r="Q90" s="388"/>
      <c r="R90" s="1"/>
      <c r="S90" s="1"/>
      <c r="T90" s="1"/>
      <c r="U90" s="1"/>
      <c r="V90" s="1"/>
      <c r="W90" s="1"/>
      <c r="X90" s="1"/>
      <c r="Y90" s="1"/>
      <c r="Z90" s="1"/>
      <c r="AA90" s="1"/>
      <c r="AB90" s="1"/>
      <c r="AC90" s="1"/>
      <c r="AD90" s="1"/>
      <c r="AE90" s="1"/>
      <c r="AF90" s="1"/>
      <c r="AG90" s="1"/>
      <c r="AH90" s="1"/>
    </row>
    <row r="91" spans="1:34" x14ac:dyDescent="0.25">
      <c r="A91" s="53">
        <v>7</v>
      </c>
      <c r="B91" s="45"/>
      <c r="C91" s="10"/>
      <c r="D91" s="10"/>
      <c r="E91" s="10"/>
      <c r="F91" s="103"/>
      <c r="G91" s="103"/>
      <c r="H91" s="103"/>
      <c r="I91" s="388"/>
      <c r="J91" s="388"/>
      <c r="K91" s="388"/>
      <c r="L91" s="388"/>
      <c r="M91" s="388"/>
      <c r="N91" s="388"/>
      <c r="O91" s="388"/>
      <c r="P91" s="388"/>
      <c r="Q91" s="388"/>
      <c r="R91" s="1"/>
      <c r="S91" s="1"/>
      <c r="T91" s="1"/>
      <c r="U91" s="1"/>
      <c r="V91" s="1"/>
      <c r="W91" s="1"/>
      <c r="X91" s="1"/>
      <c r="Y91" s="1"/>
      <c r="Z91" s="1"/>
      <c r="AA91" s="1"/>
      <c r="AB91" s="1"/>
      <c r="AC91" s="1"/>
      <c r="AD91" s="1"/>
      <c r="AE91" s="1"/>
      <c r="AF91" s="1"/>
      <c r="AG91" s="1"/>
      <c r="AH91" s="1"/>
    </row>
    <row r="92" spans="1:34" x14ac:dyDescent="0.25">
      <c r="A92" s="53">
        <v>8</v>
      </c>
      <c r="B92" s="45"/>
      <c r="C92" s="10"/>
      <c r="D92" s="10"/>
      <c r="E92" s="10"/>
      <c r="F92" s="103"/>
      <c r="G92" s="103"/>
      <c r="H92" s="103"/>
      <c r="I92" s="388"/>
      <c r="J92" s="388"/>
      <c r="K92" s="388"/>
      <c r="L92" s="388"/>
      <c r="M92" s="388"/>
      <c r="N92" s="388"/>
      <c r="O92" s="388"/>
      <c r="P92" s="388"/>
      <c r="Q92" s="388"/>
      <c r="R92" s="1"/>
      <c r="S92" s="1"/>
      <c r="T92" s="1"/>
      <c r="U92" s="1"/>
      <c r="V92" s="1"/>
      <c r="W92" s="1"/>
      <c r="X92" s="1"/>
      <c r="Y92" s="1"/>
      <c r="Z92" s="1"/>
      <c r="AA92" s="1"/>
      <c r="AB92" s="1"/>
      <c r="AC92" s="1"/>
      <c r="AD92" s="1"/>
      <c r="AE92" s="1"/>
      <c r="AF92" s="1"/>
      <c r="AG92" s="1"/>
      <c r="AH92" s="1"/>
    </row>
    <row r="93" spans="1:34" x14ac:dyDescent="0.25">
      <c r="A93" s="53">
        <v>9</v>
      </c>
      <c r="B93" s="45"/>
      <c r="C93" s="10"/>
      <c r="D93" s="10"/>
      <c r="E93" s="10"/>
      <c r="F93" s="103"/>
      <c r="G93" s="128"/>
      <c r="H93" s="128"/>
      <c r="I93" s="389"/>
      <c r="J93" s="390"/>
      <c r="K93" s="390"/>
      <c r="L93" s="390"/>
      <c r="M93" s="390"/>
      <c r="N93" s="390"/>
      <c r="O93" s="390"/>
      <c r="P93" s="390"/>
      <c r="Q93" s="391"/>
      <c r="R93" s="1"/>
      <c r="S93" s="1"/>
      <c r="T93" s="1"/>
      <c r="U93" s="1"/>
      <c r="V93" s="1"/>
      <c r="W93" s="1"/>
      <c r="X93" s="1"/>
      <c r="Y93" s="1"/>
      <c r="Z93" s="1"/>
      <c r="AA93" s="1"/>
      <c r="AB93" s="1"/>
      <c r="AC93" s="1"/>
      <c r="AD93" s="1"/>
      <c r="AE93" s="1"/>
      <c r="AF93" s="1"/>
      <c r="AG93" s="1"/>
      <c r="AH93" s="1"/>
    </row>
    <row r="94" spans="1:34" x14ac:dyDescent="0.25">
      <c r="A94" s="53">
        <v>10</v>
      </c>
      <c r="B94" s="45"/>
      <c r="C94" s="10"/>
      <c r="D94" s="10"/>
      <c r="E94" s="10"/>
      <c r="F94" s="103"/>
      <c r="G94" s="103"/>
      <c r="H94" s="103"/>
      <c r="I94" s="388"/>
      <c r="J94" s="388"/>
      <c r="K94" s="388"/>
      <c r="L94" s="388"/>
      <c r="M94" s="388"/>
      <c r="N94" s="388"/>
      <c r="O94" s="388"/>
      <c r="P94" s="388"/>
      <c r="Q94" s="388"/>
      <c r="R94" s="1"/>
      <c r="S94" s="1"/>
      <c r="T94" s="1"/>
      <c r="U94" s="1"/>
      <c r="V94" s="1"/>
      <c r="W94" s="1"/>
      <c r="X94" s="1"/>
      <c r="Y94" s="1"/>
      <c r="Z94" s="1"/>
      <c r="AA94" s="1"/>
      <c r="AB94" s="1"/>
      <c r="AC94" s="1"/>
      <c r="AD94" s="1"/>
      <c r="AE94" s="1"/>
      <c r="AF94" s="1"/>
      <c r="AG94" s="1"/>
      <c r="AH94" s="1"/>
    </row>
    <row r="95" spans="1:34" x14ac:dyDescent="0.25">
      <c r="A95" s="1"/>
      <c r="B95" s="2" t="s">
        <v>25</v>
      </c>
      <c r="C95" s="2"/>
      <c r="D95" s="2"/>
      <c r="E95" s="2"/>
      <c r="F95" s="104">
        <f>SUM(F82:F94)</f>
        <v>3046225.7307402901</v>
      </c>
      <c r="G95" s="104"/>
      <c r="H95" s="104"/>
      <c r="I95" s="28"/>
      <c r="J95" s="28"/>
      <c r="K95" s="28"/>
      <c r="L95" s="28"/>
      <c r="M95" s="28"/>
      <c r="N95" s="28"/>
      <c r="O95" s="28"/>
      <c r="P95" s="28"/>
      <c r="Q95" s="1"/>
      <c r="R95" s="1"/>
      <c r="S95" s="1"/>
      <c r="T95" s="1"/>
      <c r="U95" s="1"/>
      <c r="V95" s="1"/>
      <c r="W95" s="1"/>
      <c r="X95" s="1"/>
      <c r="Y95" s="1"/>
      <c r="Z95" s="1"/>
      <c r="AA95" s="1"/>
      <c r="AB95" s="1"/>
      <c r="AC95" s="1"/>
      <c r="AD95" s="1"/>
      <c r="AE95" s="1"/>
      <c r="AF95" s="1"/>
      <c r="AG95" s="1"/>
      <c r="AH95" s="1"/>
    </row>
    <row r="96" spans="1:34" x14ac:dyDescent="0.25">
      <c r="A96" s="1"/>
      <c r="B96" s="75" t="s">
        <v>74</v>
      </c>
      <c r="C96" s="75"/>
      <c r="D96" s="75"/>
      <c r="E96" s="75"/>
      <c r="F96" s="104">
        <f>S74</f>
        <v>3643472.6053000055</v>
      </c>
      <c r="G96" s="104"/>
      <c r="H96" s="104"/>
      <c r="I96" s="28"/>
      <c r="J96" s="28"/>
      <c r="K96" s="28"/>
      <c r="L96" s="28"/>
      <c r="M96" s="28"/>
      <c r="N96" s="28"/>
      <c r="O96" s="28"/>
      <c r="P96" s="28"/>
      <c r="Q96" s="1"/>
      <c r="R96" s="1"/>
      <c r="S96" s="1"/>
      <c r="T96" s="1"/>
      <c r="U96" s="1"/>
      <c r="V96" s="1"/>
      <c r="W96" s="1"/>
      <c r="X96" s="1"/>
      <c r="Y96" s="1"/>
      <c r="Z96" s="1"/>
      <c r="AA96" s="1"/>
      <c r="AB96" s="1"/>
      <c r="AC96" s="1"/>
      <c r="AD96" s="1"/>
      <c r="AE96" s="1"/>
      <c r="AF96" s="1"/>
      <c r="AG96" s="1"/>
      <c r="AH96" s="1"/>
    </row>
    <row r="97" spans="1:34" x14ac:dyDescent="0.25">
      <c r="A97" s="1"/>
      <c r="B97" s="75" t="s">
        <v>24</v>
      </c>
      <c r="C97" s="75"/>
      <c r="D97" s="75"/>
      <c r="E97" s="75"/>
      <c r="F97" s="105">
        <f>F96-F95</f>
        <v>597246.87455971539</v>
      </c>
      <c r="G97" s="129"/>
      <c r="H97" s="129"/>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30.75" thickBot="1" x14ac:dyDescent="0.3">
      <c r="A98" s="1"/>
      <c r="B98" s="76" t="s">
        <v>80</v>
      </c>
      <c r="C98" s="76"/>
      <c r="D98" s="76"/>
      <c r="E98" s="76"/>
      <c r="F98" s="63">
        <v>-2.1780612285725999E-3</v>
      </c>
      <c r="G98" s="130"/>
      <c r="H98" s="130"/>
      <c r="I98" s="107" t="str">
        <f>IF(AND(F98&lt;0.01,F98&gt;-0.01),"","Unresolved differences of greater than + or - 1% should be explained")</f>
        <v/>
      </c>
      <c r="J98" s="107"/>
      <c r="K98" s="107"/>
      <c r="L98" s="1"/>
      <c r="M98" s="1"/>
      <c r="N98" s="1"/>
      <c r="O98" s="83"/>
      <c r="P98" s="37"/>
      <c r="Q98" s="37"/>
      <c r="R98" s="37"/>
      <c r="S98" s="37"/>
      <c r="T98" s="37"/>
      <c r="U98" s="37"/>
      <c r="V98" s="37"/>
      <c r="W98" s="37"/>
      <c r="X98" s="1"/>
      <c r="Y98" s="1"/>
      <c r="Z98" s="1"/>
      <c r="AA98" s="1"/>
      <c r="AB98" s="1"/>
      <c r="AC98" s="1"/>
      <c r="AD98" s="1"/>
      <c r="AE98" s="1"/>
      <c r="AF98" s="1"/>
      <c r="AG98" s="1"/>
      <c r="AH98" s="1"/>
    </row>
    <row r="99" spans="1:34" ht="15.75" thickTop="1" x14ac:dyDescent="0.25">
      <c r="A99" s="1"/>
      <c r="B99" s="2"/>
      <c r="C99" s="55"/>
      <c r="D99" s="55"/>
      <c r="E99" s="55"/>
      <c r="F99" s="61"/>
      <c r="G99" s="61"/>
      <c r="H99" s="61"/>
      <c r="I99" s="1"/>
      <c r="J99" s="1"/>
      <c r="K99" s="1"/>
      <c r="L99" s="1"/>
      <c r="M99" s="1"/>
      <c r="N99" s="1"/>
      <c r="O99" s="83"/>
      <c r="P99" s="1"/>
      <c r="Q99" s="1"/>
      <c r="R99" s="1"/>
      <c r="S99" s="1"/>
      <c r="T99" s="1"/>
      <c r="U99" s="1"/>
      <c r="V99" s="1"/>
      <c r="W99" s="1"/>
      <c r="X99" s="1"/>
      <c r="Y99" s="1"/>
      <c r="Z99" s="1"/>
      <c r="AA99" s="1"/>
      <c r="AB99" s="1"/>
      <c r="AC99" s="1"/>
      <c r="AD99" s="1"/>
      <c r="AE99" s="1"/>
      <c r="AF99" s="1"/>
      <c r="AG99" s="1"/>
      <c r="AH99" s="1"/>
    </row>
    <row r="100" spans="1:34" x14ac:dyDescent="0.25">
      <c r="A100" s="1"/>
      <c r="B100" s="2"/>
      <c r="C100" s="55"/>
      <c r="D100" s="55"/>
      <c r="E100" s="55"/>
      <c r="F100" s="36"/>
      <c r="G100" s="36"/>
      <c r="H100" s="36"/>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25">
      <c r="A101" s="1" t="s">
        <v>82</v>
      </c>
      <c r="B101" s="77" t="s">
        <v>47</v>
      </c>
      <c r="C101" s="60"/>
      <c r="D101" s="60"/>
      <c r="E101" s="60"/>
      <c r="F101" s="61"/>
      <c r="G101" s="61"/>
      <c r="H101" s="6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x14ac:dyDescent="0.25">
      <c r="A102" s="1"/>
      <c r="B102" s="59"/>
      <c r="C102" s="60"/>
      <c r="D102" s="60"/>
      <c r="E102" s="60"/>
      <c r="F102" s="61"/>
      <c r="G102" s="61"/>
      <c r="H102" s="6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20" x14ac:dyDescent="0.25">
      <c r="A103" s="1"/>
      <c r="B103" s="197" t="s">
        <v>26</v>
      </c>
      <c r="C103" s="48" t="s">
        <v>146</v>
      </c>
      <c r="D103" s="48"/>
      <c r="E103" s="48"/>
      <c r="F103" s="78" t="s">
        <v>147</v>
      </c>
      <c r="G103" s="78"/>
      <c r="H103" s="78"/>
      <c r="I103" s="48" t="s">
        <v>148</v>
      </c>
      <c r="J103" s="48"/>
      <c r="K103" s="48"/>
      <c r="L103" s="48" t="s">
        <v>150</v>
      </c>
      <c r="M103" s="48"/>
      <c r="N103" s="48"/>
      <c r="O103" s="48" t="s">
        <v>24</v>
      </c>
      <c r="P103" s="80" t="s">
        <v>149</v>
      </c>
      <c r="Q103" s="48" t="s">
        <v>80</v>
      </c>
      <c r="R103" s="83"/>
      <c r="S103" s="83"/>
      <c r="T103" s="37"/>
      <c r="U103" s="37"/>
      <c r="V103" s="37"/>
      <c r="W103" s="37"/>
      <c r="X103" s="37"/>
      <c r="Y103" s="1"/>
      <c r="Z103" s="1"/>
      <c r="AA103" s="1"/>
      <c r="AB103" s="1"/>
      <c r="AC103" s="1"/>
      <c r="AD103" s="1"/>
      <c r="AE103" s="1"/>
      <c r="AF103" s="1"/>
      <c r="AG103" s="1"/>
      <c r="AH103" s="1"/>
    </row>
    <row r="104" spans="1:34" x14ac:dyDescent="0.25">
      <c r="A104" s="1"/>
      <c r="B104" s="109">
        <v>2015</v>
      </c>
      <c r="C104" s="111">
        <v>2093364.3946999945</v>
      </c>
      <c r="D104" s="111"/>
      <c r="E104" s="111"/>
      <c r="F104" s="111">
        <v>5736837</v>
      </c>
      <c r="G104" s="111"/>
      <c r="H104" s="111"/>
      <c r="I104" s="112">
        <v>3643472.6053000055</v>
      </c>
      <c r="J104" s="112"/>
      <c r="K104" s="112"/>
      <c r="L104" s="112">
        <v>4418899.7307402901</v>
      </c>
      <c r="M104" s="112"/>
      <c r="N104" s="112"/>
      <c r="O104" s="113">
        <f>I104-L104</f>
        <v>-775427.12544028461</v>
      </c>
      <c r="P104" s="112">
        <v>356017138.20883995</v>
      </c>
      <c r="Q104" s="108">
        <f>IF(ISERROR(O104/P104),0,O104/P104)</f>
        <v>-2.1780612285732673E-3</v>
      </c>
      <c r="R104" s="83"/>
      <c r="S104" s="83"/>
      <c r="T104" s="37"/>
      <c r="U104" s="37"/>
      <c r="V104" s="37"/>
      <c r="W104" s="37"/>
      <c r="X104" s="37"/>
      <c r="Y104" s="1"/>
      <c r="Z104" s="1"/>
      <c r="AA104" s="1"/>
      <c r="AB104" s="1"/>
      <c r="AC104" s="1"/>
      <c r="AD104" s="1"/>
      <c r="AE104" s="1"/>
      <c r="AF104" s="1"/>
      <c r="AG104" s="1"/>
      <c r="AH104" s="1"/>
    </row>
    <row r="105" spans="1:34" x14ac:dyDescent="0.25">
      <c r="A105" s="1"/>
      <c r="B105" s="109"/>
      <c r="C105" s="111"/>
      <c r="D105" s="111"/>
      <c r="E105" s="111"/>
      <c r="F105" s="111"/>
      <c r="G105" s="111"/>
      <c r="H105" s="111"/>
      <c r="I105" s="112"/>
      <c r="J105" s="112"/>
      <c r="K105" s="112"/>
      <c r="L105" s="112"/>
      <c r="M105" s="112"/>
      <c r="N105" s="112"/>
      <c r="O105" s="113">
        <f>I105-L105</f>
        <v>0</v>
      </c>
      <c r="P105" s="112"/>
      <c r="Q105" s="108">
        <f>IF(ISERROR(O105/P105),0,O105/P105)</f>
        <v>0</v>
      </c>
      <c r="R105" s="83"/>
      <c r="S105" s="83"/>
      <c r="T105" s="37"/>
      <c r="U105" s="37"/>
      <c r="V105" s="37"/>
      <c r="W105" s="37"/>
      <c r="X105" s="37"/>
      <c r="Y105" s="1"/>
      <c r="Z105" s="1"/>
      <c r="AA105" s="1"/>
      <c r="AB105" s="1"/>
      <c r="AC105" s="1"/>
      <c r="AD105" s="1"/>
      <c r="AE105" s="1"/>
      <c r="AF105" s="1"/>
      <c r="AG105" s="1"/>
      <c r="AH105" s="1"/>
    </row>
    <row r="106" spans="1:34" x14ac:dyDescent="0.25">
      <c r="A106" s="1"/>
      <c r="B106" s="109"/>
      <c r="C106" s="111"/>
      <c r="D106" s="111"/>
      <c r="E106" s="111"/>
      <c r="F106" s="111"/>
      <c r="G106" s="111"/>
      <c r="H106" s="111"/>
      <c r="I106" s="112"/>
      <c r="J106" s="112"/>
      <c r="K106" s="112"/>
      <c r="L106" s="112"/>
      <c r="M106" s="112"/>
      <c r="N106" s="112"/>
      <c r="O106" s="113">
        <f>I106-L106</f>
        <v>0</v>
      </c>
      <c r="P106" s="112"/>
      <c r="Q106" s="108">
        <f>IF(ISERROR(O106/P106),0,O106/P106)</f>
        <v>0</v>
      </c>
      <c r="R106" s="83"/>
      <c r="S106" s="83"/>
      <c r="T106" s="37"/>
      <c r="U106" s="37"/>
      <c r="V106" s="37"/>
      <c r="W106" s="37"/>
      <c r="X106" s="37"/>
      <c r="Y106" s="1"/>
      <c r="Z106" s="1"/>
      <c r="AA106" s="1"/>
      <c r="AB106" s="1"/>
      <c r="AC106" s="1"/>
      <c r="AD106" s="1"/>
      <c r="AE106" s="1"/>
      <c r="AF106" s="1"/>
      <c r="AG106" s="1"/>
      <c r="AH106" s="1"/>
    </row>
    <row r="107" spans="1:34" ht="15.75" thickBot="1" x14ac:dyDescent="0.3">
      <c r="A107" s="1"/>
      <c r="B107" s="109"/>
      <c r="C107" s="114"/>
      <c r="D107" s="114"/>
      <c r="E107" s="114"/>
      <c r="F107" s="114"/>
      <c r="G107" s="114"/>
      <c r="H107" s="114"/>
      <c r="I107" s="114"/>
      <c r="J107" s="114"/>
      <c r="K107" s="114"/>
      <c r="L107" s="114"/>
      <c r="M107" s="114"/>
      <c r="N107" s="114"/>
      <c r="O107" s="115">
        <f>I107-L107</f>
        <v>0</v>
      </c>
      <c r="P107" s="114"/>
      <c r="Q107" s="110">
        <f>IF(ISERROR(O107/P107),0,O107/P107)</f>
        <v>0</v>
      </c>
      <c r="R107" s="83"/>
      <c r="S107" s="83"/>
      <c r="T107" s="37"/>
      <c r="U107" s="37"/>
      <c r="V107" s="37"/>
      <c r="W107" s="37"/>
      <c r="X107" s="37"/>
      <c r="Y107" s="1"/>
      <c r="Z107" s="1"/>
      <c r="AA107" s="1"/>
      <c r="AB107" s="1"/>
      <c r="AC107" s="1"/>
      <c r="AD107" s="1"/>
      <c r="AE107" s="1"/>
      <c r="AF107" s="1"/>
      <c r="AG107" s="1"/>
      <c r="AH107" s="1"/>
    </row>
    <row r="108" spans="1:34" ht="15.75" thickBot="1" x14ac:dyDescent="0.3">
      <c r="A108" s="1"/>
      <c r="B108" s="79" t="s">
        <v>81</v>
      </c>
      <c r="C108" s="81">
        <f t="shared" ref="C108:P108" si="80">SUM(C104:C107)</f>
        <v>2093364.3946999945</v>
      </c>
      <c r="D108" s="81"/>
      <c r="E108" s="81"/>
      <c r="F108" s="81">
        <f t="shared" si="80"/>
        <v>5736837</v>
      </c>
      <c r="G108" s="81"/>
      <c r="H108" s="81"/>
      <c r="I108" s="81">
        <f t="shared" si="80"/>
        <v>3643472.6053000055</v>
      </c>
      <c r="J108" s="81"/>
      <c r="K108" s="81"/>
      <c r="L108" s="81">
        <f t="shared" si="80"/>
        <v>4418899.7307402901</v>
      </c>
      <c r="M108" s="81"/>
      <c r="N108" s="81"/>
      <c r="O108" s="81">
        <f t="shared" si="80"/>
        <v>-775427.12544028461</v>
      </c>
      <c r="P108" s="81">
        <f t="shared" si="80"/>
        <v>356017138.20883995</v>
      </c>
      <c r="Q108" s="82" t="s">
        <v>89</v>
      </c>
      <c r="R108" s="83"/>
      <c r="S108" s="83"/>
      <c r="T108" s="37"/>
      <c r="U108" s="37"/>
      <c r="V108" s="37"/>
      <c r="W108" s="37"/>
      <c r="X108" s="37"/>
      <c r="Y108" s="1"/>
      <c r="Z108" s="1"/>
      <c r="AA108" s="1"/>
      <c r="AB108" s="1"/>
      <c r="AC108" s="1"/>
      <c r="AD108" s="1"/>
      <c r="AE108" s="1"/>
      <c r="AF108" s="1"/>
      <c r="AG108" s="1"/>
      <c r="AH108" s="1"/>
    </row>
    <row r="109" spans="1:34" x14ac:dyDescent="0.25">
      <c r="A109" s="1"/>
      <c r="B109" s="4"/>
      <c r="C109" s="4"/>
      <c r="D109" s="4"/>
      <c r="E109" s="4"/>
      <c r="F109" s="4"/>
      <c r="G109" s="4"/>
      <c r="H109" s="4"/>
      <c r="I109" s="4"/>
      <c r="J109" s="4"/>
      <c r="K109" s="4"/>
      <c r="L109" s="4"/>
      <c r="M109" s="4"/>
      <c r="N109" s="4"/>
      <c r="O109" s="4"/>
      <c r="P109" s="1"/>
      <c r="Q109" s="1"/>
      <c r="R109" s="83"/>
      <c r="S109" s="83"/>
      <c r="T109" s="37"/>
      <c r="U109" s="37"/>
      <c r="V109" s="37"/>
      <c r="W109" s="37"/>
      <c r="X109" s="37"/>
      <c r="Y109" s="1"/>
      <c r="Z109" s="1"/>
      <c r="AA109" s="1"/>
      <c r="AB109" s="1"/>
      <c r="AC109" s="1"/>
      <c r="AD109" s="1"/>
      <c r="AE109" s="1"/>
      <c r="AF109" s="1"/>
      <c r="AG109" s="1"/>
      <c r="AH109" s="1"/>
    </row>
    <row r="110" spans="1:34" x14ac:dyDescent="0.25">
      <c r="A110" s="1"/>
      <c r="B110" s="1"/>
      <c r="C110" s="1"/>
      <c r="D110" s="1"/>
      <c r="E110" s="1"/>
      <c r="F110" s="1"/>
      <c r="G110" s="1"/>
      <c r="H110" s="1"/>
      <c r="I110" s="1"/>
      <c r="J110" s="1"/>
      <c r="K110" s="1"/>
      <c r="L110" s="1"/>
      <c r="M110" s="1"/>
      <c r="N110" s="1"/>
      <c r="O110" s="1"/>
      <c r="P110" s="1"/>
      <c r="Q110" s="1"/>
      <c r="R110" s="83"/>
      <c r="S110" s="83"/>
      <c r="T110" s="37"/>
      <c r="U110" s="37"/>
      <c r="V110" s="37"/>
      <c r="W110" s="37"/>
      <c r="X110" s="37"/>
      <c r="Y110" s="1"/>
      <c r="Z110" s="1"/>
      <c r="AA110" s="1"/>
      <c r="AB110" s="1"/>
      <c r="AC110" s="1"/>
      <c r="AD110" s="1"/>
      <c r="AE110" s="1"/>
      <c r="AF110" s="1"/>
      <c r="AG110" s="1"/>
      <c r="AH110" s="1"/>
    </row>
    <row r="111" spans="1:34" x14ac:dyDescent="0.25">
      <c r="A111" s="1"/>
      <c r="B111" s="3" t="s">
        <v>38</v>
      </c>
      <c r="C111" s="1"/>
      <c r="D111" s="1"/>
      <c r="E111" s="1"/>
      <c r="F111" s="1"/>
      <c r="G111" s="1"/>
      <c r="H111" s="1"/>
      <c r="I111" s="1"/>
      <c r="J111" s="1"/>
      <c r="K111" s="1"/>
      <c r="L111" s="1"/>
      <c r="M111" s="1"/>
      <c r="N111" s="1"/>
      <c r="O111" s="1"/>
      <c r="P111" s="1"/>
      <c r="Q111" s="1"/>
      <c r="R111" s="83"/>
      <c r="S111" s="83"/>
      <c r="T111" s="1"/>
      <c r="U111" s="1"/>
      <c r="V111" s="1"/>
      <c r="W111" s="1"/>
      <c r="X111" s="1"/>
      <c r="Y111" s="1"/>
      <c r="Z111" s="1"/>
      <c r="AA111" s="1"/>
      <c r="AB111" s="1"/>
      <c r="AC111" s="1"/>
      <c r="AD111" s="1"/>
      <c r="AE111" s="1"/>
      <c r="AF111" s="1"/>
      <c r="AG111" s="1"/>
      <c r="AH111" s="1"/>
    </row>
    <row r="112" spans="1:34" x14ac:dyDescent="0.25">
      <c r="A112" s="1"/>
      <c r="B112" s="52"/>
      <c r="C112" s="52"/>
      <c r="D112" s="52"/>
      <c r="E112" s="52"/>
      <c r="F112" s="52"/>
      <c r="G112" s="52"/>
      <c r="H112" s="52"/>
      <c r="I112" s="52"/>
      <c r="J112" s="52"/>
      <c r="K112" s="52"/>
      <c r="L112" s="52"/>
      <c r="M112" s="52"/>
      <c r="N112" s="52"/>
      <c r="O112" s="52"/>
      <c r="P112" s="52"/>
      <c r="Q112" s="1"/>
      <c r="R112" s="83"/>
      <c r="S112" s="83"/>
      <c r="T112" s="1"/>
      <c r="U112" s="1"/>
      <c r="V112" s="1"/>
      <c r="W112" s="1"/>
      <c r="X112" s="1"/>
      <c r="Y112" s="1"/>
      <c r="Z112" s="1"/>
      <c r="AA112" s="1"/>
      <c r="AB112" s="1"/>
      <c r="AC112" s="1"/>
      <c r="AD112" s="1"/>
      <c r="AE112" s="1"/>
      <c r="AF112" s="1"/>
      <c r="AG112" s="1"/>
      <c r="AH112" s="1"/>
    </row>
    <row r="113" spans="1:34" x14ac:dyDescent="0.25">
      <c r="A113" s="1"/>
      <c r="B113" s="52"/>
      <c r="C113" s="52"/>
      <c r="D113" s="52"/>
      <c r="E113" s="52"/>
      <c r="F113" s="52"/>
      <c r="G113" s="52"/>
      <c r="H113" s="52"/>
      <c r="I113" s="52"/>
      <c r="J113" s="52"/>
      <c r="K113" s="52"/>
      <c r="L113" s="52"/>
      <c r="M113" s="52"/>
      <c r="N113" s="52"/>
      <c r="O113" s="52"/>
      <c r="P113" s="52"/>
      <c r="Q113" s="1"/>
      <c r="R113" s="83"/>
      <c r="S113" s="83"/>
      <c r="T113" s="1"/>
      <c r="U113" s="1"/>
      <c r="V113" s="1"/>
      <c r="W113" s="1"/>
      <c r="X113" s="1"/>
      <c r="Y113" s="1"/>
      <c r="Z113" s="1"/>
      <c r="AA113" s="1"/>
      <c r="AB113" s="1"/>
      <c r="AC113" s="1"/>
      <c r="AD113" s="1"/>
      <c r="AE113" s="1"/>
      <c r="AF113" s="1"/>
      <c r="AG113" s="1"/>
      <c r="AH113" s="1"/>
    </row>
    <row r="114" spans="1:34" x14ac:dyDescent="0.25">
      <c r="A114" s="1"/>
      <c r="B114" s="52"/>
      <c r="C114" s="52"/>
      <c r="D114" s="52"/>
      <c r="E114" s="52"/>
      <c r="F114" s="52"/>
      <c r="G114" s="52"/>
      <c r="H114" s="52"/>
      <c r="I114" s="52"/>
      <c r="J114" s="52"/>
      <c r="K114" s="52"/>
      <c r="L114" s="52"/>
      <c r="M114" s="52"/>
      <c r="N114" s="52"/>
      <c r="O114" s="52"/>
      <c r="P114" s="52"/>
      <c r="Q114" s="1"/>
      <c r="R114" s="1"/>
      <c r="S114" s="1"/>
      <c r="T114" s="1"/>
      <c r="U114" s="1"/>
      <c r="V114" s="1"/>
      <c r="W114" s="1"/>
      <c r="X114" s="1"/>
      <c r="Y114" s="1"/>
      <c r="Z114" s="1"/>
      <c r="AA114" s="1"/>
      <c r="AB114" s="1"/>
      <c r="AC114" s="1"/>
      <c r="AD114" s="1"/>
      <c r="AE114" s="1"/>
      <c r="AF114" s="1"/>
      <c r="AG114" s="1"/>
      <c r="AH114" s="1"/>
    </row>
    <row r="115" spans="1:34" x14ac:dyDescent="0.25">
      <c r="A115" s="1"/>
      <c r="B115" s="52"/>
      <c r="C115" s="52"/>
      <c r="D115" s="52"/>
      <c r="E115" s="52"/>
      <c r="F115" s="52"/>
      <c r="G115" s="52"/>
      <c r="H115" s="52"/>
      <c r="I115" s="52"/>
      <c r="J115" s="52"/>
      <c r="K115" s="52"/>
      <c r="L115" s="52"/>
      <c r="M115" s="52"/>
      <c r="N115" s="52"/>
      <c r="O115" s="52"/>
      <c r="P115" s="52"/>
      <c r="Q115" s="1"/>
      <c r="R115" s="1"/>
      <c r="S115" s="1"/>
      <c r="T115" s="1"/>
      <c r="U115" s="1"/>
      <c r="V115" s="1"/>
      <c r="W115" s="1"/>
      <c r="X115" s="1"/>
      <c r="Y115" s="1"/>
      <c r="Z115" s="1"/>
      <c r="AA115" s="1"/>
      <c r="AB115" s="1"/>
      <c r="AC115" s="1"/>
      <c r="AD115" s="1"/>
      <c r="AE115" s="1"/>
      <c r="AF115" s="1"/>
      <c r="AG115" s="1"/>
      <c r="AH115" s="1"/>
    </row>
    <row r="116" spans="1:34" x14ac:dyDescent="0.25">
      <c r="A116" s="1"/>
      <c r="B116" s="52"/>
      <c r="C116" s="52"/>
      <c r="D116" s="52"/>
      <c r="E116" s="52"/>
      <c r="F116" s="52"/>
      <c r="G116" s="52"/>
      <c r="H116" s="52"/>
      <c r="I116" s="52"/>
      <c r="J116" s="52"/>
      <c r="K116" s="52"/>
      <c r="L116" s="52"/>
      <c r="M116" s="52"/>
      <c r="N116" s="52"/>
      <c r="O116" s="52"/>
      <c r="P116" s="52"/>
      <c r="Q116" s="1"/>
      <c r="R116" s="1"/>
      <c r="S116" s="1"/>
      <c r="T116" s="1"/>
      <c r="U116" s="1"/>
      <c r="V116" s="1"/>
      <c r="W116" s="1"/>
      <c r="X116" s="1"/>
      <c r="Y116" s="1"/>
      <c r="Z116" s="1"/>
      <c r="AA116" s="1"/>
      <c r="AB116" s="1"/>
      <c r="AC116" s="1"/>
      <c r="AD116" s="1"/>
      <c r="AE116" s="1"/>
      <c r="AF116" s="1"/>
      <c r="AG116" s="1"/>
      <c r="AH116" s="1"/>
    </row>
    <row r="117" spans="1:34" x14ac:dyDescent="0.25">
      <c r="A117" s="1"/>
      <c r="B117" s="52"/>
      <c r="C117" s="52"/>
      <c r="D117" s="52"/>
      <c r="E117" s="52"/>
      <c r="F117" s="52"/>
      <c r="G117" s="52"/>
      <c r="H117" s="52"/>
      <c r="I117" s="52"/>
      <c r="J117" s="52"/>
      <c r="K117" s="52"/>
      <c r="L117" s="52"/>
      <c r="M117" s="52"/>
      <c r="N117" s="52"/>
      <c r="O117" s="52"/>
      <c r="P117" s="52"/>
      <c r="Q117" s="1"/>
      <c r="R117" s="1"/>
      <c r="S117" s="1"/>
      <c r="T117" s="1"/>
      <c r="U117" s="1"/>
      <c r="V117" s="1"/>
      <c r="W117" s="1"/>
      <c r="X117" s="1"/>
      <c r="Y117" s="1"/>
      <c r="Z117" s="1"/>
      <c r="AA117" s="1"/>
      <c r="AB117" s="1"/>
      <c r="AC117" s="1"/>
      <c r="AD117" s="1"/>
      <c r="AE117" s="1"/>
      <c r="AF117" s="1"/>
      <c r="AG117" s="1"/>
      <c r="AH117" s="1"/>
    </row>
    <row r="118" spans="1:34" x14ac:dyDescent="0.25">
      <c r="A118" s="1"/>
      <c r="B118" s="52"/>
      <c r="C118" s="52"/>
      <c r="D118" s="52"/>
      <c r="E118" s="52"/>
      <c r="F118" s="52"/>
      <c r="G118" s="52"/>
      <c r="H118" s="52"/>
      <c r="I118" s="52"/>
      <c r="J118" s="52"/>
      <c r="K118" s="52"/>
      <c r="L118" s="52"/>
      <c r="M118" s="52"/>
      <c r="N118" s="52"/>
      <c r="O118" s="52"/>
      <c r="P118" s="52"/>
      <c r="Q118" s="1"/>
      <c r="R118" s="1"/>
      <c r="S118" s="1"/>
      <c r="T118" s="1"/>
      <c r="U118" s="1"/>
      <c r="V118" s="1"/>
      <c r="W118" s="1"/>
      <c r="X118" s="1"/>
      <c r="Y118" s="1"/>
      <c r="Z118" s="1"/>
      <c r="AA118" s="1"/>
      <c r="AB118" s="1"/>
      <c r="AC118" s="1"/>
      <c r="AD118" s="1"/>
      <c r="AE118" s="1"/>
      <c r="AF118" s="1"/>
      <c r="AG118" s="1"/>
      <c r="AH118" s="1"/>
    </row>
    <row r="119" spans="1:34" x14ac:dyDescent="0.25">
      <c r="A119" s="1"/>
      <c r="B119" s="52"/>
      <c r="C119" s="52"/>
      <c r="D119" s="52"/>
      <c r="E119" s="52"/>
      <c r="F119" s="52"/>
      <c r="G119" s="52"/>
      <c r="H119" s="52"/>
      <c r="I119" s="52"/>
      <c r="J119" s="52"/>
      <c r="K119" s="52"/>
      <c r="L119" s="52"/>
      <c r="M119" s="52"/>
      <c r="N119" s="52"/>
      <c r="O119" s="52"/>
      <c r="P119" s="52"/>
      <c r="Q119" s="1"/>
      <c r="R119" s="1"/>
      <c r="S119" s="1"/>
      <c r="T119" s="1"/>
      <c r="U119" s="1"/>
      <c r="V119" s="1"/>
      <c r="W119" s="1"/>
      <c r="X119" s="1"/>
      <c r="Y119" s="1"/>
      <c r="Z119" s="1"/>
      <c r="AA119" s="1"/>
      <c r="AB119" s="1"/>
      <c r="AC119" s="1"/>
      <c r="AD119" s="1"/>
      <c r="AE119" s="1"/>
      <c r="AF119" s="1"/>
      <c r="AG119" s="1"/>
      <c r="AH119" s="1"/>
    </row>
    <row r="120" spans="1:3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sheetData>
  <mergeCells count="23">
    <mergeCell ref="I86:Q86"/>
    <mergeCell ref="B10:C10"/>
    <mergeCell ref="O10:P10"/>
    <mergeCell ref="B16:P16"/>
    <mergeCell ref="C33:E33"/>
    <mergeCell ref="F33:H33"/>
    <mergeCell ref="I33:K33"/>
    <mergeCell ref="Z33:AB33"/>
    <mergeCell ref="AC33:AE33"/>
    <mergeCell ref="AF33:AH33"/>
    <mergeCell ref="I81:Q81"/>
    <mergeCell ref="I94:Q94"/>
    <mergeCell ref="I88:Q88"/>
    <mergeCell ref="I89:Q89"/>
    <mergeCell ref="I90:Q90"/>
    <mergeCell ref="I91:Q91"/>
    <mergeCell ref="I92:Q92"/>
    <mergeCell ref="I93:Q93"/>
    <mergeCell ref="I87:Q87"/>
    <mergeCell ref="I82:Q82"/>
    <mergeCell ref="I83:Q83"/>
    <mergeCell ref="I84:Q84"/>
    <mergeCell ref="I85:Q85"/>
  </mergeCells>
  <dataValidations count="1">
    <dataValidation type="list" sqref="C20:E20">
      <formula1>"1st Estimate, 2nd Estimate, Actual, Other"</formula1>
    </dataValidation>
  </dataValidations>
  <pageMargins left="0" right="0" top="0" bottom="0.23622047244094491" header="0.31496062992125984" footer="0.31496062992125984"/>
  <pageSetup paperSize="17" scale="59" fitToWidth="2" fitToHeight="2" orientation="landscape" r:id="rId1"/>
  <headerFooter>
    <oddFooter>&amp;L&amp;Z&amp;F&amp;A</oddFooter>
  </headerFooter>
  <rowBreaks count="1" manualBreakCount="1">
    <brk id="76" max="22" man="1"/>
  </rowBreaks>
  <ignoredErrors>
    <ignoredError sqref="L4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topLeftCell="A36" zoomScaleNormal="100" workbookViewId="0">
      <selection activeCell="F69" sqref="F69"/>
    </sheetView>
  </sheetViews>
  <sheetFormatPr defaultRowHeight="14.25" x14ac:dyDescent="0.2"/>
  <cols>
    <col min="1" max="1" width="5.140625" style="1" customWidth="1"/>
    <col min="2" max="2" width="53.5703125" style="1" customWidth="1"/>
    <col min="3" max="3" width="18.28515625" style="1" bestFit="1" customWidth="1"/>
    <col min="4" max="4" width="16.85546875" style="1" bestFit="1" customWidth="1"/>
    <col min="5" max="5" width="15.7109375" style="1" bestFit="1" customWidth="1"/>
    <col min="6" max="16384" width="9.140625" style="1"/>
  </cols>
  <sheetData>
    <row r="1" spans="1:4" ht="15" x14ac:dyDescent="0.25">
      <c r="A1" s="2" t="s">
        <v>290</v>
      </c>
    </row>
    <row r="2" spans="1:4" ht="15" x14ac:dyDescent="0.25">
      <c r="A2" s="2" t="s">
        <v>317</v>
      </c>
    </row>
    <row r="3" spans="1:4" ht="15" x14ac:dyDescent="0.25">
      <c r="B3" s="2"/>
    </row>
    <row r="4" spans="1:4" ht="15" x14ac:dyDescent="0.25">
      <c r="A4" s="2" t="s">
        <v>298</v>
      </c>
      <c r="B4" s="2"/>
      <c r="C4" s="151" t="s">
        <v>233</v>
      </c>
      <c r="D4" s="152" t="s">
        <v>287</v>
      </c>
    </row>
    <row r="5" spans="1:4" ht="28.5" x14ac:dyDescent="0.2">
      <c r="A5" s="74" t="s">
        <v>71</v>
      </c>
      <c r="B5" s="49" t="s">
        <v>70</v>
      </c>
      <c r="C5" s="293">
        <f>+C16</f>
        <v>1104322.7312199995</v>
      </c>
      <c r="D5" s="152">
        <v>1</v>
      </c>
    </row>
    <row r="6" spans="1:4" ht="28.5" x14ac:dyDescent="0.2">
      <c r="A6" s="74" t="s">
        <v>72</v>
      </c>
      <c r="B6" s="49" t="s">
        <v>69</v>
      </c>
      <c r="C6" s="293">
        <f>+C46</f>
        <v>2089774.153359998</v>
      </c>
      <c r="D6" s="152">
        <v>2</v>
      </c>
    </row>
    <row r="7" spans="1:4" x14ac:dyDescent="0.2">
      <c r="A7" s="74">
        <v>4</v>
      </c>
      <c r="B7" s="49" t="s">
        <v>75</v>
      </c>
      <c r="C7" s="293">
        <v>-239979</v>
      </c>
      <c r="D7" s="152">
        <v>3</v>
      </c>
    </row>
    <row r="8" spans="1:4" ht="28.5" x14ac:dyDescent="0.2">
      <c r="A8" s="74">
        <v>6</v>
      </c>
      <c r="B8" s="49" t="s">
        <v>330</v>
      </c>
      <c r="C8" s="293">
        <v>92107.846160292625</v>
      </c>
      <c r="D8" s="152">
        <v>4</v>
      </c>
    </row>
    <row r="9" spans="1:4" x14ac:dyDescent="0.2">
      <c r="A9" s="74"/>
      <c r="B9" s="49"/>
      <c r="C9" s="16"/>
    </row>
    <row r="10" spans="1:4" ht="15" x14ac:dyDescent="0.25">
      <c r="A10" s="294"/>
      <c r="B10" s="295" t="s">
        <v>253</v>
      </c>
      <c r="C10" s="296">
        <f>SUM(C5:C9)</f>
        <v>3046225.7307402901</v>
      </c>
    </row>
    <row r="12" spans="1:4" ht="15" x14ac:dyDescent="0.25">
      <c r="A12" s="2" t="s">
        <v>206</v>
      </c>
      <c r="B12" s="31"/>
      <c r="C12" s="279"/>
    </row>
    <row r="13" spans="1:4" ht="15" x14ac:dyDescent="0.25">
      <c r="A13" s="297" t="s">
        <v>207</v>
      </c>
      <c r="B13" s="298" t="s">
        <v>299</v>
      </c>
      <c r="C13" s="279"/>
    </row>
    <row r="14" spans="1:4" ht="29.25" x14ac:dyDescent="0.25">
      <c r="A14" s="2"/>
      <c r="B14" s="299" t="s">
        <v>345</v>
      </c>
      <c r="C14" s="147">
        <v>593902</v>
      </c>
      <c r="D14" s="300" t="s">
        <v>57</v>
      </c>
    </row>
    <row r="15" spans="1:4" ht="29.25" x14ac:dyDescent="0.25">
      <c r="A15" s="2"/>
      <c r="B15" s="299" t="s">
        <v>321</v>
      </c>
      <c r="C15" s="147">
        <f>+D41</f>
        <v>510420.73121999949</v>
      </c>
      <c r="D15" s="152" t="s">
        <v>58</v>
      </c>
    </row>
    <row r="16" spans="1:4" ht="15" x14ac:dyDescent="0.25">
      <c r="A16" s="2"/>
      <c r="B16" s="20" t="s">
        <v>253</v>
      </c>
      <c r="C16" s="220">
        <f>SUM(C14:C15)</f>
        <v>1104322.7312199995</v>
      </c>
      <c r="D16" s="152"/>
    </row>
    <row r="17" spans="1:15" s="31" customFormat="1" ht="15" x14ac:dyDescent="0.25">
      <c r="A17" s="298"/>
      <c r="B17" s="301"/>
      <c r="C17" s="279"/>
      <c r="D17" s="289"/>
    </row>
    <row r="18" spans="1:15" s="31" customFormat="1" ht="15" x14ac:dyDescent="0.25">
      <c r="A18" s="302" t="s">
        <v>301</v>
      </c>
      <c r="B18" s="2" t="s">
        <v>217</v>
      </c>
      <c r="C18" s="292" t="s">
        <v>201</v>
      </c>
      <c r="D18" s="292" t="s">
        <v>202</v>
      </c>
      <c r="E18" s="292" t="s">
        <v>203</v>
      </c>
    </row>
    <row r="19" spans="1:15" s="31" customFormat="1" ht="15" x14ac:dyDescent="0.25">
      <c r="A19" s="302"/>
      <c r="B19" s="1" t="s">
        <v>346</v>
      </c>
      <c r="C19" s="104">
        <f>+'GA Analysis 2015'!$D$36</f>
        <v>12879161</v>
      </c>
      <c r="D19" s="104"/>
      <c r="E19" s="104"/>
      <c r="G19" s="1"/>
    </row>
    <row r="20" spans="1:15" s="31" customFormat="1" ht="15" x14ac:dyDescent="0.25">
      <c r="A20" s="302"/>
      <c r="B20" s="1" t="s">
        <v>347</v>
      </c>
      <c r="C20" s="104">
        <f>+'GA Analysis 2015'!$G$36</f>
        <v>13473063</v>
      </c>
      <c r="D20" s="104"/>
      <c r="E20" s="104"/>
      <c r="G20" s="2"/>
    </row>
    <row r="21" spans="1:15" s="31" customFormat="1" ht="15.75" thickBot="1" x14ac:dyDescent="0.3">
      <c r="A21" s="302"/>
      <c r="B21" s="1" t="s">
        <v>348</v>
      </c>
      <c r="C21" s="17">
        <f>+C20-C19</f>
        <v>593902</v>
      </c>
      <c r="D21" s="17">
        <v>0</v>
      </c>
      <c r="E21" s="17">
        <f>+C21-D21</f>
        <v>593902</v>
      </c>
    </row>
    <row r="22" spans="1:15" s="31" customFormat="1" ht="15.75" thickTop="1" x14ac:dyDescent="0.25">
      <c r="A22" s="302"/>
      <c r="B22" s="301"/>
      <c r="C22" s="279"/>
      <c r="D22" s="289"/>
    </row>
    <row r="23" spans="1:15" s="31" customFormat="1" ht="15" x14ac:dyDescent="0.25">
      <c r="A23" s="302"/>
      <c r="B23" s="1" t="s">
        <v>349</v>
      </c>
      <c r="C23" s="104"/>
      <c r="D23" s="104"/>
      <c r="E23" s="104"/>
    </row>
    <row r="24" spans="1:15" s="31" customFormat="1" ht="15" x14ac:dyDescent="0.25">
      <c r="A24" s="302"/>
      <c r="B24" s="1" t="s">
        <v>327</v>
      </c>
      <c r="C24" s="104"/>
      <c r="D24" s="104"/>
      <c r="E24" s="104"/>
    </row>
    <row r="25" spans="1:15" s="31" customFormat="1" ht="15" x14ac:dyDescent="0.25">
      <c r="A25" s="302"/>
      <c r="B25" s="1"/>
      <c r="C25" s="104"/>
      <c r="D25" s="288" t="s">
        <v>320</v>
      </c>
      <c r="E25" s="104"/>
    </row>
    <row r="26" spans="1:15" s="31" customFormat="1" ht="15" x14ac:dyDescent="0.25">
      <c r="A26" s="302"/>
      <c r="B26" s="1" t="s">
        <v>311</v>
      </c>
      <c r="C26" s="155">
        <v>7.4440000000000006E-2</v>
      </c>
      <c r="E26" s="104"/>
      <c r="G26" s="1"/>
    </row>
    <row r="27" spans="1:15" s="31" customFormat="1" ht="15" customHeight="1" x14ac:dyDescent="0.25">
      <c r="A27" s="302"/>
      <c r="B27" s="1" t="s">
        <v>325</v>
      </c>
      <c r="C27" s="155">
        <v>7.3179999999999995E-2</v>
      </c>
      <c r="D27" s="1"/>
      <c r="E27" s="104"/>
      <c r="G27" s="396"/>
      <c r="H27" s="396"/>
      <c r="I27" s="396"/>
      <c r="J27" s="396"/>
      <c r="K27" s="396"/>
      <c r="L27" s="396"/>
      <c r="M27" s="396"/>
      <c r="N27" s="396"/>
      <c r="O27" s="396"/>
    </row>
    <row r="28" spans="1:15" s="31" customFormat="1" ht="15" x14ac:dyDescent="0.25">
      <c r="A28" s="302"/>
      <c r="B28" s="1" t="s">
        <v>326</v>
      </c>
      <c r="C28" s="155">
        <f>C27-C26</f>
        <v>-1.2600000000000111E-3</v>
      </c>
      <c r="D28" s="156">
        <f>+'GA Analysis 2015'!$C$36</f>
        <v>172988593</v>
      </c>
      <c r="E28" s="334">
        <f>+C28*D28</f>
        <v>-217965.62718000193</v>
      </c>
      <c r="G28" s="396"/>
      <c r="H28" s="396"/>
      <c r="I28" s="396"/>
      <c r="J28" s="396"/>
      <c r="K28" s="396"/>
      <c r="L28" s="396"/>
      <c r="M28" s="396"/>
      <c r="N28" s="396"/>
      <c r="O28" s="396"/>
    </row>
    <row r="29" spans="1:15" s="31" customFormat="1" ht="15" x14ac:dyDescent="0.25">
      <c r="A29" s="302"/>
      <c r="B29" s="1"/>
      <c r="C29" s="155"/>
      <c r="D29" s="156"/>
      <c r="E29" s="104"/>
    </row>
    <row r="30" spans="1:15" s="31" customFormat="1" ht="15" x14ac:dyDescent="0.25">
      <c r="A30" s="302"/>
      <c r="B30" s="1" t="s">
        <v>213</v>
      </c>
      <c r="C30" s="156">
        <f>+'GA Analysis 2015'!$C$36</f>
        <v>172988593</v>
      </c>
      <c r="D30" s="156"/>
      <c r="E30" s="104"/>
      <c r="G30" s="1"/>
    </row>
    <row r="31" spans="1:15" s="31" customFormat="1" ht="15" x14ac:dyDescent="0.25">
      <c r="A31" s="302"/>
      <c r="B31" s="1" t="s">
        <v>212</v>
      </c>
      <c r="C31" s="156">
        <f>+'GA Analysis 2015'!$F$36</f>
        <v>183373642</v>
      </c>
      <c r="D31" s="1"/>
      <c r="E31" s="104"/>
      <c r="G31" s="2"/>
    </row>
    <row r="32" spans="1:15" s="31" customFormat="1" ht="15" x14ac:dyDescent="0.25">
      <c r="A32" s="302"/>
      <c r="B32" s="1" t="s">
        <v>303</v>
      </c>
      <c r="C32" s="157">
        <f>+C31-C30</f>
        <v>10385049</v>
      </c>
      <c r="D32" s="158">
        <f>+C26</f>
        <v>7.4440000000000006E-2</v>
      </c>
      <c r="E32" s="159">
        <f>+C32*D32</f>
        <v>773063.04756000009</v>
      </c>
    </row>
    <row r="33" spans="1:5" s="31" customFormat="1" ht="15" x14ac:dyDescent="0.25">
      <c r="A33" s="302"/>
      <c r="B33" s="1"/>
      <c r="C33" s="1"/>
      <c r="D33" s="1"/>
      <c r="E33" s="104"/>
    </row>
    <row r="34" spans="1:5" s="31" customFormat="1" ht="15.75" thickBot="1" x14ac:dyDescent="0.3">
      <c r="A34" s="302"/>
      <c r="B34" s="1" t="s">
        <v>305</v>
      </c>
      <c r="C34" s="2"/>
      <c r="D34" s="2"/>
      <c r="E34" s="160">
        <f>+E28+E32</f>
        <v>555097.42037999816</v>
      </c>
    </row>
    <row r="35" spans="1:5" s="31" customFormat="1" ht="15.75" thickTop="1" x14ac:dyDescent="0.25">
      <c r="A35" s="302"/>
      <c r="B35" s="1" t="s">
        <v>334</v>
      </c>
      <c r="C35" s="2"/>
      <c r="D35" s="2"/>
      <c r="E35" s="161">
        <f>E21-E34</f>
        <v>38804.579620001838</v>
      </c>
    </row>
    <row r="36" spans="1:5" s="31" customFormat="1" ht="15" x14ac:dyDescent="0.25">
      <c r="A36" s="302"/>
      <c r="B36" s="1" t="s">
        <v>352</v>
      </c>
      <c r="C36" s="2"/>
      <c r="D36" s="2"/>
      <c r="E36" s="161">
        <f>E34+E35</f>
        <v>593902</v>
      </c>
    </row>
    <row r="37" spans="1:5" s="31" customFormat="1" ht="15" x14ac:dyDescent="0.25">
      <c r="A37" s="302"/>
      <c r="B37" s="1"/>
      <c r="C37" s="2"/>
      <c r="D37" s="2"/>
      <c r="E37" s="161"/>
    </row>
    <row r="38" spans="1:5" s="31" customFormat="1" ht="15" x14ac:dyDescent="0.25">
      <c r="A38" s="302" t="s">
        <v>307</v>
      </c>
      <c r="B38" s="2" t="s">
        <v>216</v>
      </c>
      <c r="C38" s="151" t="s">
        <v>239</v>
      </c>
      <c r="D38" s="151" t="s">
        <v>233</v>
      </c>
      <c r="E38" s="151" t="s">
        <v>308</v>
      </c>
    </row>
    <row r="39" spans="1:5" s="31" customFormat="1" ht="15" x14ac:dyDescent="0.25">
      <c r="A39" s="298"/>
      <c r="B39" s="1" t="s">
        <v>362</v>
      </c>
      <c r="C39" s="50">
        <v>247770414</v>
      </c>
      <c r="D39" s="16">
        <v>19283985</v>
      </c>
      <c r="E39" s="142">
        <f>D39/C39</f>
        <v>7.783005520586489E-2</v>
      </c>
    </row>
    <row r="40" spans="1:5" s="31" customFormat="1" ht="29.25" x14ac:dyDescent="0.25">
      <c r="A40" s="298"/>
      <c r="B40" s="290" t="s">
        <v>350</v>
      </c>
      <c r="C40" s="303">
        <f>+C39</f>
        <v>247770414</v>
      </c>
      <c r="D40" s="18">
        <f>+C40*E40</f>
        <v>18773564.268780001</v>
      </c>
      <c r="E40" s="142">
        <v>7.5770000000000004E-2</v>
      </c>
    </row>
    <row r="41" spans="1:5" s="31" customFormat="1" ht="15" x14ac:dyDescent="0.25">
      <c r="A41" s="298"/>
      <c r="B41" s="2" t="s">
        <v>351</v>
      </c>
      <c r="C41" s="2"/>
      <c r="D41" s="304">
        <f>+D39-D40</f>
        <v>510420.73121999949</v>
      </c>
      <c r="E41" s="1"/>
    </row>
    <row r="42" spans="1:5" s="31" customFormat="1" ht="15" x14ac:dyDescent="0.25">
      <c r="A42" s="298"/>
      <c r="B42" s="301"/>
      <c r="C42" s="279"/>
      <c r="D42" s="289"/>
    </row>
    <row r="43" spans="1:5" s="31" customFormat="1" ht="15" x14ac:dyDescent="0.25">
      <c r="A43" s="306" t="s">
        <v>215</v>
      </c>
      <c r="B43" s="298" t="s">
        <v>300</v>
      </c>
      <c r="C43" s="279"/>
      <c r="D43" s="289"/>
    </row>
    <row r="44" spans="1:5" ht="30" x14ac:dyDescent="0.25">
      <c r="A44" s="2"/>
      <c r="B44" s="249" t="s">
        <v>358</v>
      </c>
      <c r="C44" s="250">
        <f>+C51</f>
        <v>-4715111</v>
      </c>
      <c r="D44" s="270" t="s">
        <v>71</v>
      </c>
      <c r="E44" s="244"/>
    </row>
    <row r="45" spans="1:5" ht="30" x14ac:dyDescent="0.25">
      <c r="A45" s="2"/>
      <c r="B45" s="249" t="s">
        <v>306</v>
      </c>
      <c r="C45" s="250">
        <f>+D73</f>
        <v>6804885.153359998</v>
      </c>
      <c r="D45" s="245" t="s">
        <v>72</v>
      </c>
      <c r="E45" s="244"/>
    </row>
    <row r="46" spans="1:5" ht="15" x14ac:dyDescent="0.25">
      <c r="B46" s="265" t="s">
        <v>253</v>
      </c>
      <c r="C46" s="266">
        <f>SUM(C44:C45)</f>
        <v>2089774.153359998</v>
      </c>
      <c r="D46" s="245"/>
      <c r="E46" s="244"/>
    </row>
    <row r="47" spans="1:5" ht="15" x14ac:dyDescent="0.25">
      <c r="B47" s="267"/>
      <c r="C47" s="247"/>
      <c r="D47" s="268"/>
      <c r="E47" s="246"/>
    </row>
    <row r="48" spans="1:5" ht="15" x14ac:dyDescent="0.25">
      <c r="B48" s="2" t="s">
        <v>217</v>
      </c>
      <c r="C48" s="410" t="s">
        <v>368</v>
      </c>
      <c r="D48" s="302"/>
      <c r="E48" s="302"/>
    </row>
    <row r="49" spans="1:6" ht="15" x14ac:dyDescent="0.25">
      <c r="A49" s="297" t="s">
        <v>338</v>
      </c>
      <c r="B49" s="1" t="s">
        <v>208</v>
      </c>
      <c r="C49" s="104">
        <v>14559206</v>
      </c>
      <c r="D49" s="129"/>
      <c r="E49" s="129"/>
    </row>
    <row r="50" spans="1:6" x14ac:dyDescent="0.2">
      <c r="A50" s="153"/>
      <c r="B50" s="1" t="s">
        <v>209</v>
      </c>
      <c r="C50" s="104">
        <v>19274317</v>
      </c>
      <c r="D50" s="129"/>
      <c r="E50" s="129"/>
    </row>
    <row r="51" spans="1:6" ht="15" thickBot="1" x14ac:dyDescent="0.25">
      <c r="B51" s="1" t="s">
        <v>360</v>
      </c>
      <c r="C51" s="409">
        <f>+C49-C50</f>
        <v>-4715111</v>
      </c>
      <c r="D51" s="411"/>
      <c r="E51" s="411"/>
    </row>
    <row r="52" spans="1:6" ht="15.75" thickTop="1" x14ac:dyDescent="0.25">
      <c r="B52" s="267"/>
      <c r="C52" s="247"/>
      <c r="D52" s="268"/>
      <c r="E52" s="246"/>
    </row>
    <row r="53" spans="1:6" ht="14.25" customHeight="1" x14ac:dyDescent="0.25">
      <c r="B53" s="305" t="s">
        <v>341</v>
      </c>
      <c r="C53" s="247"/>
      <c r="D53" s="268"/>
      <c r="E53" s="246"/>
      <c r="F53" s="290"/>
    </row>
    <row r="54" spans="1:6" ht="15" x14ac:dyDescent="0.25">
      <c r="B54" s="267"/>
      <c r="C54" s="247"/>
      <c r="D54" s="268"/>
      <c r="E54" s="246"/>
      <c r="F54" s="290"/>
    </row>
    <row r="55" spans="1:6" x14ac:dyDescent="0.2">
      <c r="B55" s="1" t="s">
        <v>302</v>
      </c>
      <c r="C55" s="104"/>
      <c r="D55" s="104"/>
      <c r="E55" s="104"/>
    </row>
    <row r="56" spans="1:6" x14ac:dyDescent="0.2">
      <c r="B56" s="1" t="s">
        <v>214</v>
      </c>
      <c r="C56" s="104"/>
      <c r="D56" s="104"/>
      <c r="E56" s="104"/>
    </row>
    <row r="57" spans="1:6" x14ac:dyDescent="0.2">
      <c r="C57" s="104"/>
      <c r="D57" s="104"/>
      <c r="E57" s="104"/>
    </row>
    <row r="58" spans="1:6" x14ac:dyDescent="0.2">
      <c r="B58" s="1" t="s">
        <v>211</v>
      </c>
      <c r="C58" s="155">
        <v>9.4710000000000003E-2</v>
      </c>
      <c r="E58" s="104"/>
    </row>
    <row r="59" spans="1:6" x14ac:dyDescent="0.2">
      <c r="B59" s="1" t="s">
        <v>210</v>
      </c>
      <c r="C59" s="155">
        <v>0.1132</v>
      </c>
      <c r="E59" s="104"/>
    </row>
    <row r="60" spans="1:6" x14ac:dyDescent="0.2">
      <c r="B60" s="1" t="s">
        <v>304</v>
      </c>
      <c r="C60" s="155">
        <f>+C58-C59</f>
        <v>-1.8489999999999993E-2</v>
      </c>
      <c r="D60" s="156">
        <f>+'GA Analysis 2016'!$C$36</f>
        <v>153693718</v>
      </c>
      <c r="E60" s="159">
        <f>+C60*D60</f>
        <v>-2841796.845819999</v>
      </c>
    </row>
    <row r="61" spans="1:6" x14ac:dyDescent="0.2">
      <c r="C61" s="155"/>
      <c r="D61" s="156"/>
      <c r="E61" s="104"/>
    </row>
    <row r="62" spans="1:6" x14ac:dyDescent="0.2">
      <c r="B62" s="1" t="s">
        <v>213</v>
      </c>
      <c r="C62" s="156">
        <f>+'GA Analysis 2016'!$C$36</f>
        <v>153693718</v>
      </c>
      <c r="D62" s="156"/>
      <c r="E62" s="104"/>
    </row>
    <row r="63" spans="1:6" x14ac:dyDescent="0.2">
      <c r="B63" s="1" t="s">
        <v>212</v>
      </c>
      <c r="C63" s="156">
        <f>+'GA Analysis 2016'!$D$36</f>
        <v>171931072</v>
      </c>
      <c r="E63" s="104"/>
    </row>
    <row r="64" spans="1:6" x14ac:dyDescent="0.2">
      <c r="B64" s="1" t="s">
        <v>303</v>
      </c>
      <c r="C64" s="157">
        <f>+C62-C63</f>
        <v>-18237354</v>
      </c>
      <c r="D64" s="158">
        <f>+C58</f>
        <v>9.4710000000000003E-2</v>
      </c>
      <c r="E64" s="159">
        <f>+C64*D64</f>
        <v>-1727259.79734</v>
      </c>
    </row>
    <row r="65" spans="1:5" x14ac:dyDescent="0.2">
      <c r="E65" s="104"/>
    </row>
    <row r="66" spans="1:5" ht="15" x14ac:dyDescent="0.25">
      <c r="B66" s="1" t="s">
        <v>369</v>
      </c>
      <c r="C66" s="2"/>
      <c r="D66" s="2"/>
      <c r="E66" s="407">
        <f>+E60+E64</f>
        <v>-4569056.6431599986</v>
      </c>
    </row>
    <row r="67" spans="1:5" ht="15" x14ac:dyDescent="0.25">
      <c r="B67" s="1" t="s">
        <v>334</v>
      </c>
      <c r="C67" s="2"/>
      <c r="D67" s="2"/>
      <c r="E67" s="407">
        <f>+C44-E66</f>
        <v>-146054.35684000142</v>
      </c>
    </row>
    <row r="68" spans="1:5" ht="15.75" thickBot="1" x14ac:dyDescent="0.3">
      <c r="B68" s="1" t="s">
        <v>366</v>
      </c>
      <c r="C68" s="2"/>
      <c r="D68" s="2"/>
      <c r="E68" s="408">
        <f>E66+E67</f>
        <v>-4715111</v>
      </c>
    </row>
    <row r="69" spans="1:5" ht="15.75" thickTop="1" x14ac:dyDescent="0.25">
      <c r="A69" s="152"/>
      <c r="B69" s="267"/>
      <c r="C69" s="247"/>
      <c r="D69" s="268"/>
      <c r="E69" s="246"/>
    </row>
    <row r="70" spans="1:5" ht="15" x14ac:dyDescent="0.25">
      <c r="A70" s="297" t="s">
        <v>339</v>
      </c>
      <c r="B70" s="2" t="s">
        <v>216</v>
      </c>
      <c r="C70" s="243" t="s">
        <v>239</v>
      </c>
      <c r="D70" s="243" t="s">
        <v>233</v>
      </c>
      <c r="E70" s="243" t="s">
        <v>308</v>
      </c>
    </row>
    <row r="71" spans="1:5" ht="15" x14ac:dyDescent="0.25">
      <c r="A71" s="152"/>
      <c r="B71" s="244" t="s">
        <v>361</v>
      </c>
      <c r="C71" s="254">
        <v>217707368</v>
      </c>
      <c r="D71" s="255">
        <v>17310560</v>
      </c>
      <c r="E71" s="253">
        <v>7.9512972661540796E-2</v>
      </c>
    </row>
    <row r="72" spans="1:5" ht="30" x14ac:dyDescent="0.25">
      <c r="A72" s="152"/>
      <c r="B72" s="256" t="s">
        <v>350</v>
      </c>
      <c r="C72" s="257">
        <f>+C71</f>
        <v>217707368</v>
      </c>
      <c r="D72" s="237">
        <f>+C72*E72</f>
        <v>24115445.153359998</v>
      </c>
      <c r="E72" s="271">
        <v>0.11076999999999999</v>
      </c>
    </row>
    <row r="73" spans="1:5" ht="15" x14ac:dyDescent="0.25">
      <c r="A73" s="152"/>
      <c r="B73" s="178" t="s">
        <v>367</v>
      </c>
      <c r="C73" s="178"/>
      <c r="D73" s="236">
        <f>+D72-D71</f>
        <v>6804885.153359998</v>
      </c>
      <c r="E73" s="244"/>
    </row>
    <row r="74" spans="1:5" ht="15" x14ac:dyDescent="0.25">
      <c r="A74" s="152"/>
      <c r="B74" s="2"/>
      <c r="D74" s="307"/>
    </row>
    <row r="75" spans="1:5" ht="15" x14ac:dyDescent="0.25">
      <c r="A75" s="297" t="s">
        <v>218</v>
      </c>
      <c r="B75" s="298" t="s">
        <v>337</v>
      </c>
      <c r="C75" s="279"/>
    </row>
    <row r="76" spans="1:5" x14ac:dyDescent="0.2">
      <c r="B76" s="1" t="s">
        <v>258</v>
      </c>
      <c r="E76" s="152"/>
    </row>
    <row r="77" spans="1:5" x14ac:dyDescent="0.2">
      <c r="B77" s="1" t="s">
        <v>259</v>
      </c>
      <c r="E77" s="152"/>
    </row>
    <row r="78" spans="1:5" x14ac:dyDescent="0.2">
      <c r="B78" s="1" t="s">
        <v>315</v>
      </c>
      <c r="E78" s="152"/>
    </row>
    <row r="79" spans="1:5" x14ac:dyDescent="0.2">
      <c r="B79" s="1" t="s">
        <v>261</v>
      </c>
      <c r="E79" s="152"/>
    </row>
    <row r="80" spans="1:5" x14ac:dyDescent="0.2">
      <c r="B80" s="1" t="s">
        <v>262</v>
      </c>
      <c r="E80" s="152"/>
    </row>
    <row r="81" spans="1:5" x14ac:dyDescent="0.2">
      <c r="B81" s="1" t="s">
        <v>322</v>
      </c>
      <c r="E81" s="152"/>
    </row>
    <row r="82" spans="1:5" x14ac:dyDescent="0.2">
      <c r="B82" s="1" t="s">
        <v>316</v>
      </c>
      <c r="E82" s="152"/>
    </row>
    <row r="83" spans="1:5" x14ac:dyDescent="0.2">
      <c r="E83" s="152"/>
    </row>
    <row r="84" spans="1:5" x14ac:dyDescent="0.2">
      <c r="C84" s="331" t="s">
        <v>312</v>
      </c>
      <c r="D84" s="332" t="s">
        <v>267</v>
      </c>
      <c r="E84" s="152"/>
    </row>
    <row r="85" spans="1:5" x14ac:dyDescent="0.2">
      <c r="B85" s="1" t="s">
        <v>313</v>
      </c>
      <c r="C85" s="104">
        <v>774406.73</v>
      </c>
      <c r="D85" s="333">
        <f>-C85</f>
        <v>-774406.73</v>
      </c>
      <c r="E85" s="152"/>
    </row>
    <row r="86" spans="1:5" x14ac:dyDescent="0.2">
      <c r="B86" s="1" t="s">
        <v>314</v>
      </c>
      <c r="C86" s="104">
        <v>534427.91</v>
      </c>
      <c r="D86" s="333">
        <f>-C86</f>
        <v>-534427.91</v>
      </c>
      <c r="E86" s="152"/>
    </row>
    <row r="87" spans="1:5" x14ac:dyDescent="0.2">
      <c r="B87" s="1" t="s">
        <v>205</v>
      </c>
      <c r="C87" s="159">
        <f>+C85-C86</f>
        <v>239978.81999999995</v>
      </c>
      <c r="D87" s="334">
        <f>+D85-D86</f>
        <v>-239978.81999999995</v>
      </c>
      <c r="E87" s="152"/>
    </row>
    <row r="88" spans="1:5" x14ac:dyDescent="0.2">
      <c r="B88" s="31"/>
      <c r="C88" s="279"/>
    </row>
    <row r="89" spans="1:5" ht="15" x14ac:dyDescent="0.25">
      <c r="A89" s="297" t="s">
        <v>219</v>
      </c>
      <c r="B89" s="2" t="s">
        <v>335</v>
      </c>
      <c r="D89" s="83"/>
    </row>
    <row r="90" spans="1:5" x14ac:dyDescent="0.2">
      <c r="B90" s="405" t="s">
        <v>329</v>
      </c>
      <c r="C90" s="406"/>
      <c r="D90" s="83"/>
    </row>
    <row r="91" spans="1:5" x14ac:dyDescent="0.2">
      <c r="B91" s="327" t="s">
        <v>333</v>
      </c>
      <c r="C91" s="154">
        <v>356109246.05500025</v>
      </c>
      <c r="D91" s="83"/>
    </row>
    <row r="92" spans="1:5" x14ac:dyDescent="0.2">
      <c r="B92" s="328" t="s">
        <v>328</v>
      </c>
      <c r="C92" s="326">
        <v>356017138.20883995</v>
      </c>
      <c r="D92" s="83"/>
    </row>
    <row r="93" spans="1:5" ht="15" x14ac:dyDescent="0.25">
      <c r="B93" s="329" t="s">
        <v>203</v>
      </c>
      <c r="C93" s="149">
        <v>92107.846160292625</v>
      </c>
      <c r="D93" s="83"/>
    </row>
  </sheetData>
  <mergeCells count="1">
    <mergeCell ref="G27:O28"/>
  </mergeCells>
  <pageMargins left="0.70866141732283472" right="0.70866141732283472" top="0.74803149606299213" bottom="0.74803149606299213" header="0.31496062992125984" footer="0.31496062992125984"/>
  <pageSetup scale="75" fitToHeight="2" orientation="portrait" r:id="rId1"/>
  <headerFooter>
    <oddFooter>&amp;L&amp;"Arial Narrow,Regular"&amp;9&amp;Z&amp;F&amp;R&amp;A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6"/>
  <sheetViews>
    <sheetView workbookViewId="0">
      <pane xSplit="2" ySplit="6" topLeftCell="BN13" activePane="bottomRight" state="frozen"/>
      <selection pane="topRight" activeCell="C1" sqref="C1"/>
      <selection pane="bottomLeft" activeCell="A7" sqref="A7"/>
      <selection pane="bottomRight" activeCell="AU39" sqref="AU39"/>
    </sheetView>
  </sheetViews>
  <sheetFormatPr defaultRowHeight="15" x14ac:dyDescent="0.25"/>
  <cols>
    <col min="1" max="1" width="14.7109375" customWidth="1"/>
    <col min="2" max="2" width="5.42578125" bestFit="1" customWidth="1"/>
    <col min="3" max="3" width="10.5703125" bestFit="1" customWidth="1"/>
    <col min="4" max="4" width="9" customWidth="1"/>
    <col min="5" max="5" width="8.42578125" customWidth="1"/>
    <col min="6" max="6" width="6.85546875" bestFit="1" customWidth="1"/>
    <col min="7" max="7" width="7" bestFit="1" customWidth="1"/>
    <col min="8" max="8" width="7" customWidth="1"/>
    <col min="9" max="9" width="10.5703125" bestFit="1" customWidth="1"/>
    <col min="10" max="80" width="9.42578125" customWidth="1"/>
    <col min="81" max="81" width="10" bestFit="1" customWidth="1"/>
    <col min="82" max="82" width="10.7109375" customWidth="1"/>
    <col min="83" max="83" width="10" bestFit="1" customWidth="1"/>
    <col min="84" max="84" width="1.28515625" customWidth="1"/>
    <col min="85" max="85" width="16" customWidth="1"/>
    <col min="86" max="86" width="9.85546875" customWidth="1"/>
    <col min="87" max="87" width="10.7109375" customWidth="1"/>
    <col min="88" max="88" width="10.42578125" customWidth="1"/>
    <col min="89" max="89" width="9.7109375" customWidth="1"/>
    <col min="90" max="90" width="8.42578125" customWidth="1"/>
  </cols>
  <sheetData>
    <row r="1" spans="1:91" x14ac:dyDescent="0.25">
      <c r="A1" s="178" t="s">
        <v>275</v>
      </c>
    </row>
    <row r="2" spans="1:91" x14ac:dyDescent="0.25">
      <c r="A2" s="178" t="s">
        <v>279</v>
      </c>
    </row>
    <row r="3" spans="1:91" x14ac:dyDescent="0.25">
      <c r="A3" s="178"/>
    </row>
    <row r="4" spans="1:91" x14ac:dyDescent="0.25">
      <c r="C4" s="398" t="s">
        <v>292</v>
      </c>
      <c r="D4" s="398"/>
      <c r="E4" s="398"/>
      <c r="F4" s="398"/>
      <c r="G4" s="398"/>
      <c r="H4" s="216"/>
      <c r="I4" s="401">
        <v>42004</v>
      </c>
      <c r="J4" s="401"/>
      <c r="K4" s="401"/>
      <c r="L4" s="397">
        <f>+I4+30</f>
        <v>42034</v>
      </c>
      <c r="M4" s="397"/>
      <c r="N4" s="397"/>
      <c r="O4" s="397">
        <f>+L4+28</f>
        <v>42062</v>
      </c>
      <c r="P4" s="397"/>
      <c r="Q4" s="397"/>
      <c r="R4" s="397">
        <f t="shared" ref="R4" si="0">+O4+30</f>
        <v>42092</v>
      </c>
      <c r="S4" s="397"/>
      <c r="T4" s="397"/>
      <c r="U4" s="397">
        <f t="shared" ref="U4" si="1">+R4+30</f>
        <v>42122</v>
      </c>
      <c r="V4" s="397"/>
      <c r="W4" s="397"/>
      <c r="X4" s="397">
        <f t="shared" ref="X4" si="2">+U4+30</f>
        <v>42152</v>
      </c>
      <c r="Y4" s="397"/>
      <c r="Z4" s="397"/>
      <c r="AA4" s="397">
        <f t="shared" ref="AA4" si="3">+X4+30</f>
        <v>42182</v>
      </c>
      <c r="AB4" s="397"/>
      <c r="AC4" s="397"/>
      <c r="AD4" s="397">
        <f t="shared" ref="AD4" si="4">+AA4+30</f>
        <v>42212</v>
      </c>
      <c r="AE4" s="397"/>
      <c r="AF4" s="397"/>
      <c r="AG4" s="397">
        <f t="shared" ref="AG4" si="5">+AD4+30</f>
        <v>42242</v>
      </c>
      <c r="AH4" s="397"/>
      <c r="AI4" s="397"/>
      <c r="AJ4" s="397">
        <f t="shared" ref="AJ4" si="6">+AG4+30</f>
        <v>42272</v>
      </c>
      <c r="AK4" s="397"/>
      <c r="AL4" s="397"/>
      <c r="AM4" s="397">
        <f t="shared" ref="AM4" si="7">+AJ4+30</f>
        <v>42302</v>
      </c>
      <c r="AN4" s="397"/>
      <c r="AO4" s="397"/>
      <c r="AP4" s="397">
        <f t="shared" ref="AP4" si="8">+AM4+30</f>
        <v>42332</v>
      </c>
      <c r="AQ4" s="397"/>
      <c r="AR4" s="397"/>
      <c r="AS4" s="397">
        <f t="shared" ref="AS4" si="9">+AP4+30</f>
        <v>42362</v>
      </c>
      <c r="AT4" s="397"/>
      <c r="AU4" s="397"/>
      <c r="AV4" s="397">
        <f t="shared" ref="AV4" si="10">+AS4+30</f>
        <v>42392</v>
      </c>
      <c r="AW4" s="397"/>
      <c r="AX4" s="397"/>
      <c r="AY4" s="397">
        <f>+AV4+38</f>
        <v>42430</v>
      </c>
      <c r="AZ4" s="397"/>
      <c r="BA4" s="397"/>
      <c r="BB4" s="397">
        <f t="shared" ref="BB4" si="11">+AY4+30</f>
        <v>42460</v>
      </c>
      <c r="BC4" s="397"/>
      <c r="BD4" s="397"/>
      <c r="BE4" s="397">
        <f t="shared" ref="BE4" si="12">+BB4+30</f>
        <v>42490</v>
      </c>
      <c r="BF4" s="397"/>
      <c r="BG4" s="397"/>
      <c r="BH4" s="397">
        <f t="shared" ref="BH4" si="13">+BE4+30</f>
        <v>42520</v>
      </c>
      <c r="BI4" s="397"/>
      <c r="BJ4" s="397"/>
      <c r="BK4" s="397">
        <f t="shared" ref="BK4" si="14">+BH4+30</f>
        <v>42550</v>
      </c>
      <c r="BL4" s="397"/>
      <c r="BM4" s="397"/>
      <c r="BN4" s="397">
        <f t="shared" ref="BN4" si="15">+BK4+30</f>
        <v>42580</v>
      </c>
      <c r="BO4" s="397"/>
      <c r="BP4" s="397"/>
      <c r="BQ4" s="397">
        <f t="shared" ref="BQ4" si="16">+BN4+30</f>
        <v>42610</v>
      </c>
      <c r="BR4" s="397"/>
      <c r="BS4" s="397"/>
      <c r="BT4" s="397">
        <f t="shared" ref="BT4" si="17">+BQ4+30</f>
        <v>42640</v>
      </c>
      <c r="BU4" s="397"/>
      <c r="BV4" s="397"/>
      <c r="BW4" s="397">
        <f t="shared" ref="BW4" si="18">+BT4+30</f>
        <v>42670</v>
      </c>
      <c r="BX4" s="397"/>
      <c r="BY4" s="397"/>
      <c r="BZ4" s="397">
        <f t="shared" ref="BZ4" si="19">+BW4+30</f>
        <v>42700</v>
      </c>
      <c r="CA4" s="397"/>
      <c r="CB4" s="397"/>
      <c r="CC4" s="397">
        <f t="shared" ref="CC4" si="20">+BZ4+30</f>
        <v>42730</v>
      </c>
      <c r="CD4" s="397"/>
      <c r="CE4" s="397"/>
    </row>
    <row r="5" spans="1:91" ht="30" customHeight="1" x14ac:dyDescent="0.25">
      <c r="C5" s="399" t="s">
        <v>223</v>
      </c>
      <c r="D5" s="399"/>
      <c r="E5" s="399"/>
      <c r="F5" s="402" t="s">
        <v>225</v>
      </c>
      <c r="G5" s="403"/>
      <c r="H5" s="404"/>
      <c r="I5" s="217" t="s">
        <v>248</v>
      </c>
      <c r="J5" s="217" t="s">
        <v>251</v>
      </c>
      <c r="K5" s="217" t="s">
        <v>252</v>
      </c>
      <c r="L5" s="217" t="s">
        <v>248</v>
      </c>
      <c r="M5" s="217" t="s">
        <v>251</v>
      </c>
      <c r="N5" s="217" t="s">
        <v>252</v>
      </c>
      <c r="O5" s="217" t="s">
        <v>248</v>
      </c>
      <c r="P5" s="217" t="s">
        <v>251</v>
      </c>
      <c r="Q5" s="217" t="s">
        <v>252</v>
      </c>
      <c r="R5" s="217" t="s">
        <v>248</v>
      </c>
      <c r="S5" s="217" t="s">
        <v>251</v>
      </c>
      <c r="T5" s="217" t="s">
        <v>252</v>
      </c>
      <c r="U5" s="217" t="s">
        <v>248</v>
      </c>
      <c r="V5" s="217" t="s">
        <v>251</v>
      </c>
      <c r="W5" s="217" t="s">
        <v>252</v>
      </c>
      <c r="X5" s="217" t="s">
        <v>248</v>
      </c>
      <c r="Y5" s="217" t="s">
        <v>251</v>
      </c>
      <c r="Z5" s="217" t="s">
        <v>252</v>
      </c>
      <c r="AA5" s="217" t="s">
        <v>248</v>
      </c>
      <c r="AB5" s="217" t="s">
        <v>251</v>
      </c>
      <c r="AC5" s="217" t="s">
        <v>252</v>
      </c>
      <c r="AD5" s="217" t="s">
        <v>248</v>
      </c>
      <c r="AE5" s="217" t="s">
        <v>251</v>
      </c>
      <c r="AF5" s="217" t="s">
        <v>252</v>
      </c>
      <c r="AG5" s="217" t="s">
        <v>248</v>
      </c>
      <c r="AH5" s="217" t="s">
        <v>251</v>
      </c>
      <c r="AI5" s="217" t="s">
        <v>252</v>
      </c>
      <c r="AJ5" s="217" t="s">
        <v>248</v>
      </c>
      <c r="AK5" s="217" t="s">
        <v>251</v>
      </c>
      <c r="AL5" s="217" t="s">
        <v>252</v>
      </c>
      <c r="AM5" s="217" t="s">
        <v>248</v>
      </c>
      <c r="AN5" s="217" t="s">
        <v>251</v>
      </c>
      <c r="AO5" s="217" t="s">
        <v>252</v>
      </c>
      <c r="AP5" s="217" t="s">
        <v>248</v>
      </c>
      <c r="AQ5" s="217" t="s">
        <v>251</v>
      </c>
      <c r="AR5" s="217" t="s">
        <v>252</v>
      </c>
      <c r="AS5" s="217" t="s">
        <v>248</v>
      </c>
      <c r="AT5" s="217" t="s">
        <v>251</v>
      </c>
      <c r="AU5" s="217" t="s">
        <v>252</v>
      </c>
      <c r="AV5" s="217" t="s">
        <v>248</v>
      </c>
      <c r="AW5" s="217" t="s">
        <v>251</v>
      </c>
      <c r="AX5" s="217" t="s">
        <v>252</v>
      </c>
      <c r="AY5" s="217" t="s">
        <v>248</v>
      </c>
      <c r="AZ5" s="217" t="s">
        <v>251</v>
      </c>
      <c r="BA5" s="217" t="s">
        <v>252</v>
      </c>
      <c r="BB5" s="217" t="s">
        <v>248</v>
      </c>
      <c r="BC5" s="217" t="s">
        <v>251</v>
      </c>
      <c r="BD5" s="217" t="s">
        <v>252</v>
      </c>
      <c r="BE5" s="217" t="s">
        <v>248</v>
      </c>
      <c r="BF5" s="217" t="s">
        <v>251</v>
      </c>
      <c r="BG5" s="217" t="s">
        <v>252</v>
      </c>
      <c r="BH5" s="217" t="s">
        <v>248</v>
      </c>
      <c r="BI5" s="217" t="s">
        <v>251</v>
      </c>
      <c r="BJ5" s="217" t="s">
        <v>252</v>
      </c>
      <c r="BK5" s="217" t="s">
        <v>248</v>
      </c>
      <c r="BL5" s="217" t="s">
        <v>251</v>
      </c>
      <c r="BM5" s="217" t="s">
        <v>252</v>
      </c>
      <c r="BN5" s="217" t="s">
        <v>248</v>
      </c>
      <c r="BO5" s="217" t="s">
        <v>251</v>
      </c>
      <c r="BP5" s="217" t="s">
        <v>252</v>
      </c>
      <c r="BQ5" s="217" t="s">
        <v>248</v>
      </c>
      <c r="BR5" s="217" t="s">
        <v>251</v>
      </c>
      <c r="BS5" s="217" t="s">
        <v>252</v>
      </c>
      <c r="BT5" s="217" t="s">
        <v>248</v>
      </c>
      <c r="BU5" s="217" t="s">
        <v>251</v>
      </c>
      <c r="BV5" s="217" t="s">
        <v>252</v>
      </c>
      <c r="BW5" s="217" t="s">
        <v>248</v>
      </c>
      <c r="BX5" s="217" t="s">
        <v>251</v>
      </c>
      <c r="BY5" s="217" t="s">
        <v>252</v>
      </c>
      <c r="BZ5" s="217" t="s">
        <v>248</v>
      </c>
      <c r="CA5" s="217" t="s">
        <v>251</v>
      </c>
      <c r="CB5" s="217" t="s">
        <v>252</v>
      </c>
      <c r="CC5" s="192" t="s">
        <v>248</v>
      </c>
      <c r="CD5" s="193" t="s">
        <v>251</v>
      </c>
      <c r="CE5" s="192" t="s">
        <v>252</v>
      </c>
      <c r="CG5" s="3" t="s">
        <v>30</v>
      </c>
      <c r="CH5" s="1"/>
      <c r="CI5" s="1"/>
      <c r="CJ5" s="1"/>
      <c r="CK5" s="189" t="s">
        <v>244</v>
      </c>
    </row>
    <row r="6" spans="1:91" ht="30" x14ac:dyDescent="0.25">
      <c r="A6" s="162" t="s">
        <v>220</v>
      </c>
      <c r="B6" s="162" t="s">
        <v>221</v>
      </c>
      <c r="C6" s="162" t="s">
        <v>226</v>
      </c>
      <c r="D6" s="162" t="s">
        <v>222</v>
      </c>
      <c r="E6" s="162" t="s">
        <v>224</v>
      </c>
      <c r="F6" s="162" t="s">
        <v>222</v>
      </c>
      <c r="G6" s="162" t="s">
        <v>224</v>
      </c>
      <c r="H6" s="217" t="s">
        <v>253</v>
      </c>
      <c r="I6" s="217" t="s">
        <v>249</v>
      </c>
      <c r="J6" s="217" t="s">
        <v>255</v>
      </c>
      <c r="K6" s="217" t="s">
        <v>249</v>
      </c>
      <c r="L6" s="217" t="s">
        <v>249</v>
      </c>
      <c r="M6" s="217" t="s">
        <v>255</v>
      </c>
      <c r="N6" s="217" t="s">
        <v>249</v>
      </c>
      <c r="O6" s="217" t="s">
        <v>249</v>
      </c>
      <c r="P6" s="217" t="s">
        <v>255</v>
      </c>
      <c r="Q6" s="217" t="s">
        <v>249</v>
      </c>
      <c r="R6" s="217" t="s">
        <v>249</v>
      </c>
      <c r="S6" s="217" t="s">
        <v>255</v>
      </c>
      <c r="T6" s="217" t="s">
        <v>249</v>
      </c>
      <c r="U6" s="217" t="s">
        <v>249</v>
      </c>
      <c r="V6" s="217" t="s">
        <v>255</v>
      </c>
      <c r="W6" s="217" t="s">
        <v>249</v>
      </c>
      <c r="X6" s="217" t="s">
        <v>249</v>
      </c>
      <c r="Y6" s="217" t="s">
        <v>255</v>
      </c>
      <c r="Z6" s="217" t="s">
        <v>249</v>
      </c>
      <c r="AA6" s="217" t="s">
        <v>249</v>
      </c>
      <c r="AB6" s="217" t="s">
        <v>255</v>
      </c>
      <c r="AC6" s="217" t="s">
        <v>249</v>
      </c>
      <c r="AD6" s="217" t="s">
        <v>249</v>
      </c>
      <c r="AE6" s="217" t="s">
        <v>255</v>
      </c>
      <c r="AF6" s="217" t="s">
        <v>249</v>
      </c>
      <c r="AG6" s="217" t="s">
        <v>249</v>
      </c>
      <c r="AH6" s="217" t="s">
        <v>255</v>
      </c>
      <c r="AI6" s="217" t="s">
        <v>249</v>
      </c>
      <c r="AJ6" s="217" t="s">
        <v>249</v>
      </c>
      <c r="AK6" s="217" t="s">
        <v>255</v>
      </c>
      <c r="AL6" s="217" t="s">
        <v>249</v>
      </c>
      <c r="AM6" s="217" t="s">
        <v>249</v>
      </c>
      <c r="AN6" s="217" t="s">
        <v>255</v>
      </c>
      <c r="AO6" s="217" t="s">
        <v>249</v>
      </c>
      <c r="AP6" s="217" t="s">
        <v>249</v>
      </c>
      <c r="AQ6" s="217" t="s">
        <v>255</v>
      </c>
      <c r="AR6" s="217" t="s">
        <v>249</v>
      </c>
      <c r="AS6" s="217" t="s">
        <v>249</v>
      </c>
      <c r="AT6" s="217" t="s">
        <v>255</v>
      </c>
      <c r="AU6" s="217" t="s">
        <v>249</v>
      </c>
      <c r="AV6" s="217" t="s">
        <v>249</v>
      </c>
      <c r="AW6" s="217" t="s">
        <v>255</v>
      </c>
      <c r="AX6" s="217" t="s">
        <v>249</v>
      </c>
      <c r="AY6" s="217" t="s">
        <v>249</v>
      </c>
      <c r="AZ6" s="217" t="s">
        <v>255</v>
      </c>
      <c r="BA6" s="217" t="s">
        <v>249</v>
      </c>
      <c r="BB6" s="217" t="s">
        <v>249</v>
      </c>
      <c r="BC6" s="217" t="s">
        <v>255</v>
      </c>
      <c r="BD6" s="217" t="s">
        <v>249</v>
      </c>
      <c r="BE6" s="217" t="s">
        <v>249</v>
      </c>
      <c r="BF6" s="217" t="s">
        <v>255</v>
      </c>
      <c r="BG6" s="217" t="s">
        <v>249</v>
      </c>
      <c r="BH6" s="217" t="s">
        <v>249</v>
      </c>
      <c r="BI6" s="217" t="s">
        <v>255</v>
      </c>
      <c r="BJ6" s="217" t="s">
        <v>249</v>
      </c>
      <c r="BK6" s="217" t="s">
        <v>249</v>
      </c>
      <c r="BL6" s="217" t="s">
        <v>255</v>
      </c>
      <c r="BM6" s="217" t="s">
        <v>249</v>
      </c>
      <c r="BN6" s="217" t="s">
        <v>249</v>
      </c>
      <c r="BO6" s="217" t="s">
        <v>255</v>
      </c>
      <c r="BP6" s="217" t="s">
        <v>249</v>
      </c>
      <c r="BQ6" s="217" t="s">
        <v>249</v>
      </c>
      <c r="BR6" s="217" t="s">
        <v>255</v>
      </c>
      <c r="BS6" s="217" t="s">
        <v>249</v>
      </c>
      <c r="BT6" s="217" t="s">
        <v>249</v>
      </c>
      <c r="BU6" s="217" t="s">
        <v>255</v>
      </c>
      <c r="BV6" s="217" t="s">
        <v>249</v>
      </c>
      <c r="BW6" s="217" t="s">
        <v>249</v>
      </c>
      <c r="BX6" s="217" t="s">
        <v>255</v>
      </c>
      <c r="BY6" s="217" t="s">
        <v>249</v>
      </c>
      <c r="BZ6" s="217" t="s">
        <v>249</v>
      </c>
      <c r="CA6" s="217" t="s">
        <v>255</v>
      </c>
      <c r="CB6" s="217" t="s">
        <v>249</v>
      </c>
      <c r="CC6" s="192" t="s">
        <v>249</v>
      </c>
      <c r="CD6" s="193" t="s">
        <v>255</v>
      </c>
      <c r="CE6" s="192" t="s">
        <v>249</v>
      </c>
      <c r="CG6" s="20" t="s">
        <v>31</v>
      </c>
      <c r="CH6" s="106" t="s">
        <v>27</v>
      </c>
      <c r="CI6" s="106" t="s">
        <v>28</v>
      </c>
      <c r="CJ6" s="186" t="s">
        <v>29</v>
      </c>
      <c r="CK6" s="190" t="s">
        <v>256</v>
      </c>
      <c r="CL6" s="190" t="s">
        <v>257</v>
      </c>
    </row>
    <row r="7" spans="1:91" x14ac:dyDescent="0.25">
      <c r="A7" s="163">
        <v>1</v>
      </c>
      <c r="B7" s="164">
        <f>+A7-16+31</f>
        <v>16</v>
      </c>
      <c r="C7" s="164">
        <f>31-B7</f>
        <v>15</v>
      </c>
      <c r="D7" s="164">
        <f>31-C7</f>
        <v>16</v>
      </c>
      <c r="E7" s="164">
        <f>31-C7-D7</f>
        <v>0</v>
      </c>
      <c r="F7" s="164">
        <f>31-B7</f>
        <v>15</v>
      </c>
      <c r="G7" s="169">
        <f>31-E7</f>
        <v>31</v>
      </c>
      <c r="H7" s="169">
        <f>SUM(F7:G7)</f>
        <v>46</v>
      </c>
      <c r="I7" s="229">
        <f>(+$C7*I$43+$D7*I$44+$E7*I$45)/$C$40</f>
        <v>8.7353548387096774E-2</v>
      </c>
      <c r="J7" s="232">
        <f>($F7+$G7)/($F$38+$G$38)*I7</f>
        <v>5.5731806183168539E-3</v>
      </c>
      <c r="K7" s="232">
        <f>+($F7*I$44+$G7*I$45)/($F7+$G7)</f>
        <v>8.1602826086956529E-2</v>
      </c>
      <c r="L7" s="229">
        <f>(+$C7*L$43+$D7*L$44+$E7*L$45)/$C$40</f>
        <v>8.5678387096774208E-2</v>
      </c>
      <c r="M7" s="232">
        <f>($F7+$G7)/($F$38+$G$38)*L7</f>
        <v>5.4663048633170784E-3</v>
      </c>
      <c r="N7" s="232">
        <f>+($F7*L$44+$G7*L$45)/($F7+$G7)</f>
        <v>6.1258478260869567E-2</v>
      </c>
      <c r="O7" s="229">
        <f>(+$C7*O$43+$D7*O$44+$E7*O$45)/$C$40</f>
        <v>6.4049677419354842E-2</v>
      </c>
      <c r="P7" s="232">
        <f>($F7+$G7)/($F$38+$G$38)*O7</f>
        <v>4.0863871862556484E-3</v>
      </c>
      <c r="Q7" s="232">
        <f>+($F7*O$44+$G7*O$45)/($F7+$G7)</f>
        <v>6.5140434782608697E-2</v>
      </c>
      <c r="R7" s="229">
        <f>(+$C7*R$43+$D7*R$44+$E7*R$45)/$C$40</f>
        <v>6.2880967741935481E-2</v>
      </c>
      <c r="S7" s="232">
        <f>($F7+$G7)/($F$38+$G$38)*R7</f>
        <v>4.0118231846449819E-3</v>
      </c>
      <c r="T7" s="232">
        <f>+($F7*R$44+$G7*R$45)/($F7+$G7)</f>
        <v>4.705195652173913E-2</v>
      </c>
      <c r="U7" s="229">
        <f>(+$C7*U$43+$D7*U$44+$E7*U$45)/$C$40</f>
        <v>5.2380322580645164E-2</v>
      </c>
      <c r="V7" s="232">
        <f>($F7+$G7)/($F$38+$G$38)*U7</f>
        <v>3.3418791105543377E-3</v>
      </c>
      <c r="W7" s="232">
        <f>+($F7*U$44+$G7*U$45)/($F7+$G7)</f>
        <v>5.6938043478260869E-2</v>
      </c>
      <c r="X7" s="229">
        <f>(+$C7*X$43+$D7*X$44+$E7*X$45)/$C$40</f>
        <v>5.2045161290322578E-2</v>
      </c>
      <c r="Y7" s="232">
        <f>($F7+$G7)/($F$38+$G$38)*X7</f>
        <v>3.3204957272605249E-3</v>
      </c>
      <c r="Z7" s="232">
        <f>+($F7*X$44+$G7*X$45)/($F7+$G7)</f>
        <v>8.5319782608695646E-2</v>
      </c>
      <c r="AA7" s="229">
        <f>(+$C7*AA$43+$D7*AA$44+$E7*AA$45)/$C$40</f>
        <v>8.1042258064516121E-2</v>
      </c>
      <c r="AB7" s="232">
        <f>($F7+$G7)/($F$38+$G$38)*AA7</f>
        <v>5.1705185450315414E-3</v>
      </c>
      <c r="AC7" s="232">
        <f>+($F7*AA$44+$G7*AA$45)/($F7+$G7)</f>
        <v>9.289304347826087E-2</v>
      </c>
      <c r="AD7" s="229">
        <f>(+$C7*AD$43+$D7*AD$44+$E7*AD$45)/$C$40</f>
        <v>9.3189677419354841E-2</v>
      </c>
      <c r="AE7" s="232">
        <f>($F7+$G7)/($F$38+$G$38)*AD7</f>
        <v>5.9455272694734019E-3</v>
      </c>
      <c r="AF7" s="232">
        <f>+($F7*AD$44+$G7*AD$45)/($F7+$G7)</f>
        <v>8.9988695652173906E-2</v>
      </c>
      <c r="AG7" s="229">
        <f>(+$C7*AG$43+$D7*AG$44+$E7*AG$45)/$C$40</f>
        <v>9.0525161290322578E-2</v>
      </c>
      <c r="AH7" s="232">
        <f>($F7+$G7)/($F$38+$G$38)*AG7</f>
        <v>5.7755304013243254E-3</v>
      </c>
      <c r="AI7" s="232">
        <f>+($F7*AG$44+$G7*AG$45)/($F7+$G7)</f>
        <v>8.832065217391305E-2</v>
      </c>
      <c r="AJ7" s="229">
        <f>(+$C7*AJ$43+$D7*AJ$44+$E7*AJ$45)/$C$40</f>
        <v>8.8451612903225812E-2</v>
      </c>
      <c r="AK7" s="232">
        <f>($F7+$G7)/($F$38+$G$38)*AJ7</f>
        <v>5.6432374390407592E-3</v>
      </c>
      <c r="AL7" s="232">
        <f>+($F7*AJ$44+$G7*AJ$45)/($F7+$G7)</f>
        <v>8.4444565217391312E-2</v>
      </c>
      <c r="AM7" s="229">
        <f>(+$C7*AM$43+$D7*AM$44+$E7*AM$45)/$C$40</f>
        <v>8.5288709677419361E-2</v>
      </c>
      <c r="AN7" s="232">
        <f>($F7+$G7)/($F$38+$G$38)*AM7</f>
        <v>5.4414433358686417E-3</v>
      </c>
      <c r="AO7" s="232">
        <f>+($F7*AM$44+$G7*AM$45)/($F7+$G7)</f>
        <v>6.9902391304347833E-2</v>
      </c>
      <c r="AP7" s="229">
        <f>(+$C7*AP$43+$D7*AP$44+$E7*AP$45)/$C$40</f>
        <v>7.2898709677419363E-2</v>
      </c>
      <c r="AQ7" s="232">
        <f>($F7+$G7)/($F$38+$G$38)*AP7</f>
        <v>4.6509578989754382E-3</v>
      </c>
      <c r="AR7" s="232">
        <f>+($F7*AP$44+$G7*AP$45)/($F7+$G7)</f>
        <v>7.214739130434783E-2</v>
      </c>
      <c r="AS7" s="229">
        <f>(+$C7*AS$43+$D7*AS$44+$E7*AS$45)/$C$40</f>
        <v>7.0171935483870976E-2</v>
      </c>
      <c r="AT7" s="232">
        <f>($F7+$G7)/($F$38+$G$38)*AS7</f>
        <v>4.4769889490403119E-3</v>
      </c>
      <c r="AU7" s="232">
        <f>+($F7*AS$44+$G7*AS$45)/($F7+$G7)</f>
        <v>0.10210152173913044</v>
      </c>
      <c r="AV7" s="229">
        <f>(+$C7*AV$43+$D7*AV$44+$E7*AV$45)/$C$40</f>
        <v>9.60441935483871E-2</v>
      </c>
      <c r="AW7" s="232">
        <f>($F7+$G7)/($F$38+$G$38)*AV7</f>
        <v>6.1276461903270549E-3</v>
      </c>
      <c r="AX7" s="232">
        <f>+($F7*AV$44+$G7*AV$45)/($F7+$G7)</f>
        <v>9.4139782608695641E-2</v>
      </c>
      <c r="AY7" s="229">
        <f>(+$C7*AY$43+$D7*AY$44+$E7*AY$45)/$C$40</f>
        <v>9.8934838709677425E-2</v>
      </c>
      <c r="AZ7" s="232">
        <f>($F7+$G7)/($F$38+$G$38)*AY7</f>
        <v>6.3120701534606959E-3</v>
      </c>
      <c r="BA7" s="232">
        <f>+($F7*AY$44+$G7*AY$45)/($F7+$G7)</f>
        <v>9.7445434782608698E-2</v>
      </c>
      <c r="BB7" s="229">
        <f>(+$C7*BB$43+$D7*BB$44+$E7*BB$45)/$C$40</f>
        <v>9.4351290322580647E-2</v>
      </c>
      <c r="BC7" s="232">
        <f>($F7+$G7)/($F$38+$G$38)*BB7</f>
        <v>6.0196384949219271E-3</v>
      </c>
      <c r="BD7" s="232">
        <f>+($F7*BB$44+$G7*BB$45)/($F7+$G7)</f>
        <v>9.4661304347826089E-2</v>
      </c>
      <c r="BE7" s="229">
        <f>(+$C7*BE$43+$D7*BE$44+$E7*BE$45)/$C$40</f>
        <v>9.6810322580645175E-2</v>
      </c>
      <c r="BF7" s="232">
        <f>($F7+$G7)/($F$38+$G$38)*BE7</f>
        <v>6.176525435103576E-3</v>
      </c>
      <c r="BG7" s="232">
        <f>+($F7*BE$44+$G7*BE$45)/($F7+$G7)</f>
        <v>0.11106413043478261</v>
      </c>
      <c r="BH7" s="229">
        <f>(+$C7*BH$43+$D7*BH$44+$E7*BH$45)/$C$40</f>
        <v>0.10618387096774193</v>
      </c>
      <c r="BI7" s="232">
        <f>($F7+$G7)/($F$38+$G$38)*BH7</f>
        <v>6.774560422352467E-3</v>
      </c>
      <c r="BJ7" s="232">
        <f>+($F7*BH$44+$G7*BH$45)/($F7+$G7)</f>
        <v>0.10962608695652173</v>
      </c>
      <c r="BK7" s="229">
        <f>(+$C7*BK$43+$D7*BK$44+$E7*BK$45)/$C$40</f>
        <v>0.1123241935483871</v>
      </c>
      <c r="BL7" s="232">
        <f>($F7+$G7)/($F$38+$G$38)*BK7</f>
        <v>7.1663147062771245E-3</v>
      </c>
      <c r="BM7" s="232">
        <f>+($F7*BK$44+$G7*BK$45)/($F7+$G7)</f>
        <v>0.11244021739130435</v>
      </c>
      <c r="BN7" s="229">
        <f>(+$C7*BN$43+$D7*BN$44+$E7*BN$45)/$C$40</f>
        <v>0.11047580645161291</v>
      </c>
      <c r="BO7" s="232">
        <f>($F7+$G7)/($F$38+$G$38)*BN7</f>
        <v>7.0483870967741943E-3</v>
      </c>
      <c r="BP7" s="232">
        <f>+($F7*BN$44+$G7*BN$45)/($F7+$G7)</f>
        <v>8.9658043478260868E-2</v>
      </c>
      <c r="BQ7" s="229">
        <f>(+$C7*BQ$43+$D7*BQ$44+$E7*BQ$45)/$C$40</f>
        <v>9.5942580645161285E-2</v>
      </c>
      <c r="BR7" s="232">
        <f>($F7+$G7)/($F$38+$G$38)*BQ7</f>
        <v>6.1211632589145892E-3</v>
      </c>
      <c r="BS7" s="232">
        <f>+($F7*BQ$44+$G7*BQ$45)/($F7+$G7)</f>
        <v>8.2748695652173923E-2</v>
      </c>
      <c r="BT7" s="229">
        <f>(+$C7*BT$43+$D7*BT$44+$E7*BT$45)/$C$40</f>
        <v>8.1325483870967746E-2</v>
      </c>
      <c r="BU7" s="232">
        <f>($F7+$G7)/($F$38+$G$38)*BT7</f>
        <v>5.1885884300478732E-3</v>
      </c>
      <c r="BV7" s="232">
        <f>+($F7*BT$44+$G7*BT$45)/($F7+$G7)</f>
        <v>7.5520652173913044E-2</v>
      </c>
      <c r="BW7" s="229">
        <f>(+$C7*BW$43+$D7*BW$44+$E7*BW$45)/$C$40</f>
        <v>7.7901612903225809E-2</v>
      </c>
      <c r="BX7" s="232">
        <f>($F7+$G7)/($F$38+$G$38)*BW7</f>
        <v>4.9701445125497744E-3</v>
      </c>
      <c r="BY7" s="232">
        <f>+($F7*BW$44+$G7*BW$45)/($F7+$G7)</f>
        <v>8.8526086956521727E-2</v>
      </c>
      <c r="BZ7" s="229">
        <f>(+$C7*BZ$43+$D7*BZ$44+$E7*BZ$45)/$C$40</f>
        <v>8.4329032258064512E-2</v>
      </c>
      <c r="CA7" s="232">
        <f>($F7+$G7)/($F$38+$G$38)*BZ7</f>
        <v>5.3802156503064734E-3</v>
      </c>
      <c r="CB7" s="232">
        <f>+($F7*BZ$44+$G7*BZ$45)/($F7+$G7)</f>
        <v>0.11439152173913043</v>
      </c>
      <c r="CC7" s="229">
        <f>(+$C7*CC$43+$D7*CC$44+$E7*CC$45)/$C$40</f>
        <v>0.11036645161290322</v>
      </c>
      <c r="CD7" s="232">
        <f>($F7+$G7)/($F$38+$G$38)*CC7</f>
        <v>7.0414102277303022E-3</v>
      </c>
      <c r="CE7" s="232">
        <f>+($F7*CC$44+$G7*CC$45)/($F7+$G7)</f>
        <v>0.11140847826086957</v>
      </c>
      <c r="CG7" s="184" t="s">
        <v>246</v>
      </c>
      <c r="CH7" s="22">
        <v>7.492E-2</v>
      </c>
      <c r="CI7" s="22">
        <v>0.10135</v>
      </c>
      <c r="CJ7" s="22">
        <v>0.10014000000000001</v>
      </c>
      <c r="CK7" s="190"/>
    </row>
    <row r="8" spans="1:91" x14ac:dyDescent="0.25">
      <c r="A8" s="163">
        <f>+A7+1</f>
        <v>2</v>
      </c>
      <c r="B8" s="164">
        <f>+A8-16+31</f>
        <v>17</v>
      </c>
      <c r="C8" s="164">
        <f t="shared" ref="C8:D11" si="21">31-B8</f>
        <v>14</v>
      </c>
      <c r="D8" s="164">
        <f t="shared" si="21"/>
        <v>17</v>
      </c>
      <c r="E8" s="164">
        <f t="shared" ref="E8:E11" si="22">31-C8-D8</f>
        <v>0</v>
      </c>
      <c r="F8" s="164">
        <f t="shared" ref="F8:F11" si="23">31-B8</f>
        <v>14</v>
      </c>
      <c r="G8" s="169">
        <v>31</v>
      </c>
      <c r="H8" s="169">
        <f t="shared" ref="H8:H11" si="24">SUM(F8:G8)</f>
        <v>45</v>
      </c>
      <c r="I8" s="229">
        <f t="shared" ref="I8:I11" si="25">(+$C8*I$43+$D8*I$44+$E8*I$45)/$C$40</f>
        <v>8.8130645161290322E-2</v>
      </c>
      <c r="J8" s="232">
        <f t="shared" ref="J8:J11" si="26">($F8+$G8)/($F$38+$G$38)*I8</f>
        <v>5.5005257035479396E-3</v>
      </c>
      <c r="K8" s="232">
        <f t="shared" ref="K8:K11" si="27">+($F8*I$44+$G8*I$45)/($F8+$G8)</f>
        <v>8.121600000000001E-2</v>
      </c>
      <c r="L8" s="229">
        <f t="shared" ref="L8:L11" si="28">(+$C8*L$43+$D8*L$44+$E8*L$45)/$C$40</f>
        <v>8.4845161290322588E-2</v>
      </c>
      <c r="M8" s="232">
        <f t="shared" ref="M8:M11" si="29">($F8+$G8)/($F$38+$G$38)*L8</f>
        <v>5.2954677643058477E-3</v>
      </c>
      <c r="N8" s="232">
        <f t="shared" ref="N8:N11" si="30">+($F8*L$44+$G8*L$45)/($F8+$G8)</f>
        <v>6.0993555555555565E-2</v>
      </c>
      <c r="O8" s="229">
        <f t="shared" ref="O8:O11" si="31">(+$C8*O$43+$D8*O$44+$E8*O$45)/$C$40</f>
        <v>6.3479032258064533E-2</v>
      </c>
      <c r="P8" s="232">
        <f t="shared" ref="P8:P11" si="32">($F8+$G8)/($F$38+$G$38)*O8</f>
        <v>3.9619368260927932E-3</v>
      </c>
      <c r="Q8" s="232">
        <f t="shared" ref="Q8:Q11" si="33">+($F8*O$44+$G8*O$45)/($F8+$G8)</f>
        <v>6.5354888888888893E-2</v>
      </c>
      <c r="R8" s="229">
        <f t="shared" ref="R8:R11" si="34">(+$C8*R$43+$D8*R$44+$E8*R$45)/$C$40</f>
        <v>6.3342903225806449E-2</v>
      </c>
      <c r="S8" s="232">
        <f t="shared" ref="S8:S11" si="35">($F8+$G8)/($F$38+$G$38)*R8</f>
        <v>3.9534405619435367E-3</v>
      </c>
      <c r="T8" s="232">
        <f t="shared" ref="T8:T11" si="36">+($F8*R$44+$G8*R$45)/($F8+$G8)</f>
        <v>4.6546222222222225E-2</v>
      </c>
      <c r="U8" s="229">
        <f t="shared" ref="U8:U11" si="37">(+$C8*U$43+$D8*U$44+$E8*U$45)/$C$40</f>
        <v>5.1290967741935485E-2</v>
      </c>
      <c r="V8" s="232">
        <f t="shared" ref="V8:V11" si="38">($F8+$G8)/($F$38+$G$38)*U8</f>
        <v>3.2012393181513133E-3</v>
      </c>
      <c r="W8" s="232">
        <f t="shared" ref="W8:W11" si="39">+($F8*U$44+$G8*U$45)/($F8+$G8)</f>
        <v>5.7402444444444443E-2</v>
      </c>
      <c r="X8" s="229">
        <f t="shared" ref="X8:X11" si="40">(+$C8*X$43+$D8*X$44+$E8*X$45)/$C$40</f>
        <v>5.3045483870967747E-2</v>
      </c>
      <c r="Y8" s="232">
        <f t="shared" ref="Y8:Y11" si="41">($F8+$G8)/($F$38+$G$38)*X8</f>
        <v>3.3107444857053379E-3</v>
      </c>
      <c r="Z8" s="232">
        <f t="shared" ref="Z8:Z11" si="42">+($F8*X$44+$G8*X$45)/($F8+$G8)</f>
        <v>8.5725777777777776E-2</v>
      </c>
      <c r="AA8" s="229">
        <f t="shared" ref="AA8:AA11" si="43">(+$C8*AA$43+$D8*AA$44+$E8*AA$45)/$C$40</f>
        <v>8.1916774193548383E-2</v>
      </c>
      <c r="AB8" s="232">
        <f t="shared" ref="AB8:AB11" si="44">($F8+$G8)/($F$38+$G$38)*AA8</f>
        <v>5.1126974184600238E-3</v>
      </c>
      <c r="AC8" s="232">
        <f t="shared" ref="AC8:AC11" si="45">+($F8*AA$44+$G8*AA$45)/($F8+$G8)</f>
        <v>9.2864888888888886E-2</v>
      </c>
      <c r="AD8" s="229">
        <f t="shared" ref="AD8:AD11" si="46">(+$C8*AD$43+$D8*AD$44+$E8*AD$45)/$C$40</f>
        <v>9.3129032258064501E-2</v>
      </c>
      <c r="AE8" s="232">
        <f t="shared" ref="AE8:AE11" si="47">($F8+$G8)/($F$38+$G$38)*AD8</f>
        <v>5.8124916111135959E-3</v>
      </c>
      <c r="AF8" s="232">
        <f t="shared" ref="AF8:AF11" si="48">+($F8*AD$44+$G8*AD$45)/($F8+$G8)</f>
        <v>8.9937777777777783E-2</v>
      </c>
      <c r="AG8" s="229">
        <f t="shared" ref="AG8:AG11" si="49">(+$C8*AG$43+$D8*AG$44+$E8*AG$45)/$C$40</f>
        <v>9.0415483870967747E-2</v>
      </c>
      <c r="AH8" s="232">
        <f t="shared" ref="AH8:AH11" si="50">($F8+$G8)/($F$38+$G$38)*AG8</f>
        <v>5.643130061294797E-3</v>
      </c>
      <c r="AI8" s="232">
        <f t="shared" ref="AI8:AI11" si="51">+($F8*AG$44+$G8*AG$45)/($F8+$G8)</f>
        <v>8.8308222222222232E-2</v>
      </c>
      <c r="AJ8" s="229">
        <f t="shared" ref="AJ8:AJ11" si="52">(+$C8*AJ$43+$D8*AJ$44+$E8*AJ$45)/$C$40</f>
        <v>8.8424838709677434E-2</v>
      </c>
      <c r="AK8" s="232">
        <f t="shared" ref="AK8:AK11" si="53">($F8+$G8)/($F$38+$G$38)*AJ8</f>
        <v>5.5188872981074685E-3</v>
      </c>
      <c r="AL8" s="232">
        <f t="shared" ref="AL8:AL11" si="54">+($F8*AJ$44+$G8*AJ$45)/($F8+$G8)</f>
        <v>8.436444444444445E-2</v>
      </c>
      <c r="AM8" s="229">
        <f t="shared" ref="AM8:AM11" si="55">(+$C8*AM$43+$D8*AM$44+$E8*AM$45)/$C$40</f>
        <v>8.511612903225807E-2</v>
      </c>
      <c r="AN8" s="232">
        <f t="shared" ref="AN8:AN11" si="56">($F8+$G8)/($F$38+$G$38)*AM8</f>
        <v>5.3123797592948864E-3</v>
      </c>
      <c r="AO8" s="232">
        <f t="shared" ref="AO8:AO11" si="57">+($F8*AM$44+$G8*AM$45)/($F8+$G8)</f>
        <v>6.9617999999999999E-2</v>
      </c>
      <c r="AP8" s="229">
        <f t="shared" ref="AP8:AP11" si="58">(+$C8*AP$43+$D8*AP$44+$E8*AP$45)/$C$40</f>
        <v>7.2286129032258076E-2</v>
      </c>
      <c r="AQ8" s="232">
        <f t="shared" ref="AQ8:AQ11" si="59">($F8+$G8)/($F$38+$G$38)*AP8</f>
        <v>4.5116169298912807E-3</v>
      </c>
      <c r="AR8" s="232">
        <f t="shared" ref="AR8:AR11" si="60">+($F8*AP$44+$G8*AP$45)/($F8+$G8)</f>
        <v>7.2334888888888893E-2</v>
      </c>
      <c r="AS8" s="229">
        <f t="shared" ref="AS8:AS11" si="61">(+$C8*AS$43+$D8*AS$44+$E8*AS$45)/$C$40</f>
        <v>7.0575806451612905E-2</v>
      </c>
      <c r="AT8" s="232">
        <f t="shared" ref="AT8:AT11" si="62">($F8+$G8)/($F$38+$G$38)*AS8</f>
        <v>4.4048700281866587E-3</v>
      </c>
      <c r="AU8" s="232">
        <f t="shared" ref="AU8:AU11" si="63">+($F8*AS$44+$G8*AS$45)/($F8+$G8)</f>
        <v>0.10267644444444445</v>
      </c>
      <c r="AV8" s="229">
        <f t="shared" ref="AV8:AV11" si="64">(+$C8*AV$43+$D8*AV$44+$E8*AV$45)/$C$40</f>
        <v>9.7282580645161293E-2</v>
      </c>
      <c r="AW8" s="232">
        <f t="shared" ref="AW8:AW11" si="65">($F8+$G8)/($F$38+$G$38)*AV8</f>
        <v>6.0717283343027159E-3</v>
      </c>
      <c r="AX8" s="232">
        <f t="shared" ref="AX8:AX11" si="66">+($F8*AV$44+$G8*AV$45)/($F8+$G8)</f>
        <v>9.3684666666666666E-2</v>
      </c>
      <c r="AY8" s="229">
        <f t="shared" ref="AY8:AY11" si="67">(+$C8*AY$43+$D8*AY$44+$E8*AY$45)/$C$40</f>
        <v>9.7954516129032262E-2</v>
      </c>
      <c r="AZ8" s="232">
        <f t="shared" ref="AZ8:AZ11" si="68">($F8+$G8)/($F$38+$G$38)*AY8</f>
        <v>6.1136660552100581E-3</v>
      </c>
      <c r="BA8" s="232">
        <f t="shared" ref="BA8:BA11" si="69">+($F8*AY$44+$G8*AY$45)/($F8+$G8)</f>
        <v>9.7739111111111124E-2</v>
      </c>
      <c r="BB8" s="229">
        <f t="shared" ref="BB8:BB11" si="70">(+$C8*BB$43+$D8*BB$44+$E8*BB$45)/$C$40</f>
        <v>9.4983870967741926E-2</v>
      </c>
      <c r="BC8" s="232">
        <f t="shared" ref="BC8:BC11" si="71">($F8+$G8)/($F$38+$G$38)*BB8</f>
        <v>5.9282582434790386E-3</v>
      </c>
      <c r="BD8" s="232">
        <f t="shared" ref="BD8:BD11" si="72">+($F8*BB$44+$G8*BB$45)/($F8+$G8)</f>
        <v>9.4457333333333324E-2</v>
      </c>
      <c r="BE8" s="229">
        <f t="shared" ref="BE8:BE11" si="73">(+$C8*BE$43+$D8*BE$44+$E8*BE$45)/$C$40</f>
        <v>9.6370967741935473E-2</v>
      </c>
      <c r="BF8" s="232">
        <f t="shared" ref="BF8:BF11" si="74">($F8+$G8)/($F$38+$G$38)*BE8</f>
        <v>6.0148315511610213E-3</v>
      </c>
      <c r="BG8" s="232">
        <f t="shared" ref="BG8:BG11" si="75">+($F8*BE$44+$G8*BE$45)/($F8+$G8)</f>
        <v>0.11152733333333333</v>
      </c>
      <c r="BH8" s="229">
        <f t="shared" ref="BH8:BH11" si="76">(+$C8*BH$43+$D8*BH$44+$E8*BH$45)/$C$40</f>
        <v>0.1071816129032258</v>
      </c>
      <c r="BI8" s="232">
        <f t="shared" ref="BI8:BI11" si="77">($F8+$G8)/($F$38+$G$38)*BH8</f>
        <v>6.6895597512415545E-3</v>
      </c>
      <c r="BJ8" s="232">
        <f t="shared" ref="BJ8:BJ11" si="78">+($F8*BH$44+$G8*BH$45)/($F8+$G8)</f>
        <v>0.10936999999999999</v>
      </c>
      <c r="BK8" s="229">
        <f t="shared" ref="BK8:BK11" si="79">(+$C8*BK$43+$D8*BK$44+$E8*BK$45)/$C$40</f>
        <v>0.1117725806451613</v>
      </c>
      <c r="BL8" s="232">
        <f t="shared" ref="BL8:BL11" si="80">($F8+$G8)/($F$38+$G$38)*BK8</f>
        <v>6.9760972663415509E-3</v>
      </c>
      <c r="BM8" s="232">
        <f t="shared" ref="BM8:BM11" si="81">+($F8*BK$44+$G8*BK$45)/($F8+$G8)</f>
        <v>0.11262666666666668</v>
      </c>
      <c r="BN8" s="229">
        <f t="shared" ref="BN8:BN11" si="82">(+$C8*BN$43+$D8*BN$44+$E8*BN$45)/$C$40</f>
        <v>0.11087741935483872</v>
      </c>
      <c r="BO8" s="232">
        <f t="shared" ref="BO8:BO11" si="83">($F8+$G8)/($F$38+$G$38)*BN8</f>
        <v>6.9202272828956203E-3</v>
      </c>
      <c r="BP8" s="232">
        <f t="shared" ref="BP8:BP11" si="84">+($F8*BN$44+$G8*BN$45)/($F8+$G8)</f>
        <v>8.9061555555555547E-2</v>
      </c>
      <c r="BQ8" s="229">
        <f t="shared" ref="BQ8:BQ11" si="85">(+$C8*BQ$43+$D8*BQ$44+$E8*BQ$45)/$C$40</f>
        <v>9.4657741935483874E-2</v>
      </c>
      <c r="BR8" s="232">
        <f t="shared" ref="BR8:BR11" si="86">($F8+$G8)/($F$38+$G$38)*BQ8</f>
        <v>5.9079034495100897E-3</v>
      </c>
      <c r="BS8" s="232">
        <f t="shared" ref="BS8:BS11" si="87">+($F8*BQ$44+$G8*BQ$45)/($F8+$G8)</f>
        <v>8.2883777777777778E-2</v>
      </c>
      <c r="BT8" s="229">
        <f t="shared" ref="BT8:BT11" si="88">(+$C8*BT$43+$D8*BT$44+$E8*BT$45)/$C$40</f>
        <v>8.1616451612903235E-2</v>
      </c>
      <c r="BU8" s="232">
        <f t="shared" ref="BU8:BU11" si="89">($F8+$G8)/($F$38+$G$38)*BT8</f>
        <v>5.0939532906805066E-3</v>
      </c>
      <c r="BV8" s="232">
        <f t="shared" ref="BV8:BV11" si="90">+($F8*BT$44+$G8*BT$45)/($F8+$G8)</f>
        <v>7.5294666666666663E-2</v>
      </c>
      <c r="BW8" s="229">
        <f t="shared" ref="BW8:BW11" si="91">(+$C8*BW$43+$D8*BW$44+$E8*BW$45)/$C$40</f>
        <v>7.7414838709677414E-2</v>
      </c>
      <c r="BX8" s="232">
        <f t="shared" ref="BX8:BX11" si="92">($F8+$G8)/($F$38+$G$38)*BW8</f>
        <v>4.8317167017135699E-3</v>
      </c>
      <c r="BY8" s="232">
        <f t="shared" ref="BY8:BY11" si="93">+($F8*BW$44+$G8*BW$45)/($F8+$G8)</f>
        <v>8.8924444444444445E-2</v>
      </c>
      <c r="BZ8" s="229">
        <f t="shared" ref="BZ8:BZ11" si="94">(+$C8*BZ$43+$D8*BZ$44+$E8*BZ$45)/$C$40</f>
        <v>8.5187096774193533E-2</v>
      </c>
      <c r="CA8" s="232">
        <f t="shared" ref="CA8:CA11" si="95">($F8+$G8)/($F$38+$G$38)*BZ8</f>
        <v>5.3168090913158234E-3</v>
      </c>
      <c r="CB8" s="232">
        <f t="shared" ref="CB8:CB11" si="96">+($F8*BZ$44+$G8*BZ$45)/($F8+$G8)</f>
        <v>0.11477355555555556</v>
      </c>
      <c r="CC8" s="229">
        <f t="shared" ref="CC8:CC11" si="97">(+$C8*CC$43+$D8*CC$44+$E8*CC$45)/$C$40</f>
        <v>0.11118935483870966</v>
      </c>
      <c r="CD8" s="232">
        <f t="shared" ref="CD8:CD11" si="98">($F8+$G8)/($F$38+$G$38)*CC8</f>
        <v>6.9396962104603813E-3</v>
      </c>
      <c r="CE8" s="232">
        <f t="shared" ref="CE8:CE11" si="99">+($F8*CC$44+$G8*CC$45)/($F8+$G8)</f>
        <v>0.11115733333333334</v>
      </c>
      <c r="CG8" s="11" t="s">
        <v>20</v>
      </c>
      <c r="CH8" s="22">
        <v>9.9010000000000001E-2</v>
      </c>
      <c r="CI8" s="22">
        <v>8.5040000000000004E-2</v>
      </c>
      <c r="CJ8" s="187">
        <v>8.231999999999999E-2</v>
      </c>
      <c r="CK8" s="148"/>
    </row>
    <row r="9" spans="1:91" x14ac:dyDescent="0.25">
      <c r="A9" s="163">
        <f t="shared" ref="A9:A37" si="100">+A8+1</f>
        <v>3</v>
      </c>
      <c r="B9" s="164">
        <f t="shared" ref="B9:B11" si="101">+A9-16+31</f>
        <v>18</v>
      </c>
      <c r="C9" s="164">
        <f t="shared" si="21"/>
        <v>13</v>
      </c>
      <c r="D9" s="164">
        <f t="shared" si="21"/>
        <v>18</v>
      </c>
      <c r="E9" s="164">
        <f t="shared" si="22"/>
        <v>0</v>
      </c>
      <c r="F9" s="164">
        <f t="shared" si="23"/>
        <v>13</v>
      </c>
      <c r="G9" s="169">
        <v>31</v>
      </c>
      <c r="H9" s="169">
        <f t="shared" si="24"/>
        <v>44</v>
      </c>
      <c r="I9" s="229">
        <f t="shared" si="25"/>
        <v>8.8907741935483883E-2</v>
      </c>
      <c r="J9" s="232">
        <f t="shared" si="26"/>
        <v>5.425715180528836E-3</v>
      </c>
      <c r="K9" s="232">
        <f t="shared" si="27"/>
        <v>8.0811590909090916E-2</v>
      </c>
      <c r="L9" s="229">
        <f t="shared" si="28"/>
        <v>8.4011935483870981E-2</v>
      </c>
      <c r="M9" s="232">
        <f t="shared" si="29"/>
        <v>5.1269419712764537E-3</v>
      </c>
      <c r="N9" s="232">
        <f t="shared" si="30"/>
        <v>6.0716590909090914E-2</v>
      </c>
      <c r="O9" s="229">
        <f t="shared" si="31"/>
        <v>6.2908387096774196E-2</v>
      </c>
      <c r="P9" s="232">
        <f t="shared" si="32"/>
        <v>3.8390693928683282E-3</v>
      </c>
      <c r="Q9" s="232">
        <f t="shared" si="33"/>
        <v>6.557909090909092E-2</v>
      </c>
      <c r="R9" s="229">
        <f t="shared" si="34"/>
        <v>6.3804838709677417E-2</v>
      </c>
      <c r="S9" s="232">
        <f t="shared" si="35"/>
        <v>3.8937765648069437E-3</v>
      </c>
      <c r="T9" s="232">
        <f t="shared" si="36"/>
        <v>4.6017500000000003E-2</v>
      </c>
      <c r="U9" s="229">
        <f t="shared" si="37"/>
        <v>5.0201612903225806E-2</v>
      </c>
      <c r="V9" s="232">
        <f t="shared" si="38"/>
        <v>3.0636213144825735E-3</v>
      </c>
      <c r="W9" s="232">
        <f t="shared" si="39"/>
        <v>5.7887954545454541E-2</v>
      </c>
      <c r="X9" s="229">
        <f t="shared" si="40"/>
        <v>5.4045806451612909E-2</v>
      </c>
      <c r="Y9" s="232">
        <f t="shared" si="41"/>
        <v>3.2982184242315786E-3</v>
      </c>
      <c r="Z9" s="232">
        <f t="shared" si="42"/>
        <v>8.6150227272727267E-2</v>
      </c>
      <c r="AA9" s="229">
        <f t="shared" si="43"/>
        <v>8.2791290322580646E-2</v>
      </c>
      <c r="AB9" s="232">
        <f t="shared" si="44"/>
        <v>5.0524504496443114E-3</v>
      </c>
      <c r="AC9" s="232">
        <f t="shared" si="45"/>
        <v>9.2835454545454527E-2</v>
      </c>
      <c r="AD9" s="229">
        <f t="shared" si="46"/>
        <v>9.3068387096774188E-2</v>
      </c>
      <c r="AE9" s="232">
        <f t="shared" si="47"/>
        <v>5.6796241778891325E-3</v>
      </c>
      <c r="AF9" s="232">
        <f t="shared" si="48"/>
        <v>8.9884545454545453E-2</v>
      </c>
      <c r="AG9" s="229">
        <f t="shared" si="49"/>
        <v>9.0305806451612902E-2</v>
      </c>
      <c r="AH9" s="232">
        <f t="shared" si="50"/>
        <v>5.5110339582121609E-3</v>
      </c>
      <c r="AI9" s="232">
        <f t="shared" si="51"/>
        <v>8.8295227272727275E-2</v>
      </c>
      <c r="AJ9" s="229">
        <f t="shared" si="52"/>
        <v>8.8398064516129027E-2</v>
      </c>
      <c r="AK9" s="232">
        <f t="shared" si="53"/>
        <v>5.3946114267817988E-3</v>
      </c>
      <c r="AL9" s="232">
        <f t="shared" si="54"/>
        <v>8.4280681818181824E-2</v>
      </c>
      <c r="AM9" s="229">
        <f t="shared" si="55"/>
        <v>8.4943548387096779E-2</v>
      </c>
      <c r="AN9" s="232">
        <f t="shared" si="56"/>
        <v>5.1837949085052123E-3</v>
      </c>
      <c r="AO9" s="232">
        <f t="shared" si="57"/>
        <v>6.9320681818181823E-2</v>
      </c>
      <c r="AP9" s="229">
        <f t="shared" si="58"/>
        <v>7.1673548387096789E-2</v>
      </c>
      <c r="AQ9" s="232">
        <f t="shared" si="59"/>
        <v>4.3739752136369749E-3</v>
      </c>
      <c r="AR9" s="232">
        <f t="shared" si="60"/>
        <v>7.2530909090909104E-2</v>
      </c>
      <c r="AS9" s="229">
        <f t="shared" si="61"/>
        <v>7.0979677419354847E-2</v>
      </c>
      <c r="AT9" s="232">
        <f t="shared" si="62"/>
        <v>4.3316307995168004E-3</v>
      </c>
      <c r="AU9" s="232">
        <f t="shared" si="63"/>
        <v>0.10327749999999999</v>
      </c>
      <c r="AV9" s="229">
        <f t="shared" si="64"/>
        <v>9.8520967741935486E-2</v>
      </c>
      <c r="AW9" s="232">
        <f t="shared" si="65"/>
        <v>6.0123752852221379E-3</v>
      </c>
      <c r="AX9" s="232">
        <f t="shared" si="66"/>
        <v>9.3208863636363631E-2</v>
      </c>
      <c r="AY9" s="229">
        <f t="shared" si="67"/>
        <v>9.6974193548387086E-2</v>
      </c>
      <c r="AZ9" s="232">
        <f t="shared" si="68"/>
        <v>5.9179812983759109E-3</v>
      </c>
      <c r="BA9" s="232">
        <f t="shared" si="69"/>
        <v>9.8046136363636363E-2</v>
      </c>
      <c r="BB9" s="229">
        <f t="shared" si="70"/>
        <v>9.5616451612903219E-2</v>
      </c>
      <c r="BC9" s="232">
        <f t="shared" si="71"/>
        <v>5.8351232607042188E-3</v>
      </c>
      <c r="BD9" s="232">
        <f t="shared" si="72"/>
        <v>9.4244090909090902E-2</v>
      </c>
      <c r="BE9" s="229">
        <f t="shared" si="73"/>
        <v>9.5931612903225799E-2</v>
      </c>
      <c r="BF9" s="232">
        <f t="shared" si="74"/>
        <v>5.8543564046351386E-3</v>
      </c>
      <c r="BG9" s="232">
        <f t="shared" si="75"/>
        <v>0.11201159090909089</v>
      </c>
      <c r="BH9" s="229">
        <f t="shared" si="76"/>
        <v>0.10817935483870968</v>
      </c>
      <c r="BI9" s="232">
        <f t="shared" si="77"/>
        <v>6.6017914187284686E-3</v>
      </c>
      <c r="BJ9" s="232">
        <f t="shared" si="78"/>
        <v>0.10910227272727271</v>
      </c>
      <c r="BK9" s="229">
        <f t="shared" si="79"/>
        <v>0.11122096774193548</v>
      </c>
      <c r="BL9" s="232">
        <f t="shared" si="80"/>
        <v>6.7874099592859375E-3</v>
      </c>
      <c r="BM9" s="232">
        <f t="shared" si="81"/>
        <v>0.11282159090909091</v>
      </c>
      <c r="BN9" s="229">
        <f t="shared" si="82"/>
        <v>0.11127903225806451</v>
      </c>
      <c r="BO9" s="232">
        <f t="shared" si="83"/>
        <v>6.7909534249026892E-3</v>
      </c>
      <c r="BP9" s="232">
        <f t="shared" si="84"/>
        <v>8.8437954545454556E-2</v>
      </c>
      <c r="BQ9" s="229">
        <f t="shared" si="85"/>
        <v>9.3372903225806464E-2</v>
      </c>
      <c r="BR9" s="232">
        <f t="shared" si="86"/>
        <v>5.6982076864569827E-3</v>
      </c>
      <c r="BS9" s="232">
        <f t="shared" si="87"/>
        <v>8.3025000000000002E-2</v>
      </c>
      <c r="BT9" s="229">
        <f t="shared" si="88"/>
        <v>8.1907419354838709E-2</v>
      </c>
      <c r="BU9" s="232">
        <f t="shared" si="89"/>
        <v>4.9985110285893251E-3</v>
      </c>
      <c r="BV9" s="232">
        <f t="shared" si="90"/>
        <v>7.5058409090909092E-2</v>
      </c>
      <c r="BW9" s="229">
        <f t="shared" si="91"/>
        <v>7.6928064516129033E-2</v>
      </c>
      <c r="BX9" s="232">
        <f t="shared" si="92"/>
        <v>4.6946391660328398E-3</v>
      </c>
      <c r="BY9" s="232">
        <f t="shared" si="93"/>
        <v>8.9340909090909096E-2</v>
      </c>
      <c r="BZ9" s="229">
        <f t="shared" si="94"/>
        <v>8.6045161290322567E-2</v>
      </c>
      <c r="CA9" s="232">
        <f t="shared" si="95"/>
        <v>5.251022325623014E-3</v>
      </c>
      <c r="CB9" s="232">
        <f t="shared" si="96"/>
        <v>0.11517295454545455</v>
      </c>
      <c r="CC9" s="229">
        <f t="shared" si="97"/>
        <v>0.11201225806451612</v>
      </c>
      <c r="CD9" s="232">
        <f t="shared" si="98"/>
        <v>6.8356995212742154E-3</v>
      </c>
      <c r="CE9" s="232">
        <f t="shared" si="99"/>
        <v>0.11089477272727272</v>
      </c>
      <c r="CG9" s="184" t="s">
        <v>245</v>
      </c>
      <c r="CH9" s="30">
        <v>7.3180000000000009E-2</v>
      </c>
      <c r="CI9" s="30">
        <v>5.7889999999999997E-2</v>
      </c>
      <c r="CJ9" s="188">
        <v>7.4439999999999992E-2</v>
      </c>
      <c r="CK9" s="191">
        <f t="shared" ref="CK9:CK33" si="102">+CH7*$CH$41+CH8*$CI$41+CH9*$CJ$41</f>
        <v>9.2578471248246849E-2</v>
      </c>
    </row>
    <row r="10" spans="1:91" x14ac:dyDescent="0.25">
      <c r="A10" s="163">
        <f t="shared" si="100"/>
        <v>4</v>
      </c>
      <c r="B10" s="164">
        <f t="shared" si="101"/>
        <v>19</v>
      </c>
      <c r="C10" s="164">
        <f t="shared" si="21"/>
        <v>12</v>
      </c>
      <c r="D10" s="164">
        <f t="shared" si="21"/>
        <v>19</v>
      </c>
      <c r="E10" s="164">
        <f t="shared" si="22"/>
        <v>0</v>
      </c>
      <c r="F10" s="164">
        <f t="shared" si="23"/>
        <v>12</v>
      </c>
      <c r="G10" s="169">
        <v>31</v>
      </c>
      <c r="H10" s="169">
        <f t="shared" si="24"/>
        <v>43</v>
      </c>
      <c r="I10" s="229">
        <f t="shared" si="25"/>
        <v>8.9684838709677417E-2</v>
      </c>
      <c r="J10" s="232">
        <f t="shared" si="26"/>
        <v>5.3487490492595408E-3</v>
      </c>
      <c r="K10" s="232">
        <f t="shared" si="27"/>
        <v>8.0388372093023269E-2</v>
      </c>
      <c r="L10" s="229">
        <f t="shared" si="28"/>
        <v>8.317870967741936E-2</v>
      </c>
      <c r="M10" s="232">
        <f t="shared" si="29"/>
        <v>4.9607274842288938E-3</v>
      </c>
      <c r="N10" s="232">
        <f t="shared" si="30"/>
        <v>6.0426744186046509E-2</v>
      </c>
      <c r="O10" s="229">
        <f t="shared" si="31"/>
        <v>6.2337741935483873E-2</v>
      </c>
      <c r="P10" s="232">
        <f t="shared" si="32"/>
        <v>3.717784886582256E-3</v>
      </c>
      <c r="Q10" s="232">
        <f t="shared" si="33"/>
        <v>6.5813720930232564E-2</v>
      </c>
      <c r="R10" s="229">
        <f t="shared" si="34"/>
        <v>6.4266774193548384E-2</v>
      </c>
      <c r="S10" s="232">
        <f t="shared" si="35"/>
        <v>3.8328311932352018E-3</v>
      </c>
      <c r="T10" s="232">
        <f t="shared" si="36"/>
        <v>4.5464186046511632E-2</v>
      </c>
      <c r="U10" s="229">
        <f t="shared" si="37"/>
        <v>4.9112258064516127E-2</v>
      </c>
      <c r="V10" s="232">
        <f t="shared" si="38"/>
        <v>2.9290250995481185E-3</v>
      </c>
      <c r="W10" s="232">
        <f t="shared" si="39"/>
        <v>5.8396046511627907E-2</v>
      </c>
      <c r="X10" s="229">
        <f t="shared" si="40"/>
        <v>5.5046129032258063E-2</v>
      </c>
      <c r="Y10" s="232">
        <f t="shared" si="41"/>
        <v>3.2829175428392464E-3</v>
      </c>
      <c r="Z10" s="232">
        <f t="shared" si="42"/>
        <v>8.6594418604651169E-2</v>
      </c>
      <c r="AA10" s="229">
        <f t="shared" si="43"/>
        <v>8.3665806451612895E-2</v>
      </c>
      <c r="AB10" s="232">
        <f t="shared" si="44"/>
        <v>4.9897776385844032E-3</v>
      </c>
      <c r="AC10" s="232">
        <f t="shared" si="45"/>
        <v>9.2804651162790686E-2</v>
      </c>
      <c r="AD10" s="229">
        <f t="shared" si="46"/>
        <v>9.3007741935483862E-2</v>
      </c>
      <c r="AE10" s="232">
        <f t="shared" si="47"/>
        <v>5.5469249698000085E-3</v>
      </c>
      <c r="AF10" s="232">
        <f t="shared" si="48"/>
        <v>8.982883720930232E-2</v>
      </c>
      <c r="AG10" s="229">
        <f t="shared" si="49"/>
        <v>9.0196129032258057E-2</v>
      </c>
      <c r="AH10" s="232">
        <f t="shared" si="50"/>
        <v>5.379242092076417E-3</v>
      </c>
      <c r="AI10" s="232">
        <f t="shared" si="51"/>
        <v>8.8281627906976745E-2</v>
      </c>
      <c r="AJ10" s="229">
        <f t="shared" si="52"/>
        <v>8.8371290322580648E-2</v>
      </c>
      <c r="AK10" s="232">
        <f t="shared" si="53"/>
        <v>5.2704098250637562E-3</v>
      </c>
      <c r="AL10" s="232">
        <f t="shared" si="54"/>
        <v>8.4193023255813959E-2</v>
      </c>
      <c r="AM10" s="229">
        <f t="shared" si="55"/>
        <v>8.4770967741935502E-2</v>
      </c>
      <c r="AN10" s="232">
        <f t="shared" si="56"/>
        <v>5.0556887834996211E-3</v>
      </c>
      <c r="AO10" s="232">
        <f t="shared" si="57"/>
        <v>6.9009534883720927E-2</v>
      </c>
      <c r="AP10" s="229">
        <f t="shared" si="58"/>
        <v>7.1060967741935488E-2</v>
      </c>
      <c r="AQ10" s="232">
        <f t="shared" si="59"/>
        <v>4.2380327502125189E-3</v>
      </c>
      <c r="AR10" s="232">
        <f t="shared" si="60"/>
        <v>7.2736046511627919E-2</v>
      </c>
      <c r="AS10" s="229">
        <f t="shared" si="61"/>
        <v>7.1383548387096776E-2</v>
      </c>
      <c r="AT10" s="232">
        <f t="shared" si="62"/>
        <v>4.2572712630307369E-3</v>
      </c>
      <c r="AU10" s="232">
        <f t="shared" si="63"/>
        <v>0.10390651162790697</v>
      </c>
      <c r="AV10" s="229">
        <f t="shared" si="64"/>
        <v>9.9759354838709666E-2</v>
      </c>
      <c r="AW10" s="232">
        <f t="shared" si="65"/>
        <v>5.9495870430853201E-3</v>
      </c>
      <c r="AX10" s="232">
        <f t="shared" si="66"/>
        <v>9.271093023255815E-2</v>
      </c>
      <c r="AY10" s="229">
        <f t="shared" si="67"/>
        <v>9.5993870967741937E-2</v>
      </c>
      <c r="AZ10" s="232">
        <f t="shared" si="68"/>
        <v>5.7250158829582568E-3</v>
      </c>
      <c r="BA10" s="232">
        <f t="shared" si="69"/>
        <v>9.8367441860465116E-2</v>
      </c>
      <c r="BB10" s="229">
        <f t="shared" si="70"/>
        <v>9.6249032258064512E-2</v>
      </c>
      <c r="BC10" s="232">
        <f t="shared" si="71"/>
        <v>5.7402335465974678E-3</v>
      </c>
      <c r="BD10" s="232">
        <f t="shared" si="72"/>
        <v>9.4020930232558128E-2</v>
      </c>
      <c r="BE10" s="229">
        <f t="shared" si="73"/>
        <v>9.5492258064516125E-2</v>
      </c>
      <c r="BF10" s="232">
        <f t="shared" si="74"/>
        <v>5.6950999955259268E-3</v>
      </c>
      <c r="BG10" s="232">
        <f t="shared" si="75"/>
        <v>0.11251837209302325</v>
      </c>
      <c r="BH10" s="229">
        <f t="shared" si="76"/>
        <v>0.10917709677419354</v>
      </c>
      <c r="BI10" s="232">
        <f t="shared" si="77"/>
        <v>6.5112554248132077E-3</v>
      </c>
      <c r="BJ10" s="232">
        <f t="shared" si="78"/>
        <v>0.10882209302325582</v>
      </c>
      <c r="BK10" s="229">
        <f t="shared" si="79"/>
        <v>0.11066935483870967</v>
      </c>
      <c r="BL10" s="232">
        <f t="shared" si="80"/>
        <v>6.6002527851102858E-3</v>
      </c>
      <c r="BM10" s="232">
        <f t="shared" si="81"/>
        <v>0.11302558139534886</v>
      </c>
      <c r="BN10" s="229">
        <f t="shared" si="82"/>
        <v>0.11168064516129034</v>
      </c>
      <c r="BO10" s="232">
        <f t="shared" si="83"/>
        <v>6.6605655227954018E-3</v>
      </c>
      <c r="BP10" s="232">
        <f t="shared" si="84"/>
        <v>8.7785348837209301E-2</v>
      </c>
      <c r="BQ10" s="229">
        <f t="shared" si="85"/>
        <v>9.2088064516129026E-2</v>
      </c>
      <c r="BR10" s="232">
        <f t="shared" si="86"/>
        <v>5.4920759697552682E-3</v>
      </c>
      <c r="BS10" s="232">
        <f t="shared" si="87"/>
        <v>8.3172790697674429E-2</v>
      </c>
      <c r="BT10" s="229">
        <f t="shared" si="88"/>
        <v>8.2198387096774184E-2</v>
      </c>
      <c r="BU10" s="232">
        <f t="shared" si="89"/>
        <v>4.902261643774327E-3</v>
      </c>
      <c r="BV10" s="232">
        <f t="shared" si="90"/>
        <v>7.4811162790697674E-2</v>
      </c>
      <c r="BW10" s="229">
        <f t="shared" si="91"/>
        <v>7.6441290322580638E-2</v>
      </c>
      <c r="BX10" s="232">
        <f t="shared" si="92"/>
        <v>4.5589119055075835E-3</v>
      </c>
      <c r="BY10" s="232">
        <f t="shared" si="93"/>
        <v>8.9776744186046503E-2</v>
      </c>
      <c r="BZ10" s="229">
        <f t="shared" si="94"/>
        <v>8.6903225806451614E-2</v>
      </c>
      <c r="CA10" s="232">
        <f t="shared" si="95"/>
        <v>5.1828553532280433E-3</v>
      </c>
      <c r="CB10" s="232">
        <f t="shared" si="96"/>
        <v>0.11559093023255812</v>
      </c>
      <c r="CC10" s="229">
        <f t="shared" si="97"/>
        <v>0.11283516129032257</v>
      </c>
      <c r="CD10" s="232">
        <f t="shared" si="98"/>
        <v>6.7294201601718045E-3</v>
      </c>
      <c r="CE10" s="232">
        <f t="shared" si="99"/>
        <v>0.11062</v>
      </c>
      <c r="CG10" s="201" t="s">
        <v>241</v>
      </c>
      <c r="CH10" s="202">
        <v>5.5490000000000005E-2</v>
      </c>
      <c r="CI10" s="202">
        <v>6.1609999999999998E-2</v>
      </c>
      <c r="CJ10" s="203">
        <v>5.0680000000000003E-2</v>
      </c>
      <c r="CK10" s="204">
        <f t="shared" si="102"/>
        <v>7.4474474053295936E-2</v>
      </c>
      <c r="CL10" s="205"/>
      <c r="CM10" s="205"/>
    </row>
    <row r="11" spans="1:91" x14ac:dyDescent="0.25">
      <c r="A11" s="163">
        <f t="shared" si="100"/>
        <v>5</v>
      </c>
      <c r="B11" s="164">
        <f t="shared" si="101"/>
        <v>20</v>
      </c>
      <c r="C11" s="164">
        <f t="shared" si="21"/>
        <v>11</v>
      </c>
      <c r="D11" s="164">
        <f t="shared" si="21"/>
        <v>20</v>
      </c>
      <c r="E11" s="164">
        <f t="shared" si="22"/>
        <v>0</v>
      </c>
      <c r="F11" s="164">
        <f t="shared" si="23"/>
        <v>11</v>
      </c>
      <c r="G11" s="169">
        <v>31</v>
      </c>
      <c r="H11" s="169">
        <f t="shared" si="24"/>
        <v>42</v>
      </c>
      <c r="I11" s="229">
        <f t="shared" si="25"/>
        <v>9.0461935483870964E-2</v>
      </c>
      <c r="J11" s="232">
        <f t="shared" si="26"/>
        <v>5.2696273097400563E-3</v>
      </c>
      <c r="K11" s="232">
        <f t="shared" si="27"/>
        <v>7.9945000000000016E-2</v>
      </c>
      <c r="L11" s="229">
        <f t="shared" si="28"/>
        <v>8.2345483870967753E-2</v>
      </c>
      <c r="M11" s="232">
        <f t="shared" si="29"/>
        <v>4.7968243031631707E-3</v>
      </c>
      <c r="N11" s="232">
        <f t="shared" si="30"/>
        <v>6.0123095238095239E-2</v>
      </c>
      <c r="O11" s="229">
        <f t="shared" si="31"/>
        <v>6.1767096774193557E-2</v>
      </c>
      <c r="P11" s="232">
        <f t="shared" si="32"/>
        <v>3.5980833072345761E-3</v>
      </c>
      <c r="Q11" s="232">
        <f t="shared" si="33"/>
        <v>6.6059523809523818E-2</v>
      </c>
      <c r="R11" s="229">
        <f t="shared" si="34"/>
        <v>6.4728709677419352E-2</v>
      </c>
      <c r="S11" s="232">
        <f t="shared" si="35"/>
        <v>3.770604447228312E-3</v>
      </c>
      <c r="T11" s="232">
        <f t="shared" si="36"/>
        <v>4.4884523809523805E-2</v>
      </c>
      <c r="U11" s="229">
        <f t="shared" si="37"/>
        <v>4.8022903225806456E-2</v>
      </c>
      <c r="V11" s="232">
        <f t="shared" si="38"/>
        <v>2.7974506733479489E-3</v>
      </c>
      <c r="W11" s="232">
        <f t="shared" si="39"/>
        <v>5.8928333333333333E-2</v>
      </c>
      <c r="X11" s="229">
        <f t="shared" si="40"/>
        <v>5.6046451612903218E-2</v>
      </c>
      <c r="Y11" s="232">
        <f t="shared" si="41"/>
        <v>3.2648418415283428E-3</v>
      </c>
      <c r="Z11" s="232">
        <f t="shared" si="42"/>
        <v>8.7059761904761904E-2</v>
      </c>
      <c r="AA11" s="229">
        <f t="shared" si="43"/>
        <v>8.4540322580645172E-2</v>
      </c>
      <c r="AB11" s="232">
        <f t="shared" si="44"/>
        <v>4.9246789852803018E-3</v>
      </c>
      <c r="AC11" s="232">
        <f t="shared" si="45"/>
        <v>9.2772380952380953E-2</v>
      </c>
      <c r="AD11" s="229">
        <f t="shared" si="46"/>
        <v>9.2947096774193549E-2</v>
      </c>
      <c r="AE11" s="232">
        <f t="shared" si="47"/>
        <v>5.4143939868462262E-3</v>
      </c>
      <c r="AF11" s="232">
        <f t="shared" si="48"/>
        <v>8.9770476190476192E-2</v>
      </c>
      <c r="AG11" s="229">
        <f t="shared" si="49"/>
        <v>9.0086451612903226E-2</v>
      </c>
      <c r="AH11" s="232">
        <f t="shared" si="50"/>
        <v>5.2477544628875671E-3</v>
      </c>
      <c r="AI11" s="232">
        <f t="shared" si="51"/>
        <v>8.8267380952380958E-2</v>
      </c>
      <c r="AJ11" s="229">
        <f t="shared" si="52"/>
        <v>8.8344516129032255E-2</v>
      </c>
      <c r="AK11" s="232">
        <f t="shared" si="53"/>
        <v>5.1462824929533356E-3</v>
      </c>
      <c r="AL11" s="232">
        <f t="shared" si="54"/>
        <v>8.4101190476190482E-2</v>
      </c>
      <c r="AM11" s="229">
        <f t="shared" si="55"/>
        <v>8.4598387096774211E-2</v>
      </c>
      <c r="AN11" s="232">
        <f t="shared" si="56"/>
        <v>4.9280613842781094E-3</v>
      </c>
      <c r="AO11" s="232">
        <f t="shared" si="57"/>
        <v>6.8683571428571427E-2</v>
      </c>
      <c r="AP11" s="229">
        <f t="shared" si="58"/>
        <v>7.0448387096774187E-2</v>
      </c>
      <c r="AQ11" s="232">
        <f t="shared" si="59"/>
        <v>4.1037895396179138E-3</v>
      </c>
      <c r="AR11" s="232">
        <f t="shared" si="60"/>
        <v>7.2950952380952394E-2</v>
      </c>
      <c r="AS11" s="229">
        <f t="shared" si="61"/>
        <v>7.1787419354838719E-2</v>
      </c>
      <c r="AT11" s="232">
        <f t="shared" si="62"/>
        <v>4.1817914187284692E-3</v>
      </c>
      <c r="AU11" s="232">
        <f t="shared" si="63"/>
        <v>0.10456547619047619</v>
      </c>
      <c r="AV11" s="229">
        <f t="shared" si="64"/>
        <v>0.10099774193548386</v>
      </c>
      <c r="AW11" s="232">
        <f t="shared" si="65"/>
        <v>5.8833636078922634E-3</v>
      </c>
      <c r="AX11" s="232">
        <f t="shared" si="66"/>
        <v>9.218928571428571E-2</v>
      </c>
      <c r="AY11" s="229">
        <f t="shared" si="67"/>
        <v>9.5013548387096788E-2</v>
      </c>
      <c r="AZ11" s="232">
        <f t="shared" si="68"/>
        <v>5.534769808957095E-3</v>
      </c>
      <c r="BA11" s="232">
        <f t="shared" si="69"/>
        <v>9.8704047619047622E-2</v>
      </c>
      <c r="BB11" s="229">
        <f t="shared" si="70"/>
        <v>9.6881612903225806E-2</v>
      </c>
      <c r="BC11" s="232">
        <f t="shared" si="71"/>
        <v>5.6435891011587845E-3</v>
      </c>
      <c r="BD11" s="232">
        <f t="shared" si="72"/>
        <v>9.3787142857142847E-2</v>
      </c>
      <c r="BE11" s="229">
        <f t="shared" si="73"/>
        <v>9.5052903225806437E-2</v>
      </c>
      <c r="BF11" s="232">
        <f t="shared" si="74"/>
        <v>5.5370623238333852E-3</v>
      </c>
      <c r="BG11" s="232">
        <f t="shared" si="75"/>
        <v>0.1130492857142857</v>
      </c>
      <c r="BH11" s="229">
        <f t="shared" si="76"/>
        <v>0.11017483870967743</v>
      </c>
      <c r="BI11" s="232">
        <f t="shared" si="77"/>
        <v>6.4179517694957725E-3</v>
      </c>
      <c r="BJ11" s="232">
        <f t="shared" si="78"/>
        <v>0.10852857142857143</v>
      </c>
      <c r="BK11" s="229">
        <f t="shared" si="79"/>
        <v>0.11011774193548386</v>
      </c>
      <c r="BL11" s="232">
        <f t="shared" si="80"/>
        <v>6.4146257438145943E-3</v>
      </c>
      <c r="BM11" s="232">
        <f t="shared" si="81"/>
        <v>0.11323928571428572</v>
      </c>
      <c r="BN11" s="229">
        <f t="shared" si="82"/>
        <v>0.11208225806451612</v>
      </c>
      <c r="BO11" s="232">
        <f t="shared" si="83"/>
        <v>6.5290635765737548E-3</v>
      </c>
      <c r="BP11" s="232">
        <f t="shared" si="84"/>
        <v>8.7101666666666661E-2</v>
      </c>
      <c r="BQ11" s="229">
        <f t="shared" si="85"/>
        <v>9.0803225806451615E-2</v>
      </c>
      <c r="BR11" s="232">
        <f t="shared" si="86"/>
        <v>5.2895082994049488E-3</v>
      </c>
      <c r="BS11" s="232">
        <f t="shared" si="87"/>
        <v>8.3327619047619053E-2</v>
      </c>
      <c r="BT11" s="229">
        <f t="shared" si="88"/>
        <v>8.2489354838709686E-2</v>
      </c>
      <c r="BU11" s="232">
        <f t="shared" si="89"/>
        <v>4.8052051362355158E-3</v>
      </c>
      <c r="BV11" s="232">
        <f t="shared" si="90"/>
        <v>7.4552142857142858E-2</v>
      </c>
      <c r="BW11" s="229">
        <f t="shared" si="91"/>
        <v>7.5954516129032257E-2</v>
      </c>
      <c r="BX11" s="232">
        <f t="shared" si="92"/>
        <v>4.4245349201378018E-3</v>
      </c>
      <c r="BY11" s="232">
        <f t="shared" si="93"/>
        <v>9.0233333333333318E-2</v>
      </c>
      <c r="BZ11" s="229">
        <f t="shared" si="94"/>
        <v>8.7761290322580648E-2</v>
      </c>
      <c r="CA11" s="232">
        <f t="shared" si="95"/>
        <v>5.1123081741309114E-3</v>
      </c>
      <c r="CB11" s="232">
        <f t="shared" si="96"/>
        <v>0.11602880952380953</v>
      </c>
      <c r="CC11" s="229">
        <f t="shared" si="97"/>
        <v>0.11365806451612903</v>
      </c>
      <c r="CD11" s="232">
        <f t="shared" si="98"/>
        <v>6.6208581271531477E-3</v>
      </c>
      <c r="CE11" s="232">
        <f t="shared" si="99"/>
        <v>0.11033214285714286</v>
      </c>
      <c r="CG11" s="11" t="s">
        <v>11</v>
      </c>
      <c r="CH11" s="22">
        <v>6.9809999999999997E-2</v>
      </c>
      <c r="CI11" s="22">
        <v>4.095E-2</v>
      </c>
      <c r="CJ11" s="187">
        <v>3.9609999999999999E-2</v>
      </c>
      <c r="CK11" s="191">
        <f t="shared" si="102"/>
        <v>5.9639228611500714E-2</v>
      </c>
    </row>
    <row r="12" spans="1:91" x14ac:dyDescent="0.25">
      <c r="A12" s="165">
        <f t="shared" si="100"/>
        <v>6</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G12" s="11" t="s">
        <v>12</v>
      </c>
      <c r="CH12" s="22">
        <v>3.6040000000000003E-2</v>
      </c>
      <c r="CI12" s="22">
        <v>5.74E-2</v>
      </c>
      <c r="CJ12" s="187">
        <v>6.2899999999999998E-2</v>
      </c>
      <c r="CK12" s="191">
        <f t="shared" si="102"/>
        <v>6.3713955119214585E-2</v>
      </c>
    </row>
    <row r="13" spans="1:91" x14ac:dyDescent="0.25">
      <c r="A13" s="165">
        <f t="shared" si="100"/>
        <v>7</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G13" s="11" t="s">
        <v>13</v>
      </c>
      <c r="CH13" s="22">
        <v>6.7049999999999998E-2</v>
      </c>
      <c r="CI13" s="22">
        <v>9.2679999999999998E-2</v>
      </c>
      <c r="CJ13" s="187">
        <v>9.5590000000000008E-2</v>
      </c>
      <c r="CK13" s="191">
        <f t="shared" si="102"/>
        <v>4.4414193548387097E-2</v>
      </c>
    </row>
    <row r="14" spans="1:91" x14ac:dyDescent="0.25">
      <c r="A14" s="163">
        <f t="shared" si="100"/>
        <v>8</v>
      </c>
      <c r="B14" s="164">
        <f>+A14-16+31</f>
        <v>23</v>
      </c>
      <c r="C14" s="164">
        <f t="shared" ref="C14:D18" si="103">31-B14</f>
        <v>8</v>
      </c>
      <c r="D14" s="164">
        <f t="shared" si="103"/>
        <v>23</v>
      </c>
      <c r="E14" s="164">
        <f>31-C14-D14</f>
        <v>0</v>
      </c>
      <c r="F14" s="164">
        <f t="shared" ref="F14:F18" si="104">31-B14</f>
        <v>8</v>
      </c>
      <c r="G14" s="169">
        <f>31-E14</f>
        <v>31</v>
      </c>
      <c r="H14" s="169">
        <f>SUM(F14:G14)</f>
        <v>39</v>
      </c>
      <c r="I14" s="229">
        <f t="shared" ref="I14:I18" si="105">(+$C14*I$43+$D14*I$44+$E14*I$45)/$C$40</f>
        <v>9.2793225806451607E-2</v>
      </c>
      <c r="J14" s="232">
        <f>(F14+G14)/($F$38+$G$38)*I14</f>
        <v>5.0193284416804613E-3</v>
      </c>
      <c r="K14" s="232">
        <f t="shared" ref="K14:K18" si="106">+($F14*I$44+$G14*I$45)/($F14+$G14)</f>
        <v>7.8478461538461552E-2</v>
      </c>
      <c r="L14" s="229">
        <f t="shared" ref="L14:L18" si="107">(+$C14*L$43+$D14*L$44+$E14*L$45)/$C$40</f>
        <v>7.9845806451612905E-2</v>
      </c>
      <c r="M14" s="232">
        <f>($F14+$G14)/($F$38+$G$38)*L14</f>
        <v>4.3189825958570086E-3</v>
      </c>
      <c r="N14" s="232">
        <f t="shared" ref="N14:N18" si="108">+($F14*L$44+$G14*L$45)/($F14+$G14)</f>
        <v>5.911871794871796E-2</v>
      </c>
      <c r="O14" s="229">
        <f t="shared" ref="O14:O18" si="109">(+$C14*O$43+$D14*O$44+$E14*O$45)/$C$40</f>
        <v>6.0055161290322581E-2</v>
      </c>
      <c r="P14" s="232">
        <f>($F14+$G14)/($F$38+$G$38)*O14</f>
        <v>3.2484761308218869E-3</v>
      </c>
      <c r="Q14" s="232">
        <f t="shared" ref="Q14:Q18" si="110">+($F14*O$44+$G14*O$45)/($F14+$G14)</f>
        <v>6.6872564102564105E-2</v>
      </c>
      <c r="R14" s="229">
        <f t="shared" ref="R14:R18" si="111">(+$C14*R$43+$D14*R$44+$E14*R$45)/$C$40</f>
        <v>6.6114516129032255E-2</v>
      </c>
      <c r="S14" s="232">
        <f>($F14+$G14)/($F$38+$G$38)*R14</f>
        <v>3.5762359625967515E-3</v>
      </c>
      <c r="T14" s="232">
        <f t="shared" ref="T14:T18" si="112">+($F14*R$44+$G14*R$45)/($F14+$G14)</f>
        <v>4.2967179487179492E-2</v>
      </c>
      <c r="U14" s="229">
        <f t="shared" ref="U14:U18" si="113">(+$C14*U$43+$D14*U$44+$E14*U$45)/$C$40</f>
        <v>4.4754838709677419E-2</v>
      </c>
      <c r="V14" s="232">
        <f>($F14+$G14)/($F$38+$G$38)*U14</f>
        <v>2.4208581271531475E-3</v>
      </c>
      <c r="W14" s="232">
        <f t="shared" ref="W14:W18" si="114">+($F14*U$44+$G14*U$45)/($F14+$G14)</f>
        <v>6.0688974358974357E-2</v>
      </c>
      <c r="X14" s="229">
        <f t="shared" ref="X14:X18" si="115">(+$C14*X$43+$D14*X$44+$E14*X$45)/$C$40</f>
        <v>5.9047419354838711E-2</v>
      </c>
      <c r="Y14" s="232">
        <f>($F14+$G14)/($F$38+$G$38)*X14</f>
        <v>3.1939658180842019E-3</v>
      </c>
      <c r="Z14" s="232">
        <f t="shared" ref="Z14:Z18" si="116">+($F14*X$44+$G14*X$45)/($F14+$G14)</f>
        <v>8.8598974358974347E-2</v>
      </c>
      <c r="AA14" s="229">
        <f t="shared" ref="AA14:AA18" si="117">(+$C14*AA$43+$D14*AA$44+$E14*AA$45)/$C$40</f>
        <v>8.7163870967741933E-2</v>
      </c>
      <c r="AB14" s="232">
        <f>($F14+$G14)/($F$38+$G$38)*AA14</f>
        <v>4.7148279719028225E-3</v>
      </c>
      <c r="AC14" s="232">
        <f t="shared" ref="AC14:AC18" si="118">+($F14*AA$44+$G14*AA$45)/($F14+$G14)</f>
        <v>9.266564102564101E-2</v>
      </c>
      <c r="AD14" s="229">
        <f t="shared" ref="AD14:AD18" si="119">(+$C14*AD$43+$D14*AD$44+$E14*AD$45)/$C$40</f>
        <v>9.2765161290322584E-2</v>
      </c>
      <c r="AE14" s="232">
        <f>($F14+$G14)/($F$38+$G$38)*AD14</f>
        <v>5.0178103887969219E-3</v>
      </c>
      <c r="AF14" s="232">
        <f t="shared" ref="AF14:AF18" si="120">+($F14*AD$44+$G14*AD$45)/($F14+$G14)</f>
        <v>8.95774358974359E-2</v>
      </c>
      <c r="AG14" s="229">
        <f t="shared" ref="AG14:AG18" si="121">(+$C14*AG$43+$D14*AG$44+$E14*AG$45)/$C$40</f>
        <v>8.9757419354838691E-2</v>
      </c>
      <c r="AH14" s="232">
        <f>($F14+$G14)/($F$38+$G$38)*AG14</f>
        <v>4.85511699700237E-3</v>
      </c>
      <c r="AI14" s="232">
        <f t="shared" ref="AI14:AI18" si="122">+($F14*AG$44+$G14*AG$45)/($F14+$G14)</f>
        <v>8.8220256410256423E-2</v>
      </c>
      <c r="AJ14" s="229">
        <f t="shared" ref="AJ14:AJ18" si="123">(+$C14*AJ$43+$D14*AJ$44+$E14*AJ$45)/$C$40</f>
        <v>8.8264193548387104E-2</v>
      </c>
      <c r="AK14" s="232">
        <f>($F14+$G14)/($F$38+$G$38)*AJ14</f>
        <v>4.7743461142678179E-3</v>
      </c>
      <c r="AL14" s="232">
        <f t="shared" ref="AL14:AL18" si="124">+($F14*AJ$44+$G14*AJ$45)/($F14+$G14)</f>
        <v>8.3797435897435907E-2</v>
      </c>
      <c r="AM14" s="229">
        <f t="shared" ref="AM14:AM18" si="125">(+$C14*AM$43+$D14*AM$44+$E14*AM$45)/$C$40</f>
        <v>8.4080645161290324E-2</v>
      </c>
      <c r="AN14" s="232">
        <f>($F14+$G14)/($F$38+$G$38)*AM14</f>
        <v>4.5480515413180616E-3</v>
      </c>
      <c r="AO14" s="232">
        <f t="shared" ref="AO14:AO18" si="126">+($F14*AM$44+$G14*AM$45)/($F14+$G14)</f>
        <v>6.7605384615384623E-2</v>
      </c>
      <c r="AP14" s="229">
        <f t="shared" ref="AP14:AP18" si="127">(+$C14*AP$43+$D14*AP$44+$E14*AP$45)/$C$40</f>
        <v>6.8610645161290326E-2</v>
      </c>
      <c r="AQ14" s="232">
        <f>($F14+$G14)/($F$38+$G$38)*AP14</f>
        <v>3.7112554248132073E-3</v>
      </c>
      <c r="AR14" s="232">
        <f t="shared" ref="AR14:AR18" si="128">+($F14*AP$44+$G14*AP$45)/($F14+$G14)</f>
        <v>7.3661794871794875E-2</v>
      </c>
      <c r="AS14" s="229">
        <f t="shared" ref="AS14:AS18" si="129">(+$C14*AS$43+$D14*AS$44+$E14*AS$45)/$C$40</f>
        <v>7.299903225806452E-2</v>
      </c>
      <c r="AT14" s="232">
        <f>($F14+$G14)/($F$38+$G$38)*AS14</f>
        <v>3.948630038924433E-3</v>
      </c>
      <c r="AU14" s="232">
        <f t="shared" ref="AU14:AU18" si="130">+($F14*AS$44+$G14*AS$45)/($F14+$G14)</f>
        <v>0.1067451282051282</v>
      </c>
      <c r="AV14" s="229">
        <f t="shared" ref="AV14:AV18" si="131">(+$C14*AV$43+$D14*AV$44+$E14*AV$45)/$C$40</f>
        <v>0.10471290322580645</v>
      </c>
      <c r="AW14" s="232">
        <f>($F14+$G14)/($F$38+$G$38)*AV14</f>
        <v>5.6640821439756604E-3</v>
      </c>
      <c r="AX14" s="232">
        <f t="shared" ref="AX14:AX18" si="132">+($F14*AV$44+$G14*AV$45)/($F14+$G14)</f>
        <v>9.0463846153846159E-2</v>
      </c>
      <c r="AY14" s="229">
        <f t="shared" ref="AY14:AY18" si="133">(+$C14*AY$43+$D14*AY$44+$E14*AY$45)/$C$40</f>
        <v>9.2072580645161287E-2</v>
      </c>
      <c r="AZ14" s="232">
        <f>($F14+$G14)/($F$38+$G$38)*AY14</f>
        <v>4.9803476354525521E-3</v>
      </c>
      <c r="BA14" s="232">
        <f t="shared" ref="BA14:BA18" si="134">+($F14*AY$44+$G14*AY$45)/($F14+$G14)</f>
        <v>9.9817435897435899E-2</v>
      </c>
      <c r="BB14" s="229">
        <f t="shared" ref="BB14:BB18" si="135">(+$C14*BB$43+$D14*BB$44+$E14*BB$45)/$C$40</f>
        <v>9.8779354838709685E-2</v>
      </c>
      <c r="BC14" s="232">
        <f>($F14+$G14)/($F$38+$G$38)*BB14</f>
        <v>5.343127376851148E-3</v>
      </c>
      <c r="BD14" s="232">
        <f t="shared" ref="BD14:BD18" si="136">+($F14*BB$44+$G14*BB$45)/($F14+$G14)</f>
        <v>9.3013846153846141E-2</v>
      </c>
      <c r="BE14" s="229">
        <f t="shared" ref="BE14:BE18" si="137">(+$C14*BE$43+$D14*BE$44+$E14*BE$45)/$C$40</f>
        <v>9.3734838709677401E-2</v>
      </c>
      <c r="BF14" s="232">
        <f>($F14+$G14)/($F$38+$G$38)*BE14</f>
        <v>5.0702617332557811E-3</v>
      </c>
      <c r="BG14" s="232">
        <f t="shared" ref="BG14:BG18" si="138">+($F14*BE$44+$G14*BE$45)/($F14+$G14)</f>
        <v>0.11480538461538461</v>
      </c>
      <c r="BH14" s="229">
        <f t="shared" ref="BH14:BH18" si="139">(+$C14*BH$43+$D14*BH$44+$E14*BH$45)/$C$40</f>
        <v>0.11316806451612903</v>
      </c>
      <c r="BI14" s="232">
        <f>($F14+$G14)/($F$38+$G$38)*BH14</f>
        <v>6.1214348351304182E-3</v>
      </c>
      <c r="BJ14" s="232">
        <f t="shared" ref="BJ14:BJ18" si="140">+($F14*BH$44+$G14*BH$45)/($F14+$G14)</f>
        <v>0.10755769230769231</v>
      </c>
      <c r="BK14" s="229">
        <f t="shared" ref="BK14:BK18" si="141">(+$C14*BK$43+$D14*BK$44+$E14*BK$45)/$C$40</f>
        <v>0.10846290322580644</v>
      </c>
      <c r="BL14" s="232">
        <f>($F14+$G14)/($F$38+$G$38)*BK14</f>
        <v>5.8669254172072829E-3</v>
      </c>
      <c r="BM14" s="232">
        <f t="shared" ref="BM14:BM18" si="142">+($F14*BK$44+$G14*BK$45)/($F14+$G14)</f>
        <v>0.11394615384615385</v>
      </c>
      <c r="BN14" s="229">
        <f t="shared" ref="BN14:BN18" si="143">(+$C14*BN$43+$D14*BN$44+$E14*BN$45)/$C$40</f>
        <v>0.11328709677419355</v>
      </c>
      <c r="BO14" s="232">
        <f>($F14+$G14)/($F$38+$G$38)*BN14</f>
        <v>6.1278734732226744E-3</v>
      </c>
      <c r="BP14" s="232">
        <f t="shared" ref="BP14:BP18" si="144">+($F14*BN$44+$G14*BN$45)/($F14+$G14)</f>
        <v>8.4840256410256415E-2</v>
      </c>
      <c r="BQ14" s="229">
        <f t="shared" ref="BQ14:BQ18" si="145">(+$C14*BQ$43+$D14*BQ$44+$E14*BQ$45)/$C$40</f>
        <v>8.694870967741937E-2</v>
      </c>
      <c r="BR14" s="232">
        <f>($F14+$G14)/($F$38+$G$38)*BQ14</f>
        <v>4.703189566462351E-3</v>
      </c>
      <c r="BS14" s="232">
        <f t="shared" ref="BS14:BS18" si="146">+($F14*BQ$44+$G14*BQ$45)/($F14+$G14)</f>
        <v>8.3839743589743596E-2</v>
      </c>
      <c r="BT14" s="229">
        <f t="shared" ref="BT14:BT18" si="147">(+$C14*BT$43+$D14*BT$44+$E14*BT$45)/$C$40</f>
        <v>8.3362258064516137E-2</v>
      </c>
      <c r="BU14" s="232">
        <f>($F14+$G14)/($F$38+$G$38)*BT14</f>
        <v>4.5091928772761844E-3</v>
      </c>
      <c r="BV14" s="232">
        <f t="shared" ref="BV14:BV18" si="148">+($F14*BT$44+$G14*BT$45)/($F14+$G14)</f>
        <v>7.3695384615384621E-2</v>
      </c>
      <c r="BW14" s="229">
        <f t="shared" ref="BW14:BW18" si="149">(+$C14*BW$43+$D14*BW$44+$E14*BW$45)/$C$40</f>
        <v>7.44941935483871E-2</v>
      </c>
      <c r="BX14" s="232">
        <f>($F14+$G14)/($F$38+$G$38)*BW14</f>
        <v>4.029505614961299E-3</v>
      </c>
      <c r="BY14" s="232">
        <f t="shared" ref="BY14:BY18" si="150">+($F14*BW$44+$G14*BW$45)/($F14+$G14)</f>
        <v>9.1743589743589746E-2</v>
      </c>
      <c r="BZ14" s="229">
        <f t="shared" ref="BZ14:BZ18" si="151">(+$C14*BZ$43+$D14*BZ$44+$E14*BZ$45)/$C$40</f>
        <v>9.0335483870967737E-2</v>
      </c>
      <c r="CA14" s="232">
        <f>($F14+$G14)/($F$38+$G$38)*BZ14</f>
        <v>4.8863853966265485E-3</v>
      </c>
      <c r="CB14" s="232">
        <f t="shared" ref="CB14:CB18" si="152">+($F14*BZ$44+$G14*BZ$45)/($F14+$G14)</f>
        <v>0.11747717948717948</v>
      </c>
      <c r="CC14" s="229">
        <f t="shared" ref="CC14:CC18" si="153">(+$C14*CC$43+$D14*CC$44+$E14*CC$45)/$C$40</f>
        <v>0.11612677419354839</v>
      </c>
      <c r="CD14" s="232">
        <f>($F14+$G14)/($F$38+$G$38)*CC14</f>
        <v>6.2814759965997046E-3</v>
      </c>
      <c r="CE14" s="232">
        <f t="shared" ref="CE14:CE18" si="154">+($F14*CC$44+$G14*CC$45)/($F14+$G14)</f>
        <v>0.10938000000000002</v>
      </c>
      <c r="CG14" s="11" t="s">
        <v>14</v>
      </c>
      <c r="CH14" s="22">
        <v>9.4159999999999994E-2</v>
      </c>
      <c r="CI14" s="22">
        <v>9.7299999999999998E-2</v>
      </c>
      <c r="CJ14" s="187">
        <v>9.6680000000000002E-2</v>
      </c>
      <c r="CK14" s="191">
        <f t="shared" si="102"/>
        <v>6.6220715287517523E-2</v>
      </c>
    </row>
    <row r="15" spans="1:91" x14ac:dyDescent="0.25">
      <c r="A15" s="163">
        <f t="shared" si="100"/>
        <v>9</v>
      </c>
      <c r="B15" s="164">
        <f>+A15-16+31</f>
        <v>24</v>
      </c>
      <c r="C15" s="164">
        <f t="shared" si="103"/>
        <v>7</v>
      </c>
      <c r="D15" s="164">
        <f t="shared" si="103"/>
        <v>24</v>
      </c>
      <c r="E15" s="164">
        <f t="shared" ref="E15:E18" si="155">31-C15-D15</f>
        <v>0</v>
      </c>
      <c r="F15" s="164">
        <f t="shared" si="104"/>
        <v>7</v>
      </c>
      <c r="G15" s="169">
        <f t="shared" ref="G15:G37" si="156">31-E15</f>
        <v>31</v>
      </c>
      <c r="H15" s="169">
        <f t="shared" ref="H15:H18" si="157">SUM(F15:G15)</f>
        <v>38</v>
      </c>
      <c r="I15" s="229">
        <f t="shared" si="105"/>
        <v>9.3570322580645168E-2</v>
      </c>
      <c r="J15" s="232">
        <f t="shared" ref="J15:J18" si="158">(F15+G15)/($F$38+$G$38)*I15</f>
        <v>4.9315842691602168E-3</v>
      </c>
      <c r="K15" s="232">
        <f t="shared" si="106"/>
        <v>7.7938157894736862E-2</v>
      </c>
      <c r="L15" s="229">
        <f t="shared" si="107"/>
        <v>7.9012580645161298E-2</v>
      </c>
      <c r="M15" s="232">
        <f t="shared" ref="M15:M18" si="159">($F15+$G15)/($F$38+$G$38)*L15</f>
        <v>4.1643246387186254E-3</v>
      </c>
      <c r="N15" s="232">
        <f t="shared" si="108"/>
        <v>5.8748684210526314E-2</v>
      </c>
      <c r="O15" s="229">
        <f t="shared" si="109"/>
        <v>5.9484516129032258E-2</v>
      </c>
      <c r="P15" s="232">
        <f t="shared" ref="P15:P18" si="160">($F15+$G15)/($F$38+$G$38)*O15</f>
        <v>3.135106259227775E-3</v>
      </c>
      <c r="Q15" s="232">
        <f t="shared" si="110"/>
        <v>6.7172105263157894E-2</v>
      </c>
      <c r="R15" s="229">
        <f t="shared" si="111"/>
        <v>6.6576451612903223E-2</v>
      </c>
      <c r="S15" s="232">
        <f t="shared" ref="S15:S18" si="161">($F15+$G15)/($F$38+$G$38)*R15</f>
        <v>3.5088837188492683E-3</v>
      </c>
      <c r="T15" s="232">
        <f t="shared" si="112"/>
        <v>4.226078947368421E-2</v>
      </c>
      <c r="U15" s="229">
        <f t="shared" si="113"/>
        <v>4.3665483870967747E-2</v>
      </c>
      <c r="V15" s="232">
        <f t="shared" ref="V15:V18" si="162">($F15+$G15)/($F$38+$G$38)*U15</f>
        <v>2.3013708558901171E-3</v>
      </c>
      <c r="W15" s="232">
        <f t="shared" si="114"/>
        <v>6.1337631578947359E-2</v>
      </c>
      <c r="X15" s="229">
        <f t="shared" si="115"/>
        <v>6.0047741935483873E-2</v>
      </c>
      <c r="Y15" s="232">
        <f t="shared" ref="Y15:Y18" si="163">($F15+$G15)/($F$38+$G$38)*X15</f>
        <v>3.164790837099011E-3</v>
      </c>
      <c r="Z15" s="232">
        <f t="shared" si="116"/>
        <v>8.9166052631578938E-2</v>
      </c>
      <c r="AA15" s="229">
        <f t="shared" si="117"/>
        <v>8.8038387096774182E-2</v>
      </c>
      <c r="AB15" s="232">
        <f t="shared" ref="AB15:AB18" si="164">($F15+$G15)/($F$38+$G$38)*AA15</f>
        <v>4.64002594962194E-3</v>
      </c>
      <c r="AC15" s="232">
        <f t="shared" si="118"/>
        <v>9.2626315789473682E-2</v>
      </c>
      <c r="AD15" s="229">
        <f t="shared" si="119"/>
        <v>9.2704516129032244E-2</v>
      </c>
      <c r="AE15" s="232">
        <f t="shared" ref="AE15:AE18" si="165">($F15+$G15)/($F$38+$G$38)*AD15</f>
        <v>4.8859523063845009E-3</v>
      </c>
      <c r="AF15" s="232">
        <f t="shared" si="120"/>
        <v>8.9506315789473684E-2</v>
      </c>
      <c r="AG15" s="229">
        <f t="shared" si="121"/>
        <v>8.9647741935483874E-2</v>
      </c>
      <c r="AH15" s="232">
        <f t="shared" ref="AH15:AH18" si="166">($F15+$G15)/($F$38+$G$38)*AG15</f>
        <v>4.7248463156010917E-3</v>
      </c>
      <c r="AI15" s="232">
        <f t="shared" si="122"/>
        <v>8.8202894736842105E-2</v>
      </c>
      <c r="AJ15" s="229">
        <f t="shared" si="123"/>
        <v>8.8237419354838711E-2</v>
      </c>
      <c r="AK15" s="232">
        <f t="shared" ref="AK15:AK18" si="167">($F15+$G15)/($F$38+$G$38)*AJ15</f>
        <v>4.6505158605878926E-3</v>
      </c>
      <c r="AL15" s="232">
        <f t="shared" si="124"/>
        <v>8.3685526315789488E-2</v>
      </c>
      <c r="AM15" s="229">
        <f t="shared" si="125"/>
        <v>8.3908064516129047E-2</v>
      </c>
      <c r="AN15" s="232">
        <f t="shared" ref="AN15:AN18" si="168">($F15+$G15)/($F$38+$G$38)*AM15</f>
        <v>4.4223390452328764E-3</v>
      </c>
      <c r="AO15" s="232">
        <f t="shared" si="126"/>
        <v>6.7208157894736845E-2</v>
      </c>
      <c r="AP15" s="229">
        <f t="shared" si="127"/>
        <v>6.7998064516129039E-2</v>
      </c>
      <c r="AQ15" s="232">
        <f t="shared" ref="AQ15:AQ18" si="169">($F15+$G15)/($F$38+$G$38)*AP15</f>
        <v>3.5838092255380074E-3</v>
      </c>
      <c r="AR15" s="232">
        <f t="shared" si="128"/>
        <v>7.3923684210526322E-2</v>
      </c>
      <c r="AS15" s="229">
        <f t="shared" si="129"/>
        <v>7.3402903225806448E-2</v>
      </c>
      <c r="AT15" s="232">
        <f t="shared" ref="AT15:AT18" si="170">($F15+$G15)/($F$38+$G$38)*AS15</f>
        <v>3.868668963357344E-3</v>
      </c>
      <c r="AU15" s="232">
        <f t="shared" si="130"/>
        <v>0.10754815789473685</v>
      </c>
      <c r="AV15" s="229">
        <f t="shared" si="131"/>
        <v>0.10595129032258065</v>
      </c>
      <c r="AW15" s="232">
        <f t="shared" ref="AW15:AW18" si="171">($F15+$G15)/($F$38+$G$38)*AV15</f>
        <v>5.5841179365576478E-3</v>
      </c>
      <c r="AX15" s="232">
        <f t="shared" si="132"/>
        <v>8.9828157894736846E-2</v>
      </c>
      <c r="AY15" s="229">
        <f t="shared" si="133"/>
        <v>9.1092258064516124E-2</v>
      </c>
      <c r="AZ15" s="232">
        <f t="shared" ref="AZ15:AZ18" si="172">($F15+$G15)/($F$38+$G$38)*AY15</f>
        <v>4.8009789271173543E-3</v>
      </c>
      <c r="BA15" s="232">
        <f t="shared" si="134"/>
        <v>0.10022763157894737</v>
      </c>
      <c r="BB15" s="229">
        <f t="shared" si="135"/>
        <v>9.9411935483870978E-2</v>
      </c>
      <c r="BC15" s="232">
        <f t="shared" ref="BC15:BC18" si="173">($F15+$G15)/($F$38+$G$38)*BB15</f>
        <v>5.2394640060847396E-3</v>
      </c>
      <c r="BD15" s="232">
        <f t="shared" si="136"/>
        <v>9.272894736842105E-2</v>
      </c>
      <c r="BE15" s="229">
        <f t="shared" si="137"/>
        <v>9.3295483870967741E-2</v>
      </c>
      <c r="BF15" s="232">
        <f t="shared" ref="BF15:BF18" si="174">($F15+$G15)/($F$38+$G$38)*BE15</f>
        <v>4.9170990112299227E-3</v>
      </c>
      <c r="BG15" s="232">
        <f t="shared" si="138"/>
        <v>0.11545236842105262</v>
      </c>
      <c r="BH15" s="229">
        <f t="shared" si="139"/>
        <v>0.11416580645161289</v>
      </c>
      <c r="BI15" s="232">
        <f t="shared" ref="BI15:BI18" si="175">($F15+$G15)/($F$38+$G$38)*BH15</f>
        <v>6.0170605342042853E-3</v>
      </c>
      <c r="BJ15" s="232">
        <f t="shared" si="140"/>
        <v>0.1072</v>
      </c>
      <c r="BK15" s="229">
        <f t="shared" si="141"/>
        <v>0.10791129032258065</v>
      </c>
      <c r="BL15" s="232">
        <f t="shared" ref="BL15:BL18" si="176">($F15+$G15)/($F$38+$G$38)*BK15</f>
        <v>5.6874189074314352E-3</v>
      </c>
      <c r="BM15" s="232">
        <f t="shared" si="142"/>
        <v>0.11420657894736842</v>
      </c>
      <c r="BN15" s="229">
        <f t="shared" si="143"/>
        <v>0.11368870967741936</v>
      </c>
      <c r="BO15" s="232">
        <f t="shared" ref="BO15:BO18" si="177">($F15+$G15)/($F$38+$G$38)*BN15</f>
        <v>5.9919153505435998E-3</v>
      </c>
      <c r="BP15" s="232">
        <f t="shared" si="144"/>
        <v>8.4007105263157897E-2</v>
      </c>
      <c r="BQ15" s="229">
        <f t="shared" si="145"/>
        <v>8.5663870967741931E-2</v>
      </c>
      <c r="BR15" s="232">
        <f t="shared" ref="BR15:BR18" si="178">($F15+$G15)/($F$38+$G$38)*BQ15</f>
        <v>4.5148780815176051E-3</v>
      </c>
      <c r="BS15" s="232">
        <f t="shared" si="146"/>
        <v>8.4028421052631586E-2</v>
      </c>
      <c r="BT15" s="229">
        <f t="shared" si="147"/>
        <v>8.3653225806451625E-2</v>
      </c>
      <c r="BU15" s="232">
        <f t="shared" ref="BU15:BU18" si="179">($F15+$G15)/($F$38+$G$38)*BT15</f>
        <v>4.4089078788421103E-3</v>
      </c>
      <c r="BV15" s="232">
        <f t="shared" si="148"/>
        <v>7.3379736842105261E-2</v>
      </c>
      <c r="BW15" s="229">
        <f t="shared" si="149"/>
        <v>7.4007419354838705E-2</v>
      </c>
      <c r="BX15" s="232">
        <f t="shared" ref="BX15:BX18" si="180">($F15+$G15)/($F$38+$G$38)*BW15</f>
        <v>3.900529730213413E-3</v>
      </c>
      <c r="BY15" s="232">
        <f t="shared" si="150"/>
        <v>9.2299999999999993E-2</v>
      </c>
      <c r="BZ15" s="229">
        <f t="shared" si="151"/>
        <v>9.1193548387096771E-2</v>
      </c>
      <c r="CA15" s="232">
        <f t="shared" ref="CA15:CA18" si="181">($F15+$G15)/($F$38+$G$38)*BZ15</f>
        <v>4.8063173907207726E-3</v>
      </c>
      <c r="CB15" s="232">
        <f t="shared" si="152"/>
        <v>0.11801078947368419</v>
      </c>
      <c r="CC15" s="229">
        <f t="shared" si="153"/>
        <v>0.11694967741935484</v>
      </c>
      <c r="CD15" s="232">
        <f t="shared" ref="CD15:CD18" si="182">($F15+$G15)/($F$38+$G$38)*CC15</f>
        <v>6.163783275916066E-3</v>
      </c>
      <c r="CE15" s="232">
        <f t="shared" si="154"/>
        <v>0.1090292105263158</v>
      </c>
      <c r="CG15" s="11" t="s">
        <v>15</v>
      </c>
      <c r="CH15" s="22">
        <v>9.2280000000000001E-2</v>
      </c>
      <c r="CI15" s="22">
        <v>9.7680000000000003E-2</v>
      </c>
      <c r="CJ15" s="187">
        <v>9.5400000000000013E-2</v>
      </c>
      <c r="CK15" s="191">
        <f t="shared" si="102"/>
        <v>9.0277812061711066E-2</v>
      </c>
    </row>
    <row r="16" spans="1:91" x14ac:dyDescent="0.25">
      <c r="A16" s="163">
        <f t="shared" si="100"/>
        <v>10</v>
      </c>
      <c r="B16" s="164">
        <f t="shared" ref="B16:B18" si="183">+A16-16+31</f>
        <v>25</v>
      </c>
      <c r="C16" s="164">
        <f t="shared" si="103"/>
        <v>6</v>
      </c>
      <c r="D16" s="164">
        <f t="shared" si="103"/>
        <v>25</v>
      </c>
      <c r="E16" s="164">
        <f t="shared" si="155"/>
        <v>0</v>
      </c>
      <c r="F16" s="164">
        <f t="shared" si="104"/>
        <v>6</v>
      </c>
      <c r="G16" s="169">
        <f t="shared" si="156"/>
        <v>31</v>
      </c>
      <c r="H16" s="169">
        <f t="shared" si="157"/>
        <v>37</v>
      </c>
      <c r="I16" s="229">
        <f t="shared" si="105"/>
        <v>9.4347419354838716E-2</v>
      </c>
      <c r="J16" s="232">
        <f t="shared" si="158"/>
        <v>4.8416844883897815E-3</v>
      </c>
      <c r="K16" s="232">
        <f t="shared" si="106"/>
        <v>7.7368648648648675E-2</v>
      </c>
      <c r="L16" s="229">
        <f t="shared" si="107"/>
        <v>7.8179354838709678E-2</v>
      </c>
      <c r="M16" s="232">
        <f t="shared" si="159"/>
        <v>4.011977987562078E-3</v>
      </c>
      <c r="N16" s="232">
        <f t="shared" si="108"/>
        <v>5.8358648648648655E-2</v>
      </c>
      <c r="O16" s="229">
        <f t="shared" si="109"/>
        <v>5.8913870967741935E-2</v>
      </c>
      <c r="P16" s="232">
        <f t="shared" si="160"/>
        <v>3.0233193145720546E-3</v>
      </c>
      <c r="Q16" s="232">
        <f t="shared" si="110"/>
        <v>6.7487837837837836E-2</v>
      </c>
      <c r="R16" s="229">
        <f t="shared" si="111"/>
        <v>6.7038387096774205E-2</v>
      </c>
      <c r="S16" s="232">
        <f t="shared" si="161"/>
        <v>3.4402501006666371E-3</v>
      </c>
      <c r="T16" s="232">
        <f t="shared" si="112"/>
        <v>4.151621621621622E-2</v>
      </c>
      <c r="U16" s="229">
        <f t="shared" si="113"/>
        <v>4.2576129032258068E-2</v>
      </c>
      <c r="V16" s="232">
        <f t="shared" si="162"/>
        <v>2.1849053733613709E-3</v>
      </c>
      <c r="W16" s="232">
        <f t="shared" si="114"/>
        <v>6.2021351351351346E-2</v>
      </c>
      <c r="X16" s="229">
        <f t="shared" si="115"/>
        <v>6.1048064516129034E-2</v>
      </c>
      <c r="Y16" s="232">
        <f t="shared" si="163"/>
        <v>3.1328410361952485E-3</v>
      </c>
      <c r="Z16" s="232">
        <f t="shared" si="116"/>
        <v>8.9763783783783774E-2</v>
      </c>
      <c r="AA16" s="229">
        <f t="shared" si="117"/>
        <v>8.8912903225806431E-2</v>
      </c>
      <c r="AB16" s="232">
        <f t="shared" si="164"/>
        <v>4.5627980850968626E-3</v>
      </c>
      <c r="AC16" s="232">
        <f t="shared" si="118"/>
        <v>9.2584864864864849E-2</v>
      </c>
      <c r="AD16" s="229">
        <f t="shared" si="119"/>
        <v>9.2643870967741918E-2</v>
      </c>
      <c r="AE16" s="232">
        <f t="shared" si="165"/>
        <v>4.7542624491074218E-3</v>
      </c>
      <c r="AF16" s="232">
        <f t="shared" si="120"/>
        <v>8.9431351351351343E-2</v>
      </c>
      <c r="AG16" s="229">
        <f t="shared" si="121"/>
        <v>8.9538064516129029E-2</v>
      </c>
      <c r="AH16" s="232">
        <f t="shared" si="166"/>
        <v>4.5948798711467048E-3</v>
      </c>
      <c r="AI16" s="232">
        <f t="shared" si="122"/>
        <v>8.8184594594594601E-2</v>
      </c>
      <c r="AJ16" s="229">
        <f t="shared" si="123"/>
        <v>8.8210645161290319E-2</v>
      </c>
      <c r="AK16" s="232">
        <f t="shared" si="167"/>
        <v>4.5267598765155919E-3</v>
      </c>
      <c r="AL16" s="232">
        <f t="shared" si="124"/>
        <v>8.3567567567567586E-2</v>
      </c>
      <c r="AM16" s="229">
        <f t="shared" si="125"/>
        <v>8.3735483870967756E-2</v>
      </c>
      <c r="AN16" s="232">
        <f t="shared" si="168"/>
        <v>4.2971052749317708E-3</v>
      </c>
      <c r="AO16" s="232">
        <f t="shared" si="126"/>
        <v>6.6789459459459466E-2</v>
      </c>
      <c r="AP16" s="229">
        <f t="shared" si="127"/>
        <v>6.7385483870967738E-2</v>
      </c>
      <c r="AQ16" s="232">
        <f t="shared" si="169"/>
        <v>3.4580622790926579E-3</v>
      </c>
      <c r="AR16" s="232">
        <f t="shared" si="128"/>
        <v>7.4199729729729741E-2</v>
      </c>
      <c r="AS16" s="229">
        <f t="shared" si="129"/>
        <v>7.3806774193548377E-2</v>
      </c>
      <c r="AT16" s="232">
        <f t="shared" si="170"/>
        <v>3.7875875799740499E-3</v>
      </c>
      <c r="AU16" s="232">
        <f t="shared" si="130"/>
        <v>0.10839459459459459</v>
      </c>
      <c r="AV16" s="229">
        <f t="shared" si="131"/>
        <v>0.10718967741935484</v>
      </c>
      <c r="AW16" s="232">
        <f t="shared" si="171"/>
        <v>5.5007185360833964E-3</v>
      </c>
      <c r="AX16" s="232">
        <f t="shared" si="132"/>
        <v>8.9158108108108119E-2</v>
      </c>
      <c r="AY16" s="229">
        <f t="shared" si="133"/>
        <v>9.0111935483870975E-2</v>
      </c>
      <c r="AZ16" s="232">
        <f t="shared" si="172"/>
        <v>4.6243295601986487E-3</v>
      </c>
      <c r="BA16" s="232">
        <f t="shared" si="134"/>
        <v>0.10066000000000001</v>
      </c>
      <c r="BB16" s="229">
        <f t="shared" si="135"/>
        <v>0.10004451612903226</v>
      </c>
      <c r="BC16" s="232">
        <f t="shared" si="173"/>
        <v>5.1340459039863982E-3</v>
      </c>
      <c r="BD16" s="232">
        <f t="shared" si="136"/>
        <v>9.2428648648648651E-2</v>
      </c>
      <c r="BE16" s="229">
        <f t="shared" si="137"/>
        <v>9.2856129032258067E-2</v>
      </c>
      <c r="BF16" s="232">
        <f t="shared" si="174"/>
        <v>4.7651550266207326E-3</v>
      </c>
      <c r="BG16" s="232">
        <f t="shared" si="138"/>
        <v>0.11613432432432433</v>
      </c>
      <c r="BH16" s="229">
        <f t="shared" si="139"/>
        <v>0.11516354838709679</v>
      </c>
      <c r="BI16" s="232">
        <f t="shared" si="175"/>
        <v>5.909918571875979E-3</v>
      </c>
      <c r="BJ16" s="232">
        <f t="shared" si="140"/>
        <v>0.10682297297297298</v>
      </c>
      <c r="BK16" s="229">
        <f t="shared" si="141"/>
        <v>0.10735967741935486</v>
      </c>
      <c r="BL16" s="232">
        <f t="shared" si="176"/>
        <v>5.5094425305355476E-3</v>
      </c>
      <c r="BM16" s="232">
        <f t="shared" si="142"/>
        <v>0.11448108108108108</v>
      </c>
      <c r="BN16" s="229">
        <f t="shared" si="143"/>
        <v>0.11409032258064518</v>
      </c>
      <c r="BO16" s="232">
        <f t="shared" si="177"/>
        <v>5.8548431837501681E-3</v>
      </c>
      <c r="BP16" s="232">
        <f t="shared" si="144"/>
        <v>8.3128918918918923E-2</v>
      </c>
      <c r="BQ16" s="229">
        <f t="shared" si="145"/>
        <v>8.4379032258064521E-2</v>
      </c>
      <c r="BR16" s="232">
        <f t="shared" si="178"/>
        <v>4.3301306429242544E-3</v>
      </c>
      <c r="BS16" s="232">
        <f t="shared" si="146"/>
        <v>8.4227297297297304E-2</v>
      </c>
      <c r="BT16" s="229">
        <f t="shared" si="147"/>
        <v>8.39441935483871E-2</v>
      </c>
      <c r="BU16" s="232">
        <f t="shared" si="179"/>
        <v>4.3078157576842196E-3</v>
      </c>
      <c r="BV16" s="232">
        <f t="shared" si="148"/>
        <v>7.3047027027027034E-2</v>
      </c>
      <c r="BW16" s="229">
        <f t="shared" si="149"/>
        <v>7.3520645161290324E-2</v>
      </c>
      <c r="BX16" s="232">
        <f t="shared" si="180"/>
        <v>3.7729041206210011E-3</v>
      </c>
      <c r="BY16" s="232">
        <f t="shared" si="150"/>
        <v>9.288648648648648E-2</v>
      </c>
      <c r="BZ16" s="229">
        <f t="shared" si="151"/>
        <v>9.2051612903225791E-2</v>
      </c>
      <c r="CA16" s="232">
        <f t="shared" si="181"/>
        <v>4.7238691781128347E-3</v>
      </c>
      <c r="CB16" s="232">
        <f t="shared" si="152"/>
        <v>0.11857324324324323</v>
      </c>
      <c r="CC16" s="229">
        <f t="shared" si="153"/>
        <v>0.11777258064516129</v>
      </c>
      <c r="CD16" s="232">
        <f t="shared" si="182"/>
        <v>6.0438078833161823E-3</v>
      </c>
      <c r="CE16" s="232">
        <f t="shared" si="154"/>
        <v>0.10865945945945947</v>
      </c>
      <c r="CG16" s="11" t="s">
        <v>16</v>
      </c>
      <c r="CH16" s="22">
        <v>8.8880000000000001E-2</v>
      </c>
      <c r="CI16" s="22">
        <v>8.4129999999999996E-2</v>
      </c>
      <c r="CJ16" s="187">
        <v>7.8829999999999997E-2</v>
      </c>
      <c r="CK16" s="191">
        <f t="shared" si="102"/>
        <v>9.2113492286115012E-2</v>
      </c>
    </row>
    <row r="17" spans="1:90" x14ac:dyDescent="0.25">
      <c r="A17" s="163">
        <f t="shared" si="100"/>
        <v>11</v>
      </c>
      <c r="B17" s="164">
        <f t="shared" si="183"/>
        <v>26</v>
      </c>
      <c r="C17" s="164">
        <f t="shared" si="103"/>
        <v>5</v>
      </c>
      <c r="D17" s="164">
        <f t="shared" si="103"/>
        <v>26</v>
      </c>
      <c r="E17" s="164">
        <f t="shared" si="155"/>
        <v>0</v>
      </c>
      <c r="F17" s="164">
        <f t="shared" si="104"/>
        <v>5</v>
      </c>
      <c r="G17" s="169">
        <f t="shared" si="156"/>
        <v>31</v>
      </c>
      <c r="H17" s="169">
        <f t="shared" si="157"/>
        <v>36</v>
      </c>
      <c r="I17" s="229">
        <f t="shared" si="105"/>
        <v>9.5124516129032263E-2</v>
      </c>
      <c r="J17" s="232">
        <f t="shared" si="158"/>
        <v>4.7496290993691561E-3</v>
      </c>
      <c r="K17" s="232">
        <f t="shared" si="106"/>
        <v>7.6767500000000016E-2</v>
      </c>
      <c r="L17" s="229">
        <f t="shared" si="107"/>
        <v>7.7346129032258071E-2</v>
      </c>
      <c r="M17" s="232">
        <f t="shared" si="159"/>
        <v>3.8619426423873652E-3</v>
      </c>
      <c r="N17" s="232">
        <f t="shared" si="108"/>
        <v>5.7946944444444447E-2</v>
      </c>
      <c r="O17" s="229">
        <f t="shared" si="109"/>
        <v>5.8343225806451619E-2</v>
      </c>
      <c r="P17" s="232">
        <f t="shared" si="160"/>
        <v>2.913115296854727E-3</v>
      </c>
      <c r="Q17" s="232">
        <f t="shared" si="110"/>
        <v>6.782111111111111E-2</v>
      </c>
      <c r="R17" s="229">
        <f t="shared" si="111"/>
        <v>6.7500322580645158E-2</v>
      </c>
      <c r="S17" s="232">
        <f t="shared" si="161"/>
        <v>3.3703351080488567E-3</v>
      </c>
      <c r="T17" s="232">
        <f t="shared" si="112"/>
        <v>4.0730277777777775E-2</v>
      </c>
      <c r="U17" s="229">
        <f t="shared" si="113"/>
        <v>4.148677419354839E-2</v>
      </c>
      <c r="V17" s="232">
        <f t="shared" si="162"/>
        <v>2.0714616795669098E-3</v>
      </c>
      <c r="W17" s="232">
        <f t="shared" si="114"/>
        <v>6.2743055555555552E-2</v>
      </c>
      <c r="X17" s="229">
        <f t="shared" si="115"/>
        <v>6.2048387096774203E-2</v>
      </c>
      <c r="Y17" s="232">
        <f t="shared" si="163"/>
        <v>3.0981164153729142E-3</v>
      </c>
      <c r="Z17" s="232">
        <f t="shared" si="116"/>
        <v>9.039472222222221E-2</v>
      </c>
      <c r="AA17" s="229">
        <f t="shared" si="117"/>
        <v>8.9787419354838693E-2</v>
      </c>
      <c r="AB17" s="232">
        <f t="shared" si="164"/>
        <v>4.4831443783275903E-3</v>
      </c>
      <c r="AC17" s="232">
        <f t="shared" si="118"/>
        <v>9.2541111111111116E-2</v>
      </c>
      <c r="AD17" s="229">
        <f t="shared" si="119"/>
        <v>9.2583225806451619E-2</v>
      </c>
      <c r="AE17" s="232">
        <f t="shared" si="165"/>
        <v>4.6227408169656837E-3</v>
      </c>
      <c r="AF17" s="232">
        <f t="shared" si="120"/>
        <v>8.9352222222222222E-2</v>
      </c>
      <c r="AG17" s="229">
        <f t="shared" si="121"/>
        <v>8.9428387096774198E-2</v>
      </c>
      <c r="AH17" s="232">
        <f t="shared" si="166"/>
        <v>4.4652176636392109E-3</v>
      </c>
      <c r="AI17" s="232">
        <f t="shared" si="122"/>
        <v>8.8165277777777773E-2</v>
      </c>
      <c r="AJ17" s="229">
        <f t="shared" si="123"/>
        <v>8.8183870967741926E-2</v>
      </c>
      <c r="AK17" s="232">
        <f t="shared" si="167"/>
        <v>4.4030781620509147E-3</v>
      </c>
      <c r="AL17" s="232">
        <f t="shared" si="124"/>
        <v>8.3443055555555576E-2</v>
      </c>
      <c r="AM17" s="229">
        <f t="shared" si="125"/>
        <v>8.3562903225806465E-2</v>
      </c>
      <c r="AN17" s="232">
        <f t="shared" si="168"/>
        <v>4.1723502304147472E-3</v>
      </c>
      <c r="AO17" s="232">
        <f t="shared" si="126"/>
        <v>6.6347500000000004E-2</v>
      </c>
      <c r="AP17" s="229">
        <f t="shared" si="127"/>
        <v>6.6772903225806451E-2</v>
      </c>
      <c r="AQ17" s="232">
        <f t="shared" si="169"/>
        <v>3.33401458547716E-3</v>
      </c>
      <c r="AR17" s="232">
        <f t="shared" si="128"/>
        <v>7.4491111111111119E-2</v>
      </c>
      <c r="AS17" s="229">
        <f t="shared" si="129"/>
        <v>7.4210645161290334E-2</v>
      </c>
      <c r="AT17" s="232">
        <f t="shared" si="170"/>
        <v>3.7053858887745521E-3</v>
      </c>
      <c r="AU17" s="232">
        <f t="shared" si="130"/>
        <v>0.10928805555555555</v>
      </c>
      <c r="AV17" s="229">
        <f t="shared" si="131"/>
        <v>0.10842806451612902</v>
      </c>
      <c r="AW17" s="232">
        <f t="shared" si="171"/>
        <v>5.4138839425529051E-3</v>
      </c>
      <c r="AX17" s="232">
        <f t="shared" si="132"/>
        <v>8.845083333333334E-2</v>
      </c>
      <c r="AY17" s="229">
        <f t="shared" si="133"/>
        <v>8.9131612903225785E-2</v>
      </c>
      <c r="AZ17" s="232">
        <f t="shared" si="172"/>
        <v>4.4503995346964328E-3</v>
      </c>
      <c r="BA17" s="232">
        <f t="shared" si="134"/>
        <v>0.10111638888888889</v>
      </c>
      <c r="BB17" s="229">
        <f t="shared" si="135"/>
        <v>0.10067709677419355</v>
      </c>
      <c r="BC17" s="232">
        <f t="shared" si="173"/>
        <v>5.0268730705561272E-3</v>
      </c>
      <c r="BD17" s="232">
        <f t="shared" si="136"/>
        <v>9.2111666666666661E-2</v>
      </c>
      <c r="BE17" s="229">
        <f t="shared" si="137"/>
        <v>9.2416774193548393E-2</v>
      </c>
      <c r="BF17" s="232">
        <f t="shared" si="174"/>
        <v>4.6144297794282136E-3</v>
      </c>
      <c r="BG17" s="232">
        <f t="shared" si="138"/>
        <v>0.11685416666666665</v>
      </c>
      <c r="BH17" s="229">
        <f t="shared" si="139"/>
        <v>0.11616129032258063</v>
      </c>
      <c r="BI17" s="232">
        <f t="shared" si="175"/>
        <v>5.8000089481454959E-3</v>
      </c>
      <c r="BJ17" s="232">
        <f t="shared" si="140"/>
        <v>0.10642500000000001</v>
      </c>
      <c r="BK17" s="229">
        <f t="shared" si="141"/>
        <v>0.10680806451612904</v>
      </c>
      <c r="BL17" s="232">
        <f t="shared" si="176"/>
        <v>5.3329962865196192E-3</v>
      </c>
      <c r="BM17" s="232">
        <f t="shared" si="142"/>
        <v>0.11477083333333334</v>
      </c>
      <c r="BN17" s="229">
        <f t="shared" si="143"/>
        <v>0.11449193548387097</v>
      </c>
      <c r="BO17" s="232">
        <f t="shared" si="177"/>
        <v>5.7166569728423784E-3</v>
      </c>
      <c r="BP17" s="232">
        <f t="shared" si="144"/>
        <v>8.2201944444444452E-2</v>
      </c>
      <c r="BQ17" s="229">
        <f t="shared" si="145"/>
        <v>8.3094193548387096E-2</v>
      </c>
      <c r="BR17" s="232">
        <f t="shared" si="178"/>
        <v>4.1489472506822962E-3</v>
      </c>
      <c r="BS17" s="232">
        <f t="shared" si="146"/>
        <v>8.4437222222222219E-2</v>
      </c>
      <c r="BT17" s="229">
        <f t="shared" si="147"/>
        <v>8.4235161290322588E-2</v>
      </c>
      <c r="BU17" s="232">
        <f t="shared" si="179"/>
        <v>4.2059165138025149E-3</v>
      </c>
      <c r="BV17" s="232">
        <f t="shared" si="148"/>
        <v>7.2695833333333335E-2</v>
      </c>
      <c r="BW17" s="229">
        <f t="shared" si="149"/>
        <v>7.3033870967741943E-2</v>
      </c>
      <c r="BX17" s="232">
        <f t="shared" si="180"/>
        <v>3.6466287861840634E-3</v>
      </c>
      <c r="BY17" s="232">
        <f t="shared" si="150"/>
        <v>9.3505555555555564E-2</v>
      </c>
      <c r="BZ17" s="229">
        <f t="shared" si="151"/>
        <v>9.2909677419354825E-2</v>
      </c>
      <c r="CA17" s="232">
        <f t="shared" si="181"/>
        <v>4.6390407588027373E-3</v>
      </c>
      <c r="CB17" s="232">
        <f t="shared" si="152"/>
        <v>0.11916694444444444</v>
      </c>
      <c r="CC17" s="229">
        <f t="shared" si="153"/>
        <v>0.11859548387096773</v>
      </c>
      <c r="CD17" s="232">
        <f t="shared" si="182"/>
        <v>5.9215498188000528E-3</v>
      </c>
      <c r="CE17" s="232">
        <f t="shared" si="154"/>
        <v>0.10826916666666668</v>
      </c>
      <c r="CG17" s="11" t="s">
        <v>17</v>
      </c>
      <c r="CH17" s="22">
        <v>8.8050000000000003E-2</v>
      </c>
      <c r="CI17" s="22">
        <v>7.3550000000000004E-2</v>
      </c>
      <c r="CJ17" s="187">
        <v>8.0099999999999991E-2</v>
      </c>
      <c r="CK17" s="191">
        <f t="shared" si="102"/>
        <v>8.9235343618513319E-2</v>
      </c>
    </row>
    <row r="18" spans="1:90" x14ac:dyDescent="0.25">
      <c r="A18" s="163">
        <f t="shared" si="100"/>
        <v>12</v>
      </c>
      <c r="B18" s="164">
        <f t="shared" si="183"/>
        <v>27</v>
      </c>
      <c r="C18" s="164">
        <f t="shared" si="103"/>
        <v>4</v>
      </c>
      <c r="D18" s="164">
        <f t="shared" si="103"/>
        <v>27</v>
      </c>
      <c r="E18" s="164">
        <f t="shared" si="155"/>
        <v>0</v>
      </c>
      <c r="F18" s="164">
        <f t="shared" si="104"/>
        <v>4</v>
      </c>
      <c r="G18" s="169">
        <f t="shared" si="156"/>
        <v>31</v>
      </c>
      <c r="H18" s="169">
        <f t="shared" si="157"/>
        <v>35</v>
      </c>
      <c r="I18" s="229">
        <f t="shared" si="105"/>
        <v>9.5901612903225811E-2</v>
      </c>
      <c r="J18" s="232">
        <f t="shared" si="158"/>
        <v>4.6554181020983399E-3</v>
      </c>
      <c r="K18" s="232">
        <f t="shared" si="106"/>
        <v>7.6132000000000019E-2</v>
      </c>
      <c r="L18" s="229">
        <f t="shared" si="107"/>
        <v>7.651290322580645E-2</v>
      </c>
      <c r="M18" s="232">
        <f t="shared" si="159"/>
        <v>3.7142186031944879E-3</v>
      </c>
      <c r="N18" s="232">
        <f t="shared" si="108"/>
        <v>5.7511714285714291E-2</v>
      </c>
      <c r="O18" s="229">
        <f t="shared" si="109"/>
        <v>5.7772580645161296E-2</v>
      </c>
      <c r="P18" s="232">
        <f t="shared" si="160"/>
        <v>2.8044942060757912E-3</v>
      </c>
      <c r="Q18" s="232">
        <f t="shared" si="110"/>
        <v>6.8173428571428579E-2</v>
      </c>
      <c r="R18" s="229">
        <f t="shared" si="111"/>
        <v>6.7962258064516126E-2</v>
      </c>
      <c r="S18" s="232">
        <f t="shared" si="161"/>
        <v>3.2991387409959283E-3</v>
      </c>
      <c r="T18" s="232">
        <f t="shared" si="112"/>
        <v>3.9899428571428572E-2</v>
      </c>
      <c r="U18" s="229">
        <f t="shared" si="113"/>
        <v>4.0397419354838711E-2</v>
      </c>
      <c r="V18" s="232">
        <f t="shared" si="162"/>
        <v>1.9610397745067334E-3</v>
      </c>
      <c r="W18" s="232">
        <f t="shared" si="114"/>
        <v>6.3505999999999993E-2</v>
      </c>
      <c r="X18" s="229">
        <f t="shared" si="115"/>
        <v>6.3048709677419351E-2</v>
      </c>
      <c r="Y18" s="232">
        <f t="shared" si="163"/>
        <v>3.0606169746320074E-3</v>
      </c>
      <c r="Z18" s="232">
        <f t="shared" si="116"/>
        <v>9.1061714285714274E-2</v>
      </c>
      <c r="AA18" s="229">
        <f t="shared" si="117"/>
        <v>9.0661935483870956E-2</v>
      </c>
      <c r="AB18" s="232">
        <f t="shared" si="164"/>
        <v>4.401064829314124E-3</v>
      </c>
      <c r="AC18" s="232">
        <f t="shared" si="118"/>
        <v>9.2494857142857143E-2</v>
      </c>
      <c r="AD18" s="229">
        <f t="shared" si="119"/>
        <v>9.2522580645161306E-2</v>
      </c>
      <c r="AE18" s="232">
        <f t="shared" si="165"/>
        <v>4.4913874099592865E-3</v>
      </c>
      <c r="AF18" s="232">
        <f t="shared" si="120"/>
        <v>8.9268571428571433E-2</v>
      </c>
      <c r="AG18" s="229">
        <f t="shared" si="121"/>
        <v>8.9318709677419367E-2</v>
      </c>
      <c r="AH18" s="232">
        <f t="shared" si="166"/>
        <v>4.3358596930786102E-3</v>
      </c>
      <c r="AI18" s="232">
        <f t="shared" si="122"/>
        <v>8.8144857142857136E-2</v>
      </c>
      <c r="AJ18" s="229">
        <f t="shared" si="123"/>
        <v>8.8157096774193547E-2</v>
      </c>
      <c r="AK18" s="232">
        <f t="shared" si="167"/>
        <v>4.2794707171938612E-3</v>
      </c>
      <c r="AL18" s="232">
        <f t="shared" si="124"/>
        <v>8.3311428571428578E-2</v>
      </c>
      <c r="AM18" s="229">
        <f t="shared" si="125"/>
        <v>8.3390322580645174E-2</v>
      </c>
      <c r="AN18" s="232">
        <f t="shared" si="168"/>
        <v>4.0480739116818048E-3</v>
      </c>
      <c r="AO18" s="232">
        <f t="shared" si="126"/>
        <v>6.5880285714285725E-2</v>
      </c>
      <c r="AP18" s="229">
        <f t="shared" si="127"/>
        <v>6.6160322580645164E-2</v>
      </c>
      <c r="AQ18" s="232">
        <f t="shared" si="169"/>
        <v>3.2116661446915129E-3</v>
      </c>
      <c r="AR18" s="232">
        <f t="shared" si="128"/>
        <v>7.479914285714287E-2</v>
      </c>
      <c r="AS18" s="229">
        <f t="shared" si="129"/>
        <v>7.4614516129032277E-2</v>
      </c>
      <c r="AT18" s="232">
        <f t="shared" si="170"/>
        <v>3.6220638897588482E-3</v>
      </c>
      <c r="AU18" s="232">
        <f t="shared" si="130"/>
        <v>0.11023257142857143</v>
      </c>
      <c r="AV18" s="229">
        <f t="shared" si="131"/>
        <v>0.10966645161290323</v>
      </c>
      <c r="AW18" s="232">
        <f t="shared" si="171"/>
        <v>5.3236141559661757E-3</v>
      </c>
      <c r="AX18" s="232">
        <f t="shared" si="132"/>
        <v>8.7703142857142855E-2</v>
      </c>
      <c r="AY18" s="229">
        <f t="shared" si="133"/>
        <v>8.8151290322580636E-2</v>
      </c>
      <c r="AZ18" s="232">
        <f t="shared" si="172"/>
        <v>4.2791888506107101E-3</v>
      </c>
      <c r="BA18" s="232">
        <f t="shared" si="134"/>
        <v>0.10159885714285714</v>
      </c>
      <c r="BB18" s="229">
        <f t="shared" si="135"/>
        <v>0.10130967741935484</v>
      </c>
      <c r="BC18" s="232">
        <f t="shared" si="173"/>
        <v>4.9179455057939241E-3</v>
      </c>
      <c r="BD18" s="232">
        <f t="shared" si="136"/>
        <v>9.177657142857143E-2</v>
      </c>
      <c r="BE18" s="229">
        <f t="shared" si="137"/>
        <v>9.1977419354838719E-2</v>
      </c>
      <c r="BF18" s="232">
        <f t="shared" si="174"/>
        <v>4.4649232696523647E-3</v>
      </c>
      <c r="BG18" s="232">
        <f t="shared" si="138"/>
        <v>0.11761514285714286</v>
      </c>
      <c r="BH18" s="229">
        <f t="shared" si="139"/>
        <v>0.11715903225806451</v>
      </c>
      <c r="BI18" s="232">
        <f t="shared" si="175"/>
        <v>5.6873316630128403E-3</v>
      </c>
      <c r="BJ18" s="232">
        <f t="shared" si="140"/>
        <v>0.10600428571428572</v>
      </c>
      <c r="BK18" s="229">
        <f t="shared" si="141"/>
        <v>0.10625645161290323</v>
      </c>
      <c r="BL18" s="232">
        <f t="shared" si="176"/>
        <v>5.1580801753836518E-3</v>
      </c>
      <c r="BM18" s="232">
        <f t="shared" si="142"/>
        <v>0.11507714285714286</v>
      </c>
      <c r="BN18" s="229">
        <f t="shared" si="143"/>
        <v>0.11489354838709678</v>
      </c>
      <c r="BO18" s="232">
        <f t="shared" si="177"/>
        <v>5.5773567178202324E-3</v>
      </c>
      <c r="BP18" s="232">
        <f t="shared" si="144"/>
        <v>8.1222000000000003E-2</v>
      </c>
      <c r="BQ18" s="229">
        <f t="shared" si="145"/>
        <v>8.1809354838709686E-2</v>
      </c>
      <c r="BR18" s="232">
        <f t="shared" si="178"/>
        <v>3.9713279047917322E-3</v>
      </c>
      <c r="BS18" s="232">
        <f t="shared" si="146"/>
        <v>8.4659142857142863E-2</v>
      </c>
      <c r="BT18" s="229">
        <f t="shared" si="147"/>
        <v>8.4526129032258063E-2</v>
      </c>
      <c r="BU18" s="232">
        <f t="shared" si="179"/>
        <v>4.1032101471969937E-3</v>
      </c>
      <c r="BV18" s="232">
        <f t="shared" si="148"/>
        <v>7.2324571428571433E-2</v>
      </c>
      <c r="BW18" s="229">
        <f t="shared" si="149"/>
        <v>7.2547096774193548E-2</v>
      </c>
      <c r="BX18" s="232">
        <f t="shared" si="180"/>
        <v>3.5217037269025995E-3</v>
      </c>
      <c r="BY18" s="232">
        <f t="shared" si="150"/>
        <v>9.4159999999999994E-2</v>
      </c>
      <c r="BZ18" s="229">
        <f t="shared" si="151"/>
        <v>9.3767741935483873E-2</v>
      </c>
      <c r="CA18" s="232">
        <f t="shared" si="181"/>
        <v>4.5518321327904796E-3</v>
      </c>
      <c r="CB18" s="232">
        <f t="shared" si="152"/>
        <v>0.11979457142857142</v>
      </c>
      <c r="CC18" s="229">
        <f t="shared" si="153"/>
        <v>0.11941838709677419</v>
      </c>
      <c r="CD18" s="232">
        <f t="shared" si="182"/>
        <v>5.7970090823676792E-3</v>
      </c>
      <c r="CE18" s="232">
        <f t="shared" si="154"/>
        <v>0.10785657142857144</v>
      </c>
      <c r="CG18" s="11" t="s">
        <v>18</v>
      </c>
      <c r="CH18" s="22">
        <v>8.270000000000001E-2</v>
      </c>
      <c r="CI18" s="22">
        <v>7.1910000000000002E-2</v>
      </c>
      <c r="CJ18" s="187">
        <v>6.7030000000000006E-2</v>
      </c>
      <c r="CK18" s="191">
        <f t="shared" si="102"/>
        <v>8.7501444600280517E-2</v>
      </c>
    </row>
    <row r="19" spans="1:90" x14ac:dyDescent="0.25">
      <c r="A19" s="165">
        <f t="shared" si="100"/>
        <v>13</v>
      </c>
      <c r="B19" s="167"/>
      <c r="C19" s="167"/>
      <c r="D19" s="166"/>
      <c r="E19" s="166"/>
      <c r="F19" s="166"/>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G19" s="11" t="s">
        <v>19</v>
      </c>
      <c r="CH19" s="22">
        <v>6.3710000000000003E-2</v>
      </c>
      <c r="CI19" s="22">
        <v>7.1929999999999994E-2</v>
      </c>
      <c r="CJ19" s="187">
        <v>7.5439999999999993E-2</v>
      </c>
      <c r="CK19" s="191">
        <f t="shared" si="102"/>
        <v>8.1076549789621324E-2</v>
      </c>
    </row>
    <row r="20" spans="1:90" x14ac:dyDescent="0.25">
      <c r="A20" s="165">
        <f t="shared" si="100"/>
        <v>14</v>
      </c>
      <c r="B20" s="167"/>
      <c r="C20" s="167"/>
      <c r="D20" s="166"/>
      <c r="E20" s="166"/>
      <c r="F20" s="166"/>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G20" s="11" t="s">
        <v>20</v>
      </c>
      <c r="CH20" s="22">
        <v>7.6230000000000006E-2</v>
      </c>
      <c r="CI20" s="22">
        <v>0.12447999999999999</v>
      </c>
      <c r="CJ20" s="187">
        <v>0.11320000000000001</v>
      </c>
      <c r="CK20" s="191">
        <f t="shared" si="102"/>
        <v>6.7812103786816277E-2</v>
      </c>
    </row>
    <row r="21" spans="1:90" x14ac:dyDescent="0.25">
      <c r="A21" s="163">
        <f t="shared" si="100"/>
        <v>15</v>
      </c>
      <c r="B21" s="164">
        <f>+A21-16+31</f>
        <v>30</v>
      </c>
      <c r="C21" s="164">
        <f t="shared" ref="C21:D22" si="184">31-B21</f>
        <v>1</v>
      </c>
      <c r="D21" s="164">
        <f t="shared" si="184"/>
        <v>30</v>
      </c>
      <c r="E21" s="164">
        <f>31-C21-D21</f>
        <v>0</v>
      </c>
      <c r="F21" s="164">
        <f t="shared" ref="F21:F22" si="185">31-B21</f>
        <v>1</v>
      </c>
      <c r="G21" s="169">
        <f t="shared" si="156"/>
        <v>31</v>
      </c>
      <c r="H21" s="169">
        <f t="shared" ref="H21:H25" si="186">SUM(F21:G21)</f>
        <v>32</v>
      </c>
      <c r="I21" s="229">
        <f t="shared" ref="I21:I25" si="187">(+$C21*I$43+$D21*I$44+$E21*I$45)/$C$40</f>
        <v>9.8232903225806453E-2</v>
      </c>
      <c r="J21" s="232">
        <f>(F21+G21)/($F$38+$G$38)*I21</f>
        <v>4.3598514607847529E-3</v>
      </c>
      <c r="K21" s="232">
        <f>+($F21*I$44+$G21*I$45)/($F21+$G21)</f>
        <v>7.398718750000001E-2</v>
      </c>
      <c r="L21" s="229">
        <f t="shared" ref="L21:L25" si="188">(+$C21*L$43+$D21*L$44+$E21*L$45)/$C$40</f>
        <v>7.4013225806451616E-2</v>
      </c>
      <c r="M21" s="232">
        <f>($F21+$G21)/($F$38+$G$38)*L21</f>
        <v>3.2849143215068679E-3</v>
      </c>
      <c r="N21" s="232">
        <f>+($F21*L$44+$G21*L$45)/($F21+$G21)</f>
        <v>5.6042812500000004E-2</v>
      </c>
      <c r="O21" s="229">
        <f t="shared" ref="O21:O25" si="189">(+$C21*O$43+$D21*O$44+$E21*O$45)/$C$40</f>
        <v>5.6060645161290328E-2</v>
      </c>
      <c r="P21" s="232">
        <f>($F21+$G21)/($F$38+$G$38)*O21</f>
        <v>2.488128495369335E-3</v>
      </c>
      <c r="Q21" s="232">
        <f>+($F21*O$44+$G21*O$45)/($F21+$G21)</f>
        <v>6.9362499999999994E-2</v>
      </c>
      <c r="R21" s="229">
        <f t="shared" ref="R21:R25" si="190">(+$C21*R$43+$D21*R$44+$E21*R$45)/$C$40</f>
        <v>6.9348064516129029E-2</v>
      </c>
      <c r="S21" s="232">
        <f>($F21+$G21)/($F$38+$G$38)*R21</f>
        <v>3.077861393226254E-3</v>
      </c>
      <c r="T21" s="232">
        <f>+($F21*R$44+$G21*R$45)/($F21+$G21)</f>
        <v>3.7095312499999998E-2</v>
      </c>
      <c r="U21" s="229">
        <f t="shared" ref="U21:U25" si="191">(+$C21*U$43+$D21*U$44+$E21*U$45)/$C$40</f>
        <v>3.7129354838709681E-2</v>
      </c>
      <c r="V21" s="232">
        <f>($F21+$G21)/($F$38+$G$38)*U21</f>
        <v>1.6479047917319137E-3</v>
      </c>
      <c r="W21" s="232">
        <f>+($F21*U$44+$G21*U$45)/($F21+$G21)</f>
        <v>6.6080937499999992E-2</v>
      </c>
      <c r="X21" s="229">
        <f t="shared" ref="X21:X25" si="192">(+$C21*X$43+$D21*X$44+$E21*X$45)/$C$40</f>
        <v>6.604967741935483E-2</v>
      </c>
      <c r="Y21" s="232">
        <f>($F21+$G21)/($F$38+$G$38)*X21</f>
        <v>2.9314697328978565E-3</v>
      </c>
      <c r="Z21" s="232">
        <f>+($F21*X$44+$G21*X$45)/($F21+$G21)</f>
        <v>9.3312812499999995E-2</v>
      </c>
      <c r="AA21" s="229">
        <f t="shared" ref="AA21:AA25" si="193">(+$C21*AA$43+$D21*AA$44+$E21*AA$45)/$C$40</f>
        <v>9.3285483870967731E-2</v>
      </c>
      <c r="AB21" s="232">
        <f>($F21+$G21)/($F$38+$G$38)*AA21</f>
        <v>4.1402711288085542E-3</v>
      </c>
      <c r="AC21" s="232">
        <f>+($F21*AA$44+$G21*AA$45)/($F21+$G21)</f>
        <v>9.2338749999999997E-2</v>
      </c>
      <c r="AD21" s="229">
        <f t="shared" ref="AD21:AD25" si="194">(+$C21*AD$43+$D21*AD$44+$E21*AD$45)/$C$40</f>
        <v>9.2340645161290327E-2</v>
      </c>
      <c r="AE21" s="232">
        <f>($F21+$G21)/($F$38+$G$38)*AD21</f>
        <v>4.0983365397521364E-3</v>
      </c>
      <c r="AF21" s="232">
        <f>+($F21*AD$44+$G21*AD$45)/($F21+$G21)</f>
        <v>8.8986250000000003E-2</v>
      </c>
      <c r="AG21" s="229">
        <f t="shared" ref="AG21:AG25" si="195">(+$C21*AG$43+$D21*AG$44+$E21*AG$45)/$C$40</f>
        <v>8.8989677419354846E-2</v>
      </c>
      <c r="AH21" s="232">
        <f>($F21+$G21)/($F$38+$G$38)*AG21</f>
        <v>3.9496112030781624E-3</v>
      </c>
      <c r="AI21" s="232">
        <f>+($F21*AG$44+$G21*AG$45)/($F21+$G21)</f>
        <v>8.8075937500000007E-2</v>
      </c>
      <c r="AJ21" s="229">
        <f t="shared" ref="AJ21:AJ25" si="196">(+$C21*AJ$43+$D21*AJ$44+$E21*AJ$45)/$C$40</f>
        <v>8.8076774193548396E-2</v>
      </c>
      <c r="AK21" s="232">
        <f>($F21+$G21)/($F$38+$G$38)*AJ21</f>
        <v>3.9090940002684451E-3</v>
      </c>
      <c r="AL21" s="232">
        <f>+($F21*AJ$44+$G21*AJ$45)/($F21+$G21)</f>
        <v>8.2867187500000009E-2</v>
      </c>
      <c r="AM21" s="229">
        <f t="shared" ref="AM21:AM25" si="197">(+$C21*AM$43+$D21*AM$44+$E21*AM$45)/$C$40</f>
        <v>8.2872580645161301E-2</v>
      </c>
      <c r="AN21" s="232">
        <f>($F21+$G21)/($F$38+$G$38)*AM21</f>
        <v>3.6781173101874641E-3</v>
      </c>
      <c r="AO21" s="232">
        <f>+($F21*AM$44+$G21*AM$45)/($F21+$G21)</f>
        <v>6.4303437500000005E-2</v>
      </c>
      <c r="AP21" s="229">
        <f t="shared" ref="AP21:AP25" si="198">(+$C21*AP$43+$D21*AP$44+$E21*AP$45)/$C$40</f>
        <v>6.432258064516129E-2</v>
      </c>
      <c r="AQ21" s="232">
        <f>($F21+$G21)/($F$38+$G$38)*AP21</f>
        <v>2.8548163393136775E-3</v>
      </c>
      <c r="AR21" s="232">
        <f>+($F21*AP$44+$G21*AP$45)/($F21+$G21)</f>
        <v>7.583875000000001E-2</v>
      </c>
      <c r="AS21" s="229">
        <f t="shared" ref="AS21:AS25" si="199">(+$C21*AS$43+$D21*AS$44+$E21*AS$45)/$C$40</f>
        <v>7.5826129032258063E-2</v>
      </c>
      <c r="AT21" s="232">
        <f>($F21+$G21)/($F$38+$G$38)*AS21</f>
        <v>3.3653760458145052E-3</v>
      </c>
      <c r="AU21" s="232">
        <f>+($F21*AS$44+$G21*AS$45)/($F21+$G21)</f>
        <v>0.1134203125</v>
      </c>
      <c r="AV21" s="229">
        <f t="shared" ref="AV21:AV25" si="200">(+$C21*AV$43+$D21*AV$44+$E21*AV$45)/$C$40</f>
        <v>0.11338161290322581</v>
      </c>
      <c r="AW21" s="232">
        <f>($F21+$G21)/($F$38+$G$38)*AV21</f>
        <v>5.0321936378685522E-3</v>
      </c>
      <c r="AX21" s="232">
        <f>+($F21*AV$44+$G21*AV$45)/($F21+$G21)</f>
        <v>8.5179687500000004E-2</v>
      </c>
      <c r="AY21" s="229">
        <f t="shared" ref="AY21:AY25" si="201">(+$C21*AY$43+$D21*AY$44+$E21*AY$45)/$C$40</f>
        <v>8.5210322580645162E-2</v>
      </c>
      <c r="AZ21" s="232">
        <f>($F21+$G21)/($F$38+$G$38)*AY21</f>
        <v>3.78187284685249E-3</v>
      </c>
      <c r="BA21" s="232">
        <f>+($F21*AY$44+$G21*AY$45)/($F21+$G21)</f>
        <v>0.1032271875</v>
      </c>
      <c r="BB21" s="229">
        <f t="shared" ref="BB21:BB25" si="202">(+$C21*BB$43+$D21*BB$44+$E21*BB$45)/$C$40</f>
        <v>0.10320741935483871</v>
      </c>
      <c r="BC21" s="232">
        <f>($F21+$G21)/($F$38+$G$38)*BB21</f>
        <v>4.5806344235157261E-3</v>
      </c>
      <c r="BD21" s="232">
        <f>+($F21*BB$44+$G21*BB$45)/($F21+$G21)</f>
        <v>9.0645624999999994E-2</v>
      </c>
      <c r="BE21" s="229">
        <f t="shared" ref="BE21:BE25" si="203">(+$C21*BE$43+$D21*BE$44+$E21*BE$45)/$C$40</f>
        <v>9.0659354838709669E-2</v>
      </c>
      <c r="BF21" s="232">
        <f>($F21+$G21)/($F$38+$G$38)*BE21</f>
        <v>4.0237161648248396E-3</v>
      </c>
      <c r="BG21" s="232">
        <f>+($F21*BE$44+$G21*BE$45)/($F21+$G21)</f>
        <v>0.12018343749999999</v>
      </c>
      <c r="BH21" s="229">
        <f t="shared" ref="BH21:BH25" si="204">(+$C21*BH$43+$D21*BH$44+$E21*BH$45)/$C$40</f>
        <v>0.12015225806451611</v>
      </c>
      <c r="BI21" s="232">
        <f>($F21+$G21)/($F$38+$G$38)*BH21</f>
        <v>5.3326938392018247E-3</v>
      </c>
      <c r="BJ21" s="232">
        <f>+($F21*BH$44+$G21*BH$45)/($F21+$G21)</f>
        <v>0.10458437500000001</v>
      </c>
      <c r="BK21" s="229">
        <f t="shared" ref="BK21:BK25" si="205">(+$C21*BK$43+$D21*BK$44+$E21*BK$45)/$C$40</f>
        <v>0.10460161290322581</v>
      </c>
      <c r="BL21" s="232">
        <f>($F21+$G21)/($F$38+$G$38)*BK21</f>
        <v>4.6425126392555145E-3</v>
      </c>
      <c r="BM21" s="232">
        <f>+($F21*BK$44+$G21*BK$45)/($F21+$G21)</f>
        <v>0.11611093750000001</v>
      </c>
      <c r="BN21" s="229">
        <f t="shared" ref="BN21:BN25" si="206">(+$C21*BN$43+$D21*BN$44+$E21*BN$45)/$C$40</f>
        <v>0.1160983870967742</v>
      </c>
      <c r="BO21" s="232">
        <f>($F21+$G21)/($F$38+$G$38)*BN21</f>
        <v>5.1527716880676484E-3</v>
      </c>
      <c r="BP21" s="232">
        <f>+($F21*BN$44+$G21*BN$45)/($F21+$G21)</f>
        <v>7.7914687499999996E-2</v>
      </c>
      <c r="BQ21" s="229">
        <f t="shared" ref="BQ21:BQ25" si="207">(+$C21*BQ$43+$D21*BQ$44+$E21*BQ$45)/$C$40</f>
        <v>7.7954838709677413E-2</v>
      </c>
      <c r="BR21" s="232">
        <f>($F21+$G21)/($F$38+$G$38)*BQ21</f>
        <v>3.4598541452284014E-3</v>
      </c>
      <c r="BS21" s="232">
        <f>+($F21*BQ$44+$G21*BQ$45)/($F21+$G21)</f>
        <v>8.5408125000000001E-2</v>
      </c>
      <c r="BT21" s="229">
        <f t="shared" ref="BT21:BT25" si="208">(+$C21*BT$43+$D21*BT$44+$E21*BT$45)/$C$40</f>
        <v>8.5399032258064514E-2</v>
      </c>
      <c r="BU21" s="232">
        <f>($F21+$G21)/($F$38+$G$38)*BT21</f>
        <v>3.7902483110375373E-3</v>
      </c>
      <c r="BV21" s="232">
        <f>+($F21*BT$44+$G21*BT$45)/($F21+$G21)</f>
        <v>7.1071562500000005E-2</v>
      </c>
      <c r="BW21" s="229">
        <f t="shared" ref="BW21:BW25" si="209">(+$C21*BW$43+$D21*BW$44+$E21*BW$45)/$C$40</f>
        <v>7.1086774193548391E-2</v>
      </c>
      <c r="BX21" s="232">
        <f>($F21+$G21)/($F$38+$G$38)*BW21</f>
        <v>3.155030199991052E-3</v>
      </c>
      <c r="BY21" s="232">
        <f>+($F21*BW$44+$G21*BW$45)/($F21+$G21)</f>
        <v>9.6368750000000003E-2</v>
      </c>
      <c r="BZ21" s="229">
        <f t="shared" ref="BZ21:BZ25" si="210">(+$C21*BZ$43+$D21*BZ$44+$E21*BZ$45)/$C$40</f>
        <v>9.6341935483870975E-2</v>
      </c>
      <c r="CA21" s="232">
        <f>($F21+$G21)/($F$38+$G$38)*BZ21</f>
        <v>4.2759250145407365E-3</v>
      </c>
      <c r="CB21" s="232">
        <f>+($F21*BZ$44+$G21*BZ$45)/($F21+$G21)</f>
        <v>0.1219128125</v>
      </c>
      <c r="CC21" s="229">
        <f t="shared" ref="CC21:CC25" si="211">(+$C21*CC$43+$D21*CC$44+$E21*CC$45)/$C$40</f>
        <v>0.12188709677419354</v>
      </c>
      <c r="CD21" s="232">
        <f>($F21+$G21)/($F$38+$G$38)*CC21</f>
        <v>5.4096908415730838E-3</v>
      </c>
      <c r="CE21" s="232">
        <f>+($F21*CC$44+$G21*CC$45)/($F21+$G21)</f>
        <v>0.10646406250000001</v>
      </c>
      <c r="CG21" s="185" t="s">
        <v>242</v>
      </c>
      <c r="CH21" s="30">
        <v>0.11462</v>
      </c>
      <c r="CI21" s="30">
        <v>8.8090000000000002E-2</v>
      </c>
      <c r="CJ21" s="188">
        <v>9.4709999999999989E-2</v>
      </c>
      <c r="CK21" s="191">
        <f t="shared" si="102"/>
        <v>7.9282454417952314E-2</v>
      </c>
    </row>
    <row r="22" spans="1:90" x14ac:dyDescent="0.25">
      <c r="A22" s="163">
        <f t="shared" si="100"/>
        <v>16</v>
      </c>
      <c r="B22" s="164">
        <f>+A22-16+31</f>
        <v>31</v>
      </c>
      <c r="C22" s="164">
        <f t="shared" si="184"/>
        <v>0</v>
      </c>
      <c r="D22" s="164">
        <f t="shared" si="184"/>
        <v>31</v>
      </c>
      <c r="E22" s="164">
        <f t="shared" ref="E22:E25" si="212">31-C22-D22</f>
        <v>0</v>
      </c>
      <c r="F22" s="164">
        <f t="shared" si="185"/>
        <v>0</v>
      </c>
      <c r="G22" s="169">
        <f t="shared" si="156"/>
        <v>31</v>
      </c>
      <c r="H22" s="169">
        <f t="shared" si="186"/>
        <v>31</v>
      </c>
      <c r="I22" s="229">
        <f t="shared" si="187"/>
        <v>9.9010000000000001E-2</v>
      </c>
      <c r="J22" s="232">
        <f t="shared" ref="J22:J25" si="213">(F22+G22)/($F$38+$G$38)*I22</f>
        <v>4.2570180305131766E-3</v>
      </c>
      <c r="K22" s="232">
        <f t="shared" ref="K22:K25" si="214">+($F22*I$44+$G22*I$45)/($F22+$G22)</f>
        <v>7.3180000000000009E-2</v>
      </c>
      <c r="L22" s="229">
        <f t="shared" si="188"/>
        <v>7.3180000000000009E-2</v>
      </c>
      <c r="M22" s="232">
        <f t="shared" ref="M22:M25" si="215">($F22+$G22)/($F$38+$G$38)*L22</f>
        <v>3.1464355062413318E-3</v>
      </c>
      <c r="N22" s="232">
        <f t="shared" ref="N22:N25" si="216">+($F22*L$44+$G22*L$45)/($F22+$G22)</f>
        <v>5.5490000000000005E-2</v>
      </c>
      <c r="O22" s="229">
        <f t="shared" si="189"/>
        <v>5.5490000000000005E-2</v>
      </c>
      <c r="P22" s="232">
        <f t="shared" ref="P22:P25" si="217">($F22+$G22)/($F$38+$G$38)*O22</f>
        <v>2.3858391123439669E-3</v>
      </c>
      <c r="Q22" s="232">
        <f t="shared" ref="Q22:Q25" si="218">+($F22*O$44+$G22*O$45)/($F22+$G22)</f>
        <v>6.9809999999999997E-2</v>
      </c>
      <c r="R22" s="229">
        <f t="shared" si="190"/>
        <v>6.9809999999999997E-2</v>
      </c>
      <c r="S22" s="232">
        <f t="shared" ref="S22:S25" si="219">($F22+$G22)/($F$38+$G$38)*R22</f>
        <v>3.0015395284327322E-3</v>
      </c>
      <c r="T22" s="232">
        <f t="shared" ref="T22:T25" si="220">+($F22*R$44+$G22*R$45)/($F22+$G22)</f>
        <v>3.6040000000000003E-2</v>
      </c>
      <c r="U22" s="229">
        <f t="shared" si="191"/>
        <v>3.6040000000000003E-2</v>
      </c>
      <c r="V22" s="232">
        <f t="shared" ref="V22:V25" si="221">($F22+$G22)/($F$38+$G$38)*U22</f>
        <v>1.5495700416088768E-3</v>
      </c>
      <c r="W22" s="232">
        <f t="shared" ref="W22:W25" si="222">+($F22*U$44+$G22*U$45)/($F22+$G22)</f>
        <v>6.7049999999999998E-2</v>
      </c>
      <c r="X22" s="229">
        <f t="shared" si="192"/>
        <v>6.7049999999999998E-2</v>
      </c>
      <c r="Y22" s="232">
        <f t="shared" ref="Y22:Y25" si="223">($F22+$G22)/($F$38+$G$38)*X22</f>
        <v>2.8828710124826629E-3</v>
      </c>
      <c r="Z22" s="232">
        <f t="shared" ref="Z22:Z25" si="224">+($F22*X$44+$G22*X$45)/($F22+$G22)</f>
        <v>9.4159999999999994E-2</v>
      </c>
      <c r="AA22" s="229">
        <f t="shared" si="193"/>
        <v>9.4159999999999994E-2</v>
      </c>
      <c r="AB22" s="232">
        <f t="shared" ref="AB22:AB25" si="225">($F22+$G22)/($F$38+$G$38)*AA22</f>
        <v>4.0484882108183075E-3</v>
      </c>
      <c r="AC22" s="232">
        <f t="shared" ref="AC22:AC25" si="226">+($F22*AA$44+$G22*AA$45)/($F22+$G22)</f>
        <v>9.2280000000000001E-2</v>
      </c>
      <c r="AD22" s="229">
        <f t="shared" si="194"/>
        <v>9.2280000000000001E-2</v>
      </c>
      <c r="AE22" s="232">
        <f t="shared" ref="AE22:AE25" si="227">($F22+$G22)/($F$38+$G$38)*AD22</f>
        <v>3.9676560332871013E-3</v>
      </c>
      <c r="AF22" s="232">
        <f t="shared" ref="AF22:AF25" si="228">+($F22*AD$44+$G22*AD$45)/($F22+$G22)</f>
        <v>8.8880000000000001E-2</v>
      </c>
      <c r="AG22" s="229">
        <f t="shared" si="195"/>
        <v>8.8880000000000001E-2</v>
      </c>
      <c r="AH22" s="232">
        <f t="shared" ref="AH22:AH25" si="229">($F22+$G22)/($F$38+$G$38)*AG22</f>
        <v>3.8214701803051319E-3</v>
      </c>
      <c r="AI22" s="232">
        <f t="shared" ref="AI22:AI25" si="230">+($F22*AG$44+$G22*AG$45)/($F22+$G22)</f>
        <v>8.8050000000000003E-2</v>
      </c>
      <c r="AJ22" s="229">
        <f t="shared" si="196"/>
        <v>8.8050000000000003E-2</v>
      </c>
      <c r="AK22" s="232">
        <f t="shared" ref="AK22:AK25" si="231">($F22+$G22)/($F$38+$G$38)*AJ22</f>
        <v>3.7857836338418866E-3</v>
      </c>
      <c r="AL22" s="232">
        <f t="shared" ref="AL22:AL25" si="232">+($F22*AJ$44+$G22*AJ$45)/($F22+$G22)</f>
        <v>8.270000000000001E-2</v>
      </c>
      <c r="AM22" s="229">
        <f t="shared" si="197"/>
        <v>8.270000000000001E-2</v>
      </c>
      <c r="AN22" s="232">
        <f t="shared" ref="AN22:AN25" si="233">($F22+$G22)/($F$38+$G$38)*AM22</f>
        <v>3.5557558945908466E-3</v>
      </c>
      <c r="AO22" s="232">
        <f t="shared" ref="AO22:AO25" si="234">+($F22*AM$44+$G22*AM$45)/($F22+$G22)</f>
        <v>6.3710000000000003E-2</v>
      </c>
      <c r="AP22" s="229">
        <f t="shared" si="198"/>
        <v>6.3710000000000003E-2</v>
      </c>
      <c r="AQ22" s="232">
        <f t="shared" ref="AQ22:AQ25" si="235">($F22+$G22)/($F$38+$G$38)*AP22</f>
        <v>2.7392649098474343E-3</v>
      </c>
      <c r="AR22" s="232">
        <f t="shared" ref="AR22:AR25" si="236">+($F22*AP$44+$G22*AP$45)/($F22+$G22)</f>
        <v>7.6230000000000006E-2</v>
      </c>
      <c r="AS22" s="229">
        <f t="shared" si="199"/>
        <v>7.6230000000000006E-2</v>
      </c>
      <c r="AT22" s="232">
        <f t="shared" ref="AT22:AT25" si="237">($F22+$G22)/($F$38+$G$38)*AS22</f>
        <v>3.2775728155339809E-3</v>
      </c>
      <c r="AU22" s="232">
        <f t="shared" ref="AU22:AU25" si="238">+($F22*AS$44+$G22*AS$45)/($F22+$G22)</f>
        <v>0.11462</v>
      </c>
      <c r="AV22" s="229">
        <f t="shared" si="200"/>
        <v>0.11462</v>
      </c>
      <c r="AW22" s="232">
        <f t="shared" ref="AW22:AW25" si="239">($F22+$G22)/($F$38+$G$38)*AV22</f>
        <v>4.9281830790568653E-3</v>
      </c>
      <c r="AX22" s="232">
        <f t="shared" ref="AX22:AX25" si="240">+($F22*AV$44+$G22*AV$45)/($F22+$G22)</f>
        <v>8.4229999999999999E-2</v>
      </c>
      <c r="AY22" s="229">
        <f t="shared" si="201"/>
        <v>8.4229999999999999E-2</v>
      </c>
      <c r="AZ22" s="232">
        <f t="shared" ref="AZ22:AZ25" si="241">($F22+$G22)/($F$38+$G$38)*AY22</f>
        <v>3.6215395284327325E-3</v>
      </c>
      <c r="BA22" s="232">
        <f t="shared" ref="BA22:BA25" si="242">+($F22*AY$44+$G22*AY$45)/($F22+$G22)</f>
        <v>0.10384</v>
      </c>
      <c r="BB22" s="229">
        <f t="shared" si="202"/>
        <v>0.10384</v>
      </c>
      <c r="BC22" s="232">
        <f t="shared" ref="BC22:BC25" si="243">($F22+$G22)/($F$38+$G$38)*BB22</f>
        <v>4.4646879334257978E-3</v>
      </c>
      <c r="BD22" s="232">
        <f t="shared" ref="BD22:BD25" si="244">+($F22*BB$44+$G22*BB$45)/($F22+$G22)</f>
        <v>9.0219999999999995E-2</v>
      </c>
      <c r="BE22" s="229">
        <f t="shared" si="203"/>
        <v>9.0219999999999995E-2</v>
      </c>
      <c r="BF22" s="232">
        <f t="shared" ref="BF22:BF25" si="245">($F22+$G22)/($F$38+$G$38)*BE22</f>
        <v>3.8790846047156726E-3</v>
      </c>
      <c r="BG22" s="232">
        <f t="shared" ref="BG22:BG25" si="246">+($F22*BE$44+$G22*BE$45)/($F22+$G22)</f>
        <v>0.12114999999999999</v>
      </c>
      <c r="BH22" s="229">
        <f t="shared" si="204"/>
        <v>0.12114999999999999</v>
      </c>
      <c r="BI22" s="232">
        <f t="shared" ref="BI22:BI25" si="247">($F22+$G22)/($F$38+$G$38)*BH22</f>
        <v>5.2089459084604713E-3</v>
      </c>
      <c r="BJ22" s="232">
        <f t="shared" ref="BJ22:BJ25" si="248">+($F22*BH$44+$G22*BH$45)/($F22+$G22)</f>
        <v>0.10405</v>
      </c>
      <c r="BK22" s="229">
        <f t="shared" si="205"/>
        <v>0.10405</v>
      </c>
      <c r="BL22" s="232">
        <f t="shared" ref="BL22:BL25" si="249">($F22+$G22)/($F$38+$G$38)*BK22</f>
        <v>4.4737170596393901E-3</v>
      </c>
      <c r="BM22" s="232">
        <f t="shared" ref="BM22:BM25" si="250">+($F22*BK$44+$G22*BK$45)/($F22+$G22)</f>
        <v>0.11650000000000001</v>
      </c>
      <c r="BN22" s="229">
        <f t="shared" si="206"/>
        <v>0.11650000000000001</v>
      </c>
      <c r="BO22" s="232">
        <f t="shared" ref="BO22:BO25" si="251">($F22+$G22)/($F$38+$G$38)*BN22</f>
        <v>5.0090152565880723E-3</v>
      </c>
      <c r="BP22" s="232">
        <f t="shared" ref="BP22:BP25" si="252">+($F22*BN$44+$G22*BN$45)/($F22+$G22)</f>
        <v>7.6670000000000002E-2</v>
      </c>
      <c r="BQ22" s="229">
        <f t="shared" si="207"/>
        <v>7.6670000000000002E-2</v>
      </c>
      <c r="BR22" s="232">
        <f t="shared" ref="BR22:BR25" si="253">($F22+$G22)/($F$38+$G$38)*BQ22</f>
        <v>3.2964909847434123E-3</v>
      </c>
      <c r="BS22" s="232">
        <f t="shared" ref="BS22:BS25" si="254">+($F22*BQ$44+$G22*BQ$45)/($F22+$G22)</f>
        <v>8.5690000000000002E-2</v>
      </c>
      <c r="BT22" s="229">
        <f t="shared" si="208"/>
        <v>8.5690000000000002E-2</v>
      </c>
      <c r="BU22" s="232">
        <f t="shared" ref="BU22:BU25" si="255">($F22+$G22)/($F$38+$G$38)*BT22</f>
        <v>3.6843134535367549E-3</v>
      </c>
      <c r="BV22" s="232">
        <f t="shared" ref="BV22:BV25" si="256">+($F22*BT$44+$G22*BT$45)/($F22+$G22)</f>
        <v>7.060000000000001E-2</v>
      </c>
      <c r="BW22" s="229">
        <f t="shared" si="209"/>
        <v>7.060000000000001E-2</v>
      </c>
      <c r="BX22" s="232">
        <f t="shared" ref="BX22:BX25" si="257">($F22+$G22)/($F$38+$G$38)*BW22</f>
        <v>3.0355062413314846E-3</v>
      </c>
      <c r="BY22" s="232">
        <f t="shared" ref="BY22:BY25" si="258">+($F22*BW$44+$G22*BW$45)/($F22+$G22)</f>
        <v>9.7199999999999995E-2</v>
      </c>
      <c r="BZ22" s="229">
        <f t="shared" si="210"/>
        <v>9.7199999999999995E-2</v>
      </c>
      <c r="CA22" s="232">
        <f t="shared" ref="CA22:CA25" si="259">($F22+$G22)/($F$38+$G$38)*BZ22</f>
        <v>4.1791955617198331E-3</v>
      </c>
      <c r="CB22" s="232">
        <f t="shared" ref="CB22:CB25" si="260">+($F22*BZ$44+$G22*BZ$45)/($F22+$G22)</f>
        <v>0.12271</v>
      </c>
      <c r="CC22" s="229">
        <f t="shared" si="211"/>
        <v>0.12271</v>
      </c>
      <c r="CD22" s="232">
        <f t="shared" ref="CD22:CD25" si="261">($F22+$G22)/($F$38+$G$38)*CC22</f>
        <v>5.2760194174757283E-3</v>
      </c>
      <c r="CE22" s="232">
        <f t="shared" ref="CE22:CE25" si="262">+($F22*CC$44+$G22*CC$45)/($F22+$G22)</f>
        <v>0.10594000000000001</v>
      </c>
      <c r="CG22" s="201" t="s">
        <v>240</v>
      </c>
      <c r="CH22" s="202">
        <v>8.4229999999999999E-2</v>
      </c>
      <c r="CI22" s="202">
        <v>9.214E-2</v>
      </c>
      <c r="CJ22" s="203">
        <v>9.1789999999999997E-2</v>
      </c>
      <c r="CK22" s="204">
        <f t="shared" si="102"/>
        <v>0.10570028050490884</v>
      </c>
      <c r="CL22" s="198"/>
    </row>
    <row r="23" spans="1:90" x14ac:dyDescent="0.25">
      <c r="A23" s="163">
        <f t="shared" si="100"/>
        <v>17</v>
      </c>
      <c r="B23" s="164">
        <f>+A23-16</f>
        <v>1</v>
      </c>
      <c r="C23" s="164">
        <f>+C22</f>
        <v>0</v>
      </c>
      <c r="D23" s="164">
        <f>31-B23</f>
        <v>30</v>
      </c>
      <c r="E23" s="164">
        <f t="shared" si="212"/>
        <v>1</v>
      </c>
      <c r="F23" s="164">
        <f t="shared" ref="F23:F25" si="263">+F22</f>
        <v>0</v>
      </c>
      <c r="G23" s="169">
        <f t="shared" si="156"/>
        <v>30</v>
      </c>
      <c r="H23" s="169">
        <f t="shared" si="186"/>
        <v>30</v>
      </c>
      <c r="I23" s="229">
        <f t="shared" si="187"/>
        <v>9.817677419354838E-2</v>
      </c>
      <c r="J23" s="232">
        <f t="shared" si="213"/>
        <v>4.0850252785110284E-3</v>
      </c>
      <c r="K23" s="232">
        <f t="shared" si="214"/>
        <v>7.3180000000000009E-2</v>
      </c>
      <c r="L23" s="229">
        <f t="shared" si="188"/>
        <v>7.2609354838709686E-2</v>
      </c>
      <c r="M23" s="232">
        <f t="shared" si="215"/>
        <v>3.0211936826092796E-3</v>
      </c>
      <c r="N23" s="232">
        <f t="shared" si="216"/>
        <v>5.5490000000000005E-2</v>
      </c>
      <c r="O23" s="229">
        <f t="shared" si="189"/>
        <v>5.5951935483870965E-2</v>
      </c>
      <c r="P23" s="232">
        <f t="shared" si="217"/>
        <v>2.3280971768600959E-3</v>
      </c>
      <c r="Q23" s="232">
        <f t="shared" si="218"/>
        <v>6.9809999999999997E-2</v>
      </c>
      <c r="R23" s="229">
        <f t="shared" si="190"/>
        <v>6.8720645161290325E-2</v>
      </c>
      <c r="S23" s="232">
        <f t="shared" si="219"/>
        <v>2.8593888416625656E-3</v>
      </c>
      <c r="T23" s="232">
        <f t="shared" si="220"/>
        <v>3.6040000000000003E-2</v>
      </c>
      <c r="U23" s="229">
        <f t="shared" si="191"/>
        <v>3.7040322580645171E-2</v>
      </c>
      <c r="V23" s="232">
        <f t="shared" si="221"/>
        <v>1.5412062100129754E-3</v>
      </c>
      <c r="W23" s="232">
        <f t="shared" si="222"/>
        <v>6.7049999999999998E-2</v>
      </c>
      <c r="X23" s="229">
        <f t="shared" si="192"/>
        <v>6.7924516129032247E-2</v>
      </c>
      <c r="Y23" s="232">
        <f t="shared" si="223"/>
        <v>2.8262628070332423E-3</v>
      </c>
      <c r="Z23" s="232">
        <f t="shared" si="224"/>
        <v>9.4159999999999994E-2</v>
      </c>
      <c r="AA23" s="229">
        <f t="shared" si="193"/>
        <v>9.4099354838709667E-2</v>
      </c>
      <c r="AB23" s="232">
        <f t="shared" si="225"/>
        <v>3.9153684398908328E-3</v>
      </c>
      <c r="AC23" s="232">
        <f t="shared" si="226"/>
        <v>9.2280000000000001E-2</v>
      </c>
      <c r="AD23" s="229">
        <f t="shared" si="194"/>
        <v>9.217032258064517E-2</v>
      </c>
      <c r="AE23" s="232">
        <f t="shared" si="227"/>
        <v>3.8351035747841264E-3</v>
      </c>
      <c r="AF23" s="232">
        <f t="shared" si="228"/>
        <v>8.8880000000000001E-2</v>
      </c>
      <c r="AG23" s="229">
        <f t="shared" si="195"/>
        <v>8.8853225806451608E-2</v>
      </c>
      <c r="AH23" s="232">
        <f t="shared" si="229"/>
        <v>3.6970829045680281E-3</v>
      </c>
      <c r="AI23" s="232">
        <f t="shared" si="230"/>
        <v>8.8050000000000003E-2</v>
      </c>
      <c r="AJ23" s="229">
        <f t="shared" si="196"/>
        <v>8.7877419354838712E-2</v>
      </c>
      <c r="AK23" s="232">
        <f t="shared" si="231"/>
        <v>3.6564806943760911E-3</v>
      </c>
      <c r="AL23" s="232">
        <f t="shared" si="232"/>
        <v>8.270000000000001E-2</v>
      </c>
      <c r="AM23" s="229">
        <f t="shared" si="197"/>
        <v>8.2087419354838723E-2</v>
      </c>
      <c r="AN23" s="232">
        <f t="shared" si="233"/>
        <v>3.4155652990917641E-3</v>
      </c>
      <c r="AO23" s="232">
        <f t="shared" si="234"/>
        <v>6.3710000000000003E-2</v>
      </c>
      <c r="AP23" s="229">
        <f t="shared" si="198"/>
        <v>6.4113870967741932E-2</v>
      </c>
      <c r="AQ23" s="232">
        <f t="shared" si="235"/>
        <v>2.6677061429018836E-3</v>
      </c>
      <c r="AR23" s="232">
        <f t="shared" si="236"/>
        <v>7.6230000000000006E-2</v>
      </c>
      <c r="AS23" s="229">
        <f t="shared" si="199"/>
        <v>7.7468387096774199E-2</v>
      </c>
      <c r="AT23" s="232">
        <f t="shared" si="237"/>
        <v>3.2233725560377618E-3</v>
      </c>
      <c r="AU23" s="232">
        <f t="shared" si="238"/>
        <v>0.11462</v>
      </c>
      <c r="AV23" s="229">
        <f t="shared" si="200"/>
        <v>0.11363967741935484</v>
      </c>
      <c r="AW23" s="232">
        <f t="shared" si="239"/>
        <v>4.7284193100979822E-3</v>
      </c>
      <c r="AX23" s="232">
        <f t="shared" si="240"/>
        <v>8.4229999999999999E-2</v>
      </c>
      <c r="AY23" s="229">
        <f t="shared" si="201"/>
        <v>8.4862580645161292E-2</v>
      </c>
      <c r="AZ23" s="232">
        <f t="shared" si="241"/>
        <v>3.5310366426558101E-3</v>
      </c>
      <c r="BA23" s="232">
        <f t="shared" si="242"/>
        <v>0.10384</v>
      </c>
      <c r="BB23" s="229">
        <f t="shared" si="202"/>
        <v>0.10340064516129033</v>
      </c>
      <c r="BC23" s="232">
        <f t="shared" si="243"/>
        <v>4.3023846807749098E-3</v>
      </c>
      <c r="BD23" s="232">
        <f t="shared" si="244"/>
        <v>9.0219999999999995E-2</v>
      </c>
      <c r="BE23" s="229">
        <f t="shared" si="203"/>
        <v>9.1217741935483876E-2</v>
      </c>
      <c r="BF23" s="232">
        <f t="shared" si="245"/>
        <v>3.7954677643058481E-3</v>
      </c>
      <c r="BG23" s="232">
        <f t="shared" si="246"/>
        <v>0.12114999999999999</v>
      </c>
      <c r="BH23" s="229">
        <f t="shared" si="204"/>
        <v>0.12059838709677419</v>
      </c>
      <c r="BI23" s="232">
        <f t="shared" si="247"/>
        <v>5.0179634020849177E-3</v>
      </c>
      <c r="BJ23" s="232">
        <f t="shared" si="248"/>
        <v>0.10405</v>
      </c>
      <c r="BK23" s="229">
        <f t="shared" si="205"/>
        <v>0.10445161290322581</v>
      </c>
      <c r="BL23" s="232">
        <f t="shared" si="249"/>
        <v>4.3461142678179951E-3</v>
      </c>
      <c r="BM23" s="232">
        <f t="shared" si="250"/>
        <v>0.11650000000000001</v>
      </c>
      <c r="BN23" s="229">
        <f t="shared" si="206"/>
        <v>0.11521516129032258</v>
      </c>
      <c r="BO23" s="232">
        <f t="shared" si="251"/>
        <v>4.7939734240078748E-3</v>
      </c>
      <c r="BP23" s="232">
        <f t="shared" si="252"/>
        <v>7.6670000000000002E-2</v>
      </c>
      <c r="BQ23" s="229">
        <f t="shared" si="207"/>
        <v>7.696096774193549E-2</v>
      </c>
      <c r="BR23" s="232">
        <f t="shared" si="253"/>
        <v>3.2022594067379539E-3</v>
      </c>
      <c r="BS23" s="232">
        <f t="shared" si="254"/>
        <v>8.5690000000000002E-2</v>
      </c>
      <c r="BT23" s="229">
        <f t="shared" si="208"/>
        <v>8.5203225806451621E-2</v>
      </c>
      <c r="BU23" s="232">
        <f t="shared" si="255"/>
        <v>3.5452105051228138E-3</v>
      </c>
      <c r="BV23" s="232">
        <f t="shared" si="256"/>
        <v>7.0599999999999996E-2</v>
      </c>
      <c r="BW23" s="229">
        <f t="shared" si="209"/>
        <v>7.145806451612903E-2</v>
      </c>
      <c r="BX23" s="232">
        <f t="shared" si="257"/>
        <v>2.9732897856919152E-3</v>
      </c>
      <c r="BY23" s="232">
        <f t="shared" si="258"/>
        <v>9.7199999999999995E-2</v>
      </c>
      <c r="BZ23" s="229">
        <f t="shared" si="210"/>
        <v>9.8022903225806451E-2</v>
      </c>
      <c r="CA23" s="232">
        <f t="shared" si="259"/>
        <v>4.078622880408036E-3</v>
      </c>
      <c r="CB23" s="232">
        <f t="shared" si="260"/>
        <v>0.12271</v>
      </c>
      <c r="CC23" s="229">
        <f t="shared" si="211"/>
        <v>0.12216903225806451</v>
      </c>
      <c r="CD23" s="232">
        <f t="shared" si="261"/>
        <v>5.0833161827211308E-3</v>
      </c>
      <c r="CE23" s="232">
        <f t="shared" si="262"/>
        <v>0.10594000000000001</v>
      </c>
      <c r="CG23" s="11" t="s">
        <v>11</v>
      </c>
      <c r="CH23" s="22">
        <v>0.10384</v>
      </c>
      <c r="CI23" s="22">
        <v>9.6780000000000005E-2</v>
      </c>
      <c r="CJ23" s="187">
        <v>9.851E-2</v>
      </c>
      <c r="CK23" s="191">
        <f t="shared" si="102"/>
        <v>9.0742089761570832E-2</v>
      </c>
    </row>
    <row r="24" spans="1:90" x14ac:dyDescent="0.25">
      <c r="A24" s="163">
        <f t="shared" si="100"/>
        <v>18</v>
      </c>
      <c r="B24" s="164">
        <f t="shared" ref="B24:B25" si="264">+A24-16</f>
        <v>2</v>
      </c>
      <c r="C24" s="164">
        <f t="shared" ref="C24:C25" si="265">+C23</f>
        <v>0</v>
      </c>
      <c r="D24" s="164">
        <f t="shared" ref="D24:D25" si="266">31-B24</f>
        <v>29</v>
      </c>
      <c r="E24" s="164">
        <f t="shared" si="212"/>
        <v>2</v>
      </c>
      <c r="F24" s="164">
        <f t="shared" si="263"/>
        <v>0</v>
      </c>
      <c r="G24" s="169">
        <f t="shared" si="156"/>
        <v>29</v>
      </c>
      <c r="H24" s="169">
        <f t="shared" si="186"/>
        <v>29</v>
      </c>
      <c r="I24" s="229">
        <f t="shared" si="187"/>
        <v>9.7343548387096773E-2</v>
      </c>
      <c r="J24" s="232">
        <f t="shared" si="213"/>
        <v>3.9153438324907169E-3</v>
      </c>
      <c r="K24" s="232">
        <f t="shared" si="214"/>
        <v>7.3180000000000009E-2</v>
      </c>
      <c r="L24" s="229">
        <f t="shared" si="188"/>
        <v>7.2038709677419377E-2</v>
      </c>
      <c r="M24" s="232">
        <f t="shared" si="215"/>
        <v>2.8975347859156201E-3</v>
      </c>
      <c r="N24" s="232">
        <f t="shared" si="216"/>
        <v>5.5489999999999998E-2</v>
      </c>
      <c r="O24" s="229">
        <f t="shared" si="189"/>
        <v>5.641387096774194E-2</v>
      </c>
      <c r="P24" s="232">
        <f t="shared" si="217"/>
        <v>2.269073866941077E-3</v>
      </c>
      <c r="Q24" s="232">
        <f t="shared" si="218"/>
        <v>6.9810000000000011E-2</v>
      </c>
      <c r="R24" s="229">
        <f t="shared" si="190"/>
        <v>6.7631290322580653E-2</v>
      </c>
      <c r="S24" s="232">
        <f t="shared" si="219"/>
        <v>2.7202599436266838E-3</v>
      </c>
      <c r="T24" s="232">
        <f t="shared" si="220"/>
        <v>3.6040000000000003E-2</v>
      </c>
      <c r="U24" s="229">
        <f t="shared" si="191"/>
        <v>3.8040645161290326E-2</v>
      </c>
      <c r="V24" s="232">
        <f t="shared" si="221"/>
        <v>1.5300675584985015E-3</v>
      </c>
      <c r="W24" s="232">
        <f t="shared" si="222"/>
        <v>6.7049999999999998E-2</v>
      </c>
      <c r="X24" s="229">
        <f t="shared" si="192"/>
        <v>6.879903225806451E-2</v>
      </c>
      <c r="Y24" s="232">
        <f t="shared" si="223"/>
        <v>2.7672287593396268E-3</v>
      </c>
      <c r="Z24" s="232">
        <f t="shared" si="224"/>
        <v>9.4159999999999994E-2</v>
      </c>
      <c r="AA24" s="229">
        <f t="shared" si="193"/>
        <v>9.4038709677419341E-2</v>
      </c>
      <c r="AB24" s="232">
        <f t="shared" si="225"/>
        <v>3.7824168940986977E-3</v>
      </c>
      <c r="AC24" s="232">
        <f t="shared" si="226"/>
        <v>9.2280000000000001E-2</v>
      </c>
      <c r="AD24" s="229">
        <f t="shared" si="194"/>
        <v>9.2060645161290325E-2</v>
      </c>
      <c r="AE24" s="232">
        <f t="shared" si="227"/>
        <v>3.7028553532280437E-3</v>
      </c>
      <c r="AF24" s="232">
        <f t="shared" si="228"/>
        <v>8.8879999999999987E-2</v>
      </c>
      <c r="AG24" s="229">
        <f t="shared" si="195"/>
        <v>8.8826451612903215E-2</v>
      </c>
      <c r="AH24" s="232">
        <f t="shared" si="229"/>
        <v>3.5727698984385483E-3</v>
      </c>
      <c r="AI24" s="232">
        <f t="shared" si="230"/>
        <v>8.8050000000000003E-2</v>
      </c>
      <c r="AJ24" s="229">
        <f t="shared" si="196"/>
        <v>8.7704838709677421E-2</v>
      </c>
      <c r="AK24" s="232">
        <f t="shared" si="231"/>
        <v>3.5276564806943763E-3</v>
      </c>
      <c r="AL24" s="232">
        <f t="shared" si="232"/>
        <v>8.270000000000001E-2</v>
      </c>
      <c r="AM24" s="229">
        <f t="shared" si="197"/>
        <v>8.1474838709677422E-2</v>
      </c>
      <c r="AN24" s="232">
        <f t="shared" si="233"/>
        <v>3.2770739564225316E-3</v>
      </c>
      <c r="AO24" s="232">
        <f t="shared" si="234"/>
        <v>6.3710000000000003E-2</v>
      </c>
      <c r="AP24" s="229">
        <f t="shared" si="198"/>
        <v>6.451774193548386E-2</v>
      </c>
      <c r="AQ24" s="232">
        <f t="shared" si="235"/>
        <v>2.5950270681401278E-3</v>
      </c>
      <c r="AR24" s="232">
        <f t="shared" si="236"/>
        <v>7.6230000000000006E-2</v>
      </c>
      <c r="AS24" s="229">
        <f t="shared" si="199"/>
        <v>7.8706774193548393E-2</v>
      </c>
      <c r="AT24" s="232">
        <f t="shared" si="237"/>
        <v>3.1657371034853033E-3</v>
      </c>
      <c r="AU24" s="232">
        <f t="shared" si="238"/>
        <v>0.11462</v>
      </c>
      <c r="AV24" s="229">
        <f t="shared" si="200"/>
        <v>0.11265935483870969</v>
      </c>
      <c r="AW24" s="232">
        <f t="shared" si="239"/>
        <v>4.5313748825555914E-3</v>
      </c>
      <c r="AX24" s="232">
        <f t="shared" si="240"/>
        <v>8.4229999999999999E-2</v>
      </c>
      <c r="AY24" s="229">
        <f t="shared" si="201"/>
        <v>8.5495161290322585E-2</v>
      </c>
      <c r="AZ24" s="232">
        <f t="shared" si="241"/>
        <v>3.4387790255469559E-3</v>
      </c>
      <c r="BA24" s="232">
        <f t="shared" si="242"/>
        <v>0.10384000000000002</v>
      </c>
      <c r="BB24" s="229">
        <f t="shared" si="202"/>
        <v>0.10296129032258065</v>
      </c>
      <c r="BC24" s="232">
        <f t="shared" si="243"/>
        <v>4.1413001655406919E-3</v>
      </c>
      <c r="BD24" s="232">
        <f t="shared" si="244"/>
        <v>9.0219999999999995E-2</v>
      </c>
      <c r="BE24" s="229">
        <f t="shared" si="203"/>
        <v>9.2215483870967743E-2</v>
      </c>
      <c r="BF24" s="232">
        <f t="shared" si="245"/>
        <v>3.7090832624938484E-3</v>
      </c>
      <c r="BG24" s="232">
        <f t="shared" si="246"/>
        <v>0.12114999999999999</v>
      </c>
      <c r="BH24" s="229">
        <f t="shared" si="204"/>
        <v>0.12004677419354838</v>
      </c>
      <c r="BI24" s="232">
        <f t="shared" si="247"/>
        <v>4.8285110285893251E-3</v>
      </c>
      <c r="BJ24" s="232">
        <f t="shared" si="248"/>
        <v>0.10405</v>
      </c>
      <c r="BK24" s="229">
        <f t="shared" si="205"/>
        <v>0.10485322580645162</v>
      </c>
      <c r="BL24" s="232">
        <f t="shared" si="249"/>
        <v>4.217397431882243E-3</v>
      </c>
      <c r="BM24" s="232">
        <f t="shared" si="250"/>
        <v>0.11650000000000001</v>
      </c>
      <c r="BN24" s="229">
        <f t="shared" si="206"/>
        <v>0.11393032258064517</v>
      </c>
      <c r="BO24" s="232">
        <f t="shared" si="251"/>
        <v>4.5824956377790707E-3</v>
      </c>
      <c r="BP24" s="232">
        <f t="shared" si="252"/>
        <v>7.6670000000000002E-2</v>
      </c>
      <c r="BQ24" s="229">
        <f t="shared" si="207"/>
        <v>7.7251935483870965E-2</v>
      </c>
      <c r="BR24" s="232">
        <f t="shared" si="253"/>
        <v>3.1072207060086799E-3</v>
      </c>
      <c r="BS24" s="232">
        <f t="shared" si="254"/>
        <v>8.5690000000000002E-2</v>
      </c>
      <c r="BT24" s="229">
        <f t="shared" si="208"/>
        <v>8.4716451612903226E-2</v>
      </c>
      <c r="BU24" s="232">
        <f t="shared" si="255"/>
        <v>3.4074578318643465E-3</v>
      </c>
      <c r="BV24" s="232">
        <f t="shared" si="256"/>
        <v>7.0599999999999982E-2</v>
      </c>
      <c r="BW24" s="229">
        <f t="shared" si="209"/>
        <v>7.231612903225805E-2</v>
      </c>
      <c r="BX24" s="232">
        <f t="shared" si="257"/>
        <v>2.9086931233501855E-3</v>
      </c>
      <c r="BY24" s="232">
        <f t="shared" si="258"/>
        <v>9.7199999999999995E-2</v>
      </c>
      <c r="BZ24" s="229">
        <f t="shared" si="210"/>
        <v>9.8845806451612908E-2</v>
      </c>
      <c r="CA24" s="232">
        <f t="shared" si="259"/>
        <v>3.9757675271799922E-3</v>
      </c>
      <c r="CB24" s="232">
        <f t="shared" si="260"/>
        <v>0.12271</v>
      </c>
      <c r="CC24" s="229">
        <f t="shared" si="211"/>
        <v>0.12162806451612904</v>
      </c>
      <c r="CD24" s="232">
        <f t="shared" si="261"/>
        <v>4.8921135519663555E-3</v>
      </c>
      <c r="CE24" s="232">
        <f t="shared" si="262"/>
        <v>0.10594000000000001</v>
      </c>
      <c r="CG24" s="11" t="s">
        <v>12</v>
      </c>
      <c r="CH24" s="22">
        <v>9.0219999999999995E-2</v>
      </c>
      <c r="CI24" s="22">
        <v>0.10299</v>
      </c>
      <c r="CJ24" s="187">
        <v>0.1061</v>
      </c>
      <c r="CK24" s="191">
        <f t="shared" si="102"/>
        <v>9.9518653576437591E-2</v>
      </c>
    </row>
    <row r="25" spans="1:90" x14ac:dyDescent="0.25">
      <c r="A25" s="163">
        <f t="shared" si="100"/>
        <v>19</v>
      </c>
      <c r="B25" s="164">
        <f t="shared" si="264"/>
        <v>3</v>
      </c>
      <c r="C25" s="164">
        <f t="shared" si="265"/>
        <v>0</v>
      </c>
      <c r="D25" s="164">
        <f t="shared" si="266"/>
        <v>28</v>
      </c>
      <c r="E25" s="164">
        <f t="shared" si="212"/>
        <v>3</v>
      </c>
      <c r="F25" s="164">
        <f t="shared" si="263"/>
        <v>0</v>
      </c>
      <c r="G25" s="169">
        <f t="shared" si="156"/>
        <v>28</v>
      </c>
      <c r="H25" s="169">
        <f t="shared" si="186"/>
        <v>28</v>
      </c>
      <c r="I25" s="229">
        <f t="shared" si="187"/>
        <v>9.6510322580645153E-2</v>
      </c>
      <c r="J25" s="232">
        <f t="shared" si="213"/>
        <v>3.7479736924522387E-3</v>
      </c>
      <c r="K25" s="232">
        <f t="shared" si="214"/>
        <v>7.3180000000000009E-2</v>
      </c>
      <c r="L25" s="229">
        <f t="shared" si="188"/>
        <v>7.146806451612904E-2</v>
      </c>
      <c r="M25" s="232">
        <f t="shared" si="215"/>
        <v>2.7754588161603509E-3</v>
      </c>
      <c r="N25" s="232">
        <f t="shared" si="216"/>
        <v>5.5490000000000005E-2</v>
      </c>
      <c r="O25" s="229">
        <f t="shared" si="189"/>
        <v>5.6875806451612908E-2</v>
      </c>
      <c r="P25" s="232">
        <f t="shared" si="217"/>
        <v>2.2087691825869089E-3</v>
      </c>
      <c r="Q25" s="232">
        <f t="shared" si="218"/>
        <v>6.9809999999999997E-2</v>
      </c>
      <c r="R25" s="229">
        <f t="shared" si="190"/>
        <v>6.6541935483870968E-2</v>
      </c>
      <c r="S25" s="232">
        <f t="shared" si="219"/>
        <v>2.5841528343250857E-3</v>
      </c>
      <c r="T25" s="232">
        <f t="shared" si="220"/>
        <v>3.6040000000000003E-2</v>
      </c>
      <c r="U25" s="229">
        <f t="shared" si="191"/>
        <v>3.9040967741935481E-2</v>
      </c>
      <c r="V25" s="232">
        <f t="shared" si="221"/>
        <v>1.5161540870654553E-3</v>
      </c>
      <c r="W25" s="232">
        <f t="shared" si="222"/>
        <v>6.7049999999999998E-2</v>
      </c>
      <c r="X25" s="229">
        <f t="shared" si="192"/>
        <v>6.9673548387096773E-2</v>
      </c>
      <c r="Y25" s="232">
        <f t="shared" si="223"/>
        <v>2.7057688694018161E-3</v>
      </c>
      <c r="Z25" s="232">
        <f t="shared" si="224"/>
        <v>9.4159999999999994E-2</v>
      </c>
      <c r="AA25" s="229">
        <f t="shared" si="193"/>
        <v>9.3978064516129028E-2</v>
      </c>
      <c r="AB25" s="232">
        <f t="shared" si="225"/>
        <v>3.6496335734419036E-3</v>
      </c>
      <c r="AC25" s="232">
        <f t="shared" si="226"/>
        <v>9.2280000000000001E-2</v>
      </c>
      <c r="AD25" s="229">
        <f t="shared" si="194"/>
        <v>9.1950967741935494E-2</v>
      </c>
      <c r="AE25" s="232">
        <f t="shared" si="227"/>
        <v>3.5709113686188537E-3</v>
      </c>
      <c r="AF25" s="232">
        <f t="shared" si="228"/>
        <v>8.8880000000000001E-2</v>
      </c>
      <c r="AG25" s="229">
        <f t="shared" si="195"/>
        <v>8.8799677419354836E-2</v>
      </c>
      <c r="AH25" s="232">
        <f t="shared" si="229"/>
        <v>3.4485311619166922E-3</v>
      </c>
      <c r="AI25" s="232">
        <f t="shared" si="230"/>
        <v>8.8050000000000003E-2</v>
      </c>
      <c r="AJ25" s="229">
        <f t="shared" si="196"/>
        <v>8.753225806451613E-2</v>
      </c>
      <c r="AK25" s="232">
        <f t="shared" si="231"/>
        <v>3.3993109927967428E-3</v>
      </c>
      <c r="AL25" s="232">
        <f t="shared" si="232"/>
        <v>8.270000000000001E-2</v>
      </c>
      <c r="AM25" s="229">
        <f t="shared" si="197"/>
        <v>8.0862258064516135E-2</v>
      </c>
      <c r="AN25" s="232">
        <f t="shared" si="233"/>
        <v>3.1402818665831507E-3</v>
      </c>
      <c r="AO25" s="232">
        <f t="shared" si="234"/>
        <v>6.3710000000000003E-2</v>
      </c>
      <c r="AP25" s="229">
        <f t="shared" si="198"/>
        <v>6.4921612903225817E-2</v>
      </c>
      <c r="AQ25" s="232">
        <f t="shared" si="235"/>
        <v>2.5212276855621674E-3</v>
      </c>
      <c r="AR25" s="232">
        <f t="shared" si="236"/>
        <v>7.6230000000000006E-2</v>
      </c>
      <c r="AS25" s="229">
        <f t="shared" si="199"/>
        <v>7.9945161290322572E-2</v>
      </c>
      <c r="AT25" s="232">
        <f t="shared" si="237"/>
        <v>3.1046664578766045E-3</v>
      </c>
      <c r="AU25" s="232">
        <f t="shared" si="238"/>
        <v>0.11462000000000001</v>
      </c>
      <c r="AV25" s="229">
        <f t="shared" si="200"/>
        <v>0.11167903225806451</v>
      </c>
      <c r="AW25" s="232">
        <f t="shared" si="239"/>
        <v>4.3370497964296895E-3</v>
      </c>
      <c r="AX25" s="232">
        <f t="shared" si="240"/>
        <v>8.4229999999999999E-2</v>
      </c>
      <c r="AY25" s="229">
        <f t="shared" si="201"/>
        <v>8.6127741935483865E-2</v>
      </c>
      <c r="AZ25" s="232">
        <f t="shared" si="241"/>
        <v>3.3447666771061692E-3</v>
      </c>
      <c r="BA25" s="232">
        <f t="shared" si="242"/>
        <v>0.10384</v>
      </c>
      <c r="BB25" s="229">
        <f t="shared" si="202"/>
        <v>0.10252193548387097</v>
      </c>
      <c r="BC25" s="232">
        <f t="shared" si="243"/>
        <v>3.9814343877231442E-3</v>
      </c>
      <c r="BD25" s="232">
        <f t="shared" si="244"/>
        <v>9.0219999999999995E-2</v>
      </c>
      <c r="BE25" s="229">
        <f t="shared" si="203"/>
        <v>9.3213225806451611E-2</v>
      </c>
      <c r="BF25" s="232">
        <f t="shared" si="245"/>
        <v>3.6199310992796737E-3</v>
      </c>
      <c r="BG25" s="232">
        <f t="shared" si="246"/>
        <v>0.12114999999999999</v>
      </c>
      <c r="BH25" s="229">
        <f t="shared" si="204"/>
        <v>0.11949516129032257</v>
      </c>
      <c r="BI25" s="232">
        <f t="shared" si="247"/>
        <v>4.6405887879736917E-3</v>
      </c>
      <c r="BJ25" s="232">
        <f t="shared" si="248"/>
        <v>0.10405</v>
      </c>
      <c r="BK25" s="229">
        <f t="shared" si="205"/>
        <v>0.10525483870967742</v>
      </c>
      <c r="BL25" s="232">
        <f t="shared" si="249"/>
        <v>4.087566551832132E-3</v>
      </c>
      <c r="BM25" s="232">
        <f t="shared" si="250"/>
        <v>0.11650000000000001</v>
      </c>
      <c r="BN25" s="229">
        <f t="shared" si="206"/>
        <v>0.11264548387096775</v>
      </c>
      <c r="BO25" s="232">
        <f t="shared" si="251"/>
        <v>4.3745818979016599E-3</v>
      </c>
      <c r="BP25" s="232">
        <f t="shared" si="252"/>
        <v>7.6670000000000002E-2</v>
      </c>
      <c r="BQ25" s="229">
        <f t="shared" si="207"/>
        <v>7.7542903225806453E-2</v>
      </c>
      <c r="BR25" s="232">
        <f t="shared" si="253"/>
        <v>3.0113748825555901E-3</v>
      </c>
      <c r="BS25" s="232">
        <f t="shared" si="254"/>
        <v>8.5690000000000002E-2</v>
      </c>
      <c r="BT25" s="229">
        <f t="shared" si="208"/>
        <v>8.4229677419354831E-2</v>
      </c>
      <c r="BU25" s="232">
        <f t="shared" si="255"/>
        <v>3.2710554337613525E-3</v>
      </c>
      <c r="BV25" s="232">
        <f t="shared" si="256"/>
        <v>7.0599999999999996E-2</v>
      </c>
      <c r="BW25" s="229">
        <f t="shared" si="209"/>
        <v>7.3174193548387084E-2</v>
      </c>
      <c r="BX25" s="232">
        <f t="shared" si="257"/>
        <v>2.8417162543062941E-3</v>
      </c>
      <c r="BY25" s="232">
        <f t="shared" si="258"/>
        <v>9.7199999999999995E-2</v>
      </c>
      <c r="BZ25" s="229">
        <f t="shared" si="210"/>
        <v>9.9668709677419351E-2</v>
      </c>
      <c r="CA25" s="232">
        <f t="shared" si="259"/>
        <v>3.8706295020357025E-3</v>
      </c>
      <c r="CB25" s="232">
        <f t="shared" si="260"/>
        <v>0.12271</v>
      </c>
      <c r="CC25" s="229">
        <f t="shared" si="211"/>
        <v>0.12108709677419356</v>
      </c>
      <c r="CD25" s="232">
        <f t="shared" si="261"/>
        <v>4.7024115252113996E-3</v>
      </c>
      <c r="CE25" s="232">
        <f t="shared" si="262"/>
        <v>0.10594000000000001</v>
      </c>
      <c r="CG25" s="11" t="s">
        <v>13</v>
      </c>
      <c r="CH25" s="22">
        <v>0.12114999999999999</v>
      </c>
      <c r="CI25" s="22">
        <v>0.11176999999999999</v>
      </c>
      <c r="CJ25" s="187">
        <v>0.11132</v>
      </c>
      <c r="CK25" s="191">
        <f t="shared" si="102"/>
        <v>9.5871276297335203E-2</v>
      </c>
    </row>
    <row r="26" spans="1:90" x14ac:dyDescent="0.25">
      <c r="A26" s="165">
        <f t="shared" si="100"/>
        <v>20</v>
      </c>
      <c r="B26" s="167"/>
      <c r="C26" s="167"/>
      <c r="D26" s="166"/>
      <c r="E26" s="166"/>
      <c r="F26" s="166"/>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G26" s="11" t="s">
        <v>14</v>
      </c>
      <c r="CH26" s="22">
        <v>0.10405</v>
      </c>
      <c r="CI26" s="22">
        <v>0.11493</v>
      </c>
      <c r="CJ26" s="187">
        <v>0.10749</v>
      </c>
      <c r="CK26" s="191">
        <f t="shared" si="102"/>
        <v>0.11487499298737729</v>
      </c>
    </row>
    <row r="27" spans="1:90" x14ac:dyDescent="0.25">
      <c r="A27" s="165">
        <f t="shared" si="100"/>
        <v>21</v>
      </c>
      <c r="B27" s="167"/>
      <c r="C27" s="167"/>
      <c r="D27" s="166"/>
      <c r="E27" s="166"/>
      <c r="F27" s="166"/>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G27" s="11" t="s">
        <v>15</v>
      </c>
      <c r="CH27" s="22">
        <v>0.11650000000000001</v>
      </c>
      <c r="CI27" s="22">
        <v>9.3600000000000003E-2</v>
      </c>
      <c r="CJ27" s="187">
        <v>9.5449999999999993E-2</v>
      </c>
      <c r="CK27" s="191">
        <f t="shared" si="102"/>
        <v>0.10788899018232818</v>
      </c>
    </row>
    <row r="28" spans="1:90" x14ac:dyDescent="0.25">
      <c r="A28" s="163">
        <f t="shared" si="100"/>
        <v>22</v>
      </c>
      <c r="B28" s="164">
        <f t="shared" ref="B28:B32" si="267">+A28-16</f>
        <v>6</v>
      </c>
      <c r="C28" s="164">
        <f t="shared" ref="C28:C32" si="268">+C27</f>
        <v>0</v>
      </c>
      <c r="D28" s="164">
        <f>31-B28</f>
        <v>25</v>
      </c>
      <c r="E28" s="164">
        <f>31-C28-D28</f>
        <v>6</v>
      </c>
      <c r="F28" s="164">
        <f t="shared" ref="F28:F32" si="269">+F27</f>
        <v>0</v>
      </c>
      <c r="G28" s="169">
        <f t="shared" si="156"/>
        <v>25</v>
      </c>
      <c r="H28" s="169">
        <f t="shared" ref="H28:H32" si="270">SUM(F28:G28)</f>
        <v>25</v>
      </c>
      <c r="I28" s="229">
        <f t="shared" ref="I28:I32" si="271">(+$C28*I$43+$D28*I$44+$E28*I$45)/$C$40</f>
        <v>9.4010645161290332E-2</v>
      </c>
      <c r="J28" s="232">
        <f>(F28+G28)/($F$38+$G$38)*I28</f>
        <v>3.25973110822782E-3</v>
      </c>
      <c r="K28" s="232">
        <f t="shared" ref="K28:K32" si="272">+($F28*I$44+$G28*I$45)/($F28+$G28)</f>
        <v>7.3180000000000009E-2</v>
      </c>
      <c r="L28" s="229">
        <f t="shared" ref="L28:L32" si="273">(+$C28*L$43+$D28*L$44+$E28*L$45)/$C$40</f>
        <v>6.9756129032258071E-2</v>
      </c>
      <c r="M28" s="232">
        <f>($F28+$G28)/($F$38+$G$38)*L28</f>
        <v>2.4187284685248983E-3</v>
      </c>
      <c r="N28" s="232">
        <f t="shared" ref="N28:N32" si="274">+($F28*L$44+$G28*L$45)/($F28+$G28)</f>
        <v>5.5490000000000005E-2</v>
      </c>
      <c r="O28" s="229">
        <f t="shared" ref="O28:O32" si="275">(+$C28*O$43+$D28*O$44+$E28*O$45)/$C$40</f>
        <v>5.8261612903225811E-2</v>
      </c>
      <c r="P28" s="232">
        <f>($F28+$G28)/($F$38+$G$38)*O28</f>
        <v>2.0201668829135161E-3</v>
      </c>
      <c r="Q28" s="232">
        <f t="shared" ref="Q28:Q32" si="276">+($F28*O$44+$G28*O$45)/($F28+$G28)</f>
        <v>6.9809999999999997E-2</v>
      </c>
      <c r="R28" s="229">
        <f t="shared" ref="R28:R32" si="277">(+$C28*R$43+$D28*R$44+$E28*R$45)/$C$40</f>
        <v>6.3273870967741938E-2</v>
      </c>
      <c r="S28" s="232">
        <f>($F28+$G28)/($F$38+$G$38)*R28</f>
        <v>2.1939622388260035E-3</v>
      </c>
      <c r="T28" s="232">
        <f t="shared" ref="T28:T32" si="278">+($F28*R$44+$G28*R$45)/($F28+$G28)</f>
        <v>3.6040000000000003E-2</v>
      </c>
      <c r="U28" s="229">
        <f t="shared" ref="U28:U32" si="279">(+$C28*U$43+$D28*U$44+$E28*U$45)/$C$40</f>
        <v>4.2041935483870974E-2</v>
      </c>
      <c r="V28" s="232">
        <f>($F28+$G28)/($F$38+$G$38)*U28</f>
        <v>1.457764753254888E-3</v>
      </c>
      <c r="W28" s="232">
        <f t="shared" ref="W28:W32" si="280">+($F28*U$44+$G28*U$45)/($F28+$G28)</f>
        <v>6.7049999999999998E-2</v>
      </c>
      <c r="X28" s="229">
        <f t="shared" ref="X28:X32" si="281">(+$C28*X$43+$D28*X$44+$E28*X$45)/$C$40</f>
        <v>7.2297096774193534E-2</v>
      </c>
      <c r="Y28" s="232">
        <f>($F28+$G28)/($F$38+$G$38)*X28</f>
        <v>2.5068341461232154E-3</v>
      </c>
      <c r="Z28" s="232">
        <f t="shared" ref="Z28:Z32" si="282">+($F28*X$44+$G28*X$45)/($F28+$G28)</f>
        <v>9.415999999999998E-2</v>
      </c>
      <c r="AA28" s="229">
        <f t="shared" ref="AA28:AA32" si="283">(+$C28*AA$43+$D28*AA$44+$E28*AA$45)/$C$40</f>
        <v>9.3796129032258049E-2</v>
      </c>
      <c r="AB28" s="232">
        <f>($F28+$G28)/($F$38+$G$38)*AA28</f>
        <v>3.2522929622835661E-3</v>
      </c>
      <c r="AC28" s="232">
        <f t="shared" ref="AC28:AC32" si="284">+($F28*AA$44+$G28*AA$45)/($F28+$G28)</f>
        <v>9.2280000000000001E-2</v>
      </c>
      <c r="AD28" s="229">
        <f t="shared" ref="AD28:AD32" si="285">(+$C28*AD$43+$D28*AD$44+$E28*AD$45)/$C$40</f>
        <v>9.1621935483870959E-2</v>
      </c>
      <c r="AE28" s="232">
        <f>($F28+$G28)/($F$38+$G$38)*AD28</f>
        <v>3.1769048364726406E-3</v>
      </c>
      <c r="AF28" s="232">
        <f t="shared" ref="AF28:AF32" si="286">+($F28*AD$44+$G28*AD$45)/($F28+$G28)</f>
        <v>8.8880000000000001E-2</v>
      </c>
      <c r="AG28" s="229">
        <f t="shared" ref="AG28:AG32" si="287">(+$C28*AG$43+$D28*AG$44+$E28*AG$45)/$C$40</f>
        <v>8.8719354838709685E-2</v>
      </c>
      <c r="AH28" s="232">
        <f>($F28+$G28)/($F$38+$G$38)*AG28</f>
        <v>3.0762605699968682E-3</v>
      </c>
      <c r="AI28" s="232">
        <f t="shared" ref="AI28:AI32" si="288">+($F28*AG$44+$G28*AG$45)/($F28+$G28)</f>
        <v>8.8050000000000003E-2</v>
      </c>
      <c r="AJ28" s="229">
        <f t="shared" ref="AJ28:AJ32" si="289">(+$C28*AJ$43+$D28*AJ$44+$E28*AJ$45)/$C$40</f>
        <v>8.7014516129032257E-2</v>
      </c>
      <c r="AK28" s="232">
        <f>($F28+$G28)/($F$38+$G$38)*AJ28</f>
        <v>3.0171468838083304E-3</v>
      </c>
      <c r="AL28" s="232">
        <f t="shared" ref="AL28:AL32" si="290">+($F28*AJ$44+$G28*AJ$45)/($F28+$G28)</f>
        <v>8.270000000000001E-2</v>
      </c>
      <c r="AM28" s="229">
        <f t="shared" ref="AM28:AM32" si="291">(+$C28*AM$43+$D28*AM$44+$E28*AM$45)/$C$40</f>
        <v>7.9024516129032274E-2</v>
      </c>
      <c r="AN28" s="232">
        <f>($F28+$G28)/($F$38+$G$38)*AM28</f>
        <v>2.7401011140441149E-3</v>
      </c>
      <c r="AO28" s="232">
        <f t="shared" ref="AO28:AO32" si="292">+($F28*AM$44+$G28*AM$45)/($F28+$G28)</f>
        <v>6.3710000000000003E-2</v>
      </c>
      <c r="AP28" s="229">
        <f t="shared" ref="AP28:AP32" si="293">(+$C28*AP$43+$D28*AP$44+$E28*AP$45)/$C$40</f>
        <v>6.6133225806451618E-2</v>
      </c>
      <c r="AQ28" s="232">
        <f>($F28+$G28)/($F$38+$G$38)*AP28</f>
        <v>2.2931076909310545E-3</v>
      </c>
      <c r="AR28" s="232">
        <f t="shared" ref="AR28:AR32" si="294">+($F28*AP$44+$G28*AP$45)/($F28+$G28)</f>
        <v>7.6230000000000006E-2</v>
      </c>
      <c r="AS28" s="229">
        <f t="shared" ref="AS28:AS32" si="295">(+$C28*AS$43+$D28*AS$44+$E28*AS$45)/$C$40</f>
        <v>8.3660322580645166E-2</v>
      </c>
      <c r="AT28" s="232">
        <f>($F28+$G28)/($F$38+$G$38)*AS28</f>
        <v>2.9008433627130776E-3</v>
      </c>
      <c r="AU28" s="232">
        <f t="shared" ref="AU28:AU32" si="296">+($F28*AS$44+$G28*AS$45)/($F28+$G28)</f>
        <v>0.11462</v>
      </c>
      <c r="AV28" s="229">
        <f t="shared" ref="AV28:AV32" si="297">(+$C28*AV$43+$D28*AV$44+$E28*AV$45)/$C$40</f>
        <v>0.10873806451612902</v>
      </c>
      <c r="AW28" s="232">
        <f>($F28+$G28)/($F$38+$G$38)*AV28</f>
        <v>3.7703905865509369E-3</v>
      </c>
      <c r="AX28" s="232">
        <f t="shared" ref="AX28:AX32" si="298">+($F28*AV$44+$G28*AV$45)/($F28+$G28)</f>
        <v>8.4229999999999999E-2</v>
      </c>
      <c r="AY28" s="229">
        <f t="shared" ref="AY28:AY32" si="299">(+$C28*AY$43+$D28*AY$44+$E28*AY$45)/$C$40</f>
        <v>8.8025483870967744E-2</v>
      </c>
      <c r="AZ28" s="232">
        <f>($F28+$G28)/($F$38+$G$38)*AY28</f>
        <v>3.0522012437922239E-3</v>
      </c>
      <c r="BA28" s="232">
        <f t="shared" ref="BA28:BA32" si="300">+($F28*AY$44+$G28*AY$45)/($F28+$G28)</f>
        <v>0.10384</v>
      </c>
      <c r="BB28" s="229">
        <f t="shared" ref="BB28:BB32" si="301">(+$C28*BB$43+$D28*BB$44+$E28*BB$45)/$C$40</f>
        <v>0.10120387096774193</v>
      </c>
      <c r="BC28" s="232">
        <f>($F28+$G28)/($F$38+$G$38)*BB28</f>
        <v>3.5091494787705246E-3</v>
      </c>
      <c r="BD28" s="232">
        <f t="shared" ref="BD28:BD32" si="302">+($F28*BB$44+$G28*BB$45)/($F28+$G28)</f>
        <v>9.0220000000000009E-2</v>
      </c>
      <c r="BE28" s="229">
        <f t="shared" ref="BE28:BE32" si="303">(+$C28*BE$43+$D28*BE$44+$E28*BE$45)/$C$40</f>
        <v>9.6206451612903227E-2</v>
      </c>
      <c r="BF28" s="232">
        <f>($F28+$G28)/($F$38+$G$38)*BE28</f>
        <v>3.335868641224106E-3</v>
      </c>
      <c r="BG28" s="232">
        <f t="shared" ref="BG28:BG32" si="304">+($F28*BE$44+$G28*BE$45)/($F28+$G28)</f>
        <v>0.12115000000000001</v>
      </c>
      <c r="BH28" s="229">
        <f t="shared" ref="BH28:BH32" si="305">(+$C28*BH$43+$D28*BH$44+$E28*BH$45)/$C$40</f>
        <v>0.11784032258064517</v>
      </c>
      <c r="BI28" s="232">
        <f>($F28+$G28)/($F$38+$G$38)*BH28</f>
        <v>4.086002863406559E-3</v>
      </c>
      <c r="BJ28" s="232">
        <f t="shared" ref="BJ28:BJ32" si="306">+($F28*BH$44+$G28*BH$45)/($F28+$G28)</f>
        <v>0.10405000000000002</v>
      </c>
      <c r="BK28" s="229">
        <f t="shared" ref="BK28:BK32" si="307">(+$C28*BK$43+$D28*BK$44+$E28*BK$45)/$C$40</f>
        <v>0.10645967741935485</v>
      </c>
      <c r="BL28" s="232">
        <f>($F28+$G28)/($F$38+$G$38)*BK28</f>
        <v>3.6913896469956604E-3</v>
      </c>
      <c r="BM28" s="232">
        <f t="shared" ref="BM28:BM32" si="308">+($F28*BK$44+$G28*BK$45)/($F28+$G28)</f>
        <v>0.11650000000000001</v>
      </c>
      <c r="BN28" s="229">
        <f t="shared" ref="BN28:BN32" si="309">(+$C28*BN$43+$D28*BN$44+$E28*BN$45)/$C$40</f>
        <v>0.10879096774193549</v>
      </c>
      <c r="BO28" s="232">
        <f>($F28+$G28)/($F$38+$G$38)*BN28</f>
        <v>3.7722249563777906E-3</v>
      </c>
      <c r="BP28" s="232">
        <f t="shared" ref="BP28:BP32" si="310">+($F28*BN$44+$G28*BN$45)/($F28+$G28)</f>
        <v>7.6670000000000002E-2</v>
      </c>
      <c r="BQ28" s="229">
        <f t="shared" ref="BQ28:BQ32" si="311">(+$C28*BQ$43+$D28*BQ$44+$E28*BQ$45)/$C$40</f>
        <v>7.8415806451612891E-2</v>
      </c>
      <c r="BR28" s="232">
        <f>($F28+$G28)/($F$38+$G$38)*BQ28</f>
        <v>2.718994675853429E-3</v>
      </c>
      <c r="BS28" s="232">
        <f t="shared" ref="BS28:BS32" si="312">+($F28*BQ$44+$G28*BQ$45)/($F28+$G28)</f>
        <v>8.5690000000000002E-2</v>
      </c>
      <c r="BT28" s="229">
        <f t="shared" ref="BT28:BT32" si="313">(+$C28*BT$43+$D28*BT$44+$E28*BT$45)/$C$40</f>
        <v>8.2769354838709688E-2</v>
      </c>
      <c r="BU28" s="232">
        <f>($F28+$G28)/($F$38+$G$38)*BT28</f>
        <v>2.8699498903852179E-3</v>
      </c>
      <c r="BV28" s="232">
        <f t="shared" ref="BV28:BV32" si="314">+($F28*BT$44+$G28*BT$45)/($F28+$G28)</f>
        <v>7.0599999999999996E-2</v>
      </c>
      <c r="BW28" s="229">
        <f t="shared" ref="BW28:BW32" si="315">(+$C28*BW$43+$D28*BW$44+$E28*BW$45)/$C$40</f>
        <v>7.5748387096774186E-2</v>
      </c>
      <c r="BX28" s="232">
        <f>($F28+$G28)/($F$38+$G$38)*BW28</f>
        <v>2.6265044069616566E-3</v>
      </c>
      <c r="BY28" s="232">
        <f t="shared" ref="BY28:BY32" si="316">+($F28*BW$44+$G28*BW$45)/($F28+$G28)</f>
        <v>9.7199999999999995E-2</v>
      </c>
      <c r="BZ28" s="229">
        <f t="shared" ref="BZ28:BZ32" si="317">(+$C28*BZ$43+$D28*BZ$44+$E28*BZ$45)/$C$40</f>
        <v>0.10213741935483871</v>
      </c>
      <c r="CA28" s="232">
        <f>($F28+$G28)/($F$38+$G$38)*BZ28</f>
        <v>3.5415193951053641E-3</v>
      </c>
      <c r="CB28" s="232">
        <f t="shared" ref="CB28:CB32" si="318">+($F28*BZ$44+$G28*BZ$45)/($F28+$G28)</f>
        <v>0.12271000000000001</v>
      </c>
      <c r="CC28" s="229">
        <f t="shared" ref="CC28:CC32" si="319">(+$C28*CC$43+$D28*CC$44+$E28*CC$45)/$C$40</f>
        <v>0.1194641935483871</v>
      </c>
      <c r="CD28" s="232">
        <f>($F28+$G28)/($F$38+$G$38)*CC28</f>
        <v>4.1423090689454607E-3</v>
      </c>
      <c r="CE28" s="232">
        <f t="shared" ref="CE28:CE32" si="320">+($F28*CC$44+$G28*CC$45)/($F28+$G28)</f>
        <v>0.10594000000000001</v>
      </c>
      <c r="CG28" s="11" t="s">
        <v>16</v>
      </c>
      <c r="CH28" s="22">
        <v>7.6670000000000002E-2</v>
      </c>
      <c r="CI28" s="22">
        <v>8.412E-2</v>
      </c>
      <c r="CJ28" s="187">
        <v>8.3059999999999995E-2</v>
      </c>
      <c r="CK28" s="191">
        <f t="shared" si="102"/>
        <v>0.10990779803646565</v>
      </c>
    </row>
    <row r="29" spans="1:90" x14ac:dyDescent="0.25">
      <c r="A29" s="163">
        <f t="shared" si="100"/>
        <v>23</v>
      </c>
      <c r="B29" s="164">
        <f t="shared" si="267"/>
        <v>7</v>
      </c>
      <c r="C29" s="164">
        <f t="shared" si="268"/>
        <v>0</v>
      </c>
      <c r="D29" s="164">
        <f>31-B29</f>
        <v>24</v>
      </c>
      <c r="E29" s="164">
        <f t="shared" ref="E29:E32" si="321">31-C29-D29</f>
        <v>7</v>
      </c>
      <c r="F29" s="164">
        <f t="shared" si="269"/>
        <v>0</v>
      </c>
      <c r="G29" s="169">
        <f t="shared" si="156"/>
        <v>24</v>
      </c>
      <c r="H29" s="169">
        <f t="shared" si="270"/>
        <v>24</v>
      </c>
      <c r="I29" s="229">
        <f t="shared" si="271"/>
        <v>9.3177419354838711E-2</v>
      </c>
      <c r="J29" s="232">
        <f t="shared" ref="J29:J32" si="322">(F29+G29)/($F$38+$G$38)*I29</f>
        <v>3.1016061921166839E-3</v>
      </c>
      <c r="K29" s="232">
        <f t="shared" si="272"/>
        <v>7.3180000000000009E-2</v>
      </c>
      <c r="L29" s="229">
        <f t="shared" si="273"/>
        <v>6.9185483870967748E-2</v>
      </c>
      <c r="M29" s="232">
        <f t="shared" ref="M29:M32" si="323">($F29+$G29)/($F$38+$G$38)*L29</f>
        <v>2.3029842065231984E-3</v>
      </c>
      <c r="N29" s="232">
        <f t="shared" si="274"/>
        <v>5.5490000000000005E-2</v>
      </c>
      <c r="O29" s="229">
        <f t="shared" si="275"/>
        <v>5.8723548387096772E-2</v>
      </c>
      <c r="P29" s="232">
        <f t="shared" ref="P29:P32" si="324">($F29+$G29)/($F$38+$G$38)*O29</f>
        <v>1.9547367008187553E-3</v>
      </c>
      <c r="Q29" s="232">
        <f t="shared" si="276"/>
        <v>6.9809999999999997E-2</v>
      </c>
      <c r="R29" s="229">
        <f t="shared" si="277"/>
        <v>6.2184516129032259E-2</v>
      </c>
      <c r="S29" s="232">
        <f t="shared" ref="S29:S32" si="325">($F29+$G29)/($F$38+$G$38)*R29</f>
        <v>2.0699422844615454E-3</v>
      </c>
      <c r="T29" s="232">
        <f t="shared" si="278"/>
        <v>3.6040000000000003E-2</v>
      </c>
      <c r="U29" s="229">
        <f t="shared" si="279"/>
        <v>4.3042258064516135E-2</v>
      </c>
      <c r="V29" s="232">
        <f t="shared" ref="V29:V32" si="326">($F29+$G29)/($F$38+$G$38)*U29</f>
        <v>1.4327520021475552E-3</v>
      </c>
      <c r="W29" s="232">
        <f t="shared" si="280"/>
        <v>6.7049999999999998E-2</v>
      </c>
      <c r="X29" s="229">
        <f t="shared" si="281"/>
        <v>7.3171612903225811E-2</v>
      </c>
      <c r="Y29" s="232">
        <f t="shared" ref="Y29:Y32" si="327">($F29+$G29)/($F$38+$G$38)*X29</f>
        <v>2.435670887208626E-3</v>
      </c>
      <c r="Z29" s="232">
        <f t="shared" si="282"/>
        <v>9.415999999999998E-2</v>
      </c>
      <c r="AA29" s="229">
        <f t="shared" si="283"/>
        <v>9.3735483870967737E-2</v>
      </c>
      <c r="AB29" s="232">
        <f t="shared" ref="AB29:AB32" si="328">($F29+$G29)/($F$38+$G$38)*AA29</f>
        <v>3.1201825421681355E-3</v>
      </c>
      <c r="AC29" s="232">
        <f t="shared" si="284"/>
        <v>9.2279999999999987E-2</v>
      </c>
      <c r="AD29" s="229">
        <f t="shared" si="285"/>
        <v>9.1512258064516128E-2</v>
      </c>
      <c r="AE29" s="232">
        <f t="shared" ref="AE29:AE32" si="329">($F29+$G29)/($F$38+$G$38)*AD29</f>
        <v>3.0461777996510222E-3</v>
      </c>
      <c r="AF29" s="232">
        <f t="shared" si="286"/>
        <v>8.8880000000000001E-2</v>
      </c>
      <c r="AG29" s="229">
        <f t="shared" si="287"/>
        <v>8.8692580645161292E-2</v>
      </c>
      <c r="AH29" s="232">
        <f t="shared" ref="AH29:AH32" si="330">($F29+$G29)/($F$38+$G$38)*AG29</f>
        <v>2.9523189119055075E-3</v>
      </c>
      <c r="AI29" s="232">
        <f t="shared" si="288"/>
        <v>8.8050000000000003E-2</v>
      </c>
      <c r="AJ29" s="229">
        <f t="shared" si="289"/>
        <v>8.6841935483870966E-2</v>
      </c>
      <c r="AK29" s="232">
        <f t="shared" ref="AK29:AK32" si="331">($F29+$G29)/($F$38+$G$38)*AJ29</f>
        <v>2.8907162990470222E-3</v>
      </c>
      <c r="AL29" s="232">
        <f t="shared" si="290"/>
        <v>8.270000000000001E-2</v>
      </c>
      <c r="AM29" s="229">
        <f t="shared" si="291"/>
        <v>7.8411935483870973E-2</v>
      </c>
      <c r="AN29" s="232">
        <f t="shared" ref="AN29:AN32" si="332">($F29+$G29)/($F$38+$G$38)*AM29</f>
        <v>2.6101060355241379E-3</v>
      </c>
      <c r="AO29" s="232">
        <f t="shared" si="292"/>
        <v>6.3710000000000003E-2</v>
      </c>
      <c r="AP29" s="229">
        <f t="shared" si="293"/>
        <v>6.6537096774193547E-2</v>
      </c>
      <c r="AQ29" s="232">
        <f t="shared" ref="AQ29:AQ32" si="333">($F29+$G29)/($F$38+$G$38)*AP29</f>
        <v>2.2148270770882732E-3</v>
      </c>
      <c r="AR29" s="232">
        <f t="shared" si="294"/>
        <v>7.6230000000000006E-2</v>
      </c>
      <c r="AS29" s="229">
        <f t="shared" si="295"/>
        <v>8.4898709677419359E-2</v>
      </c>
      <c r="AT29" s="232">
        <f t="shared" ref="AT29:AT32" si="334">($F29+$G29)/($F$38+$G$38)*AS29</f>
        <v>2.826031944879424E-3</v>
      </c>
      <c r="AU29" s="232">
        <f t="shared" si="296"/>
        <v>0.11462</v>
      </c>
      <c r="AV29" s="229">
        <f t="shared" si="297"/>
        <v>0.10775774193548388</v>
      </c>
      <c r="AW29" s="232">
        <f t="shared" ref="AW29:AW32" si="335">($F29+$G29)/($F$38+$G$38)*AV29</f>
        <v>3.5869428660910028E-3</v>
      </c>
      <c r="AX29" s="232">
        <f t="shared" si="298"/>
        <v>8.4229999999999985E-2</v>
      </c>
      <c r="AY29" s="229">
        <f t="shared" si="299"/>
        <v>8.8658064516129023E-2</v>
      </c>
      <c r="AZ29" s="232">
        <f t="shared" ref="AZ29:AZ32" si="336">($F29+$G29)/($F$38+$G$38)*AY29</f>
        <v>2.9511699700237124E-3</v>
      </c>
      <c r="BA29" s="232">
        <f t="shared" si="300"/>
        <v>0.10384</v>
      </c>
      <c r="BB29" s="229">
        <f t="shared" si="301"/>
        <v>0.10076451612903227</v>
      </c>
      <c r="BC29" s="232">
        <f t="shared" ref="BC29:BC32" si="337">($F29+$G29)/($F$38+$G$38)*BB29</f>
        <v>3.3541586506196592E-3</v>
      </c>
      <c r="BD29" s="232">
        <f t="shared" si="302"/>
        <v>9.0220000000000009E-2</v>
      </c>
      <c r="BE29" s="229">
        <f t="shared" si="303"/>
        <v>9.7204193548387094E-2</v>
      </c>
      <c r="BF29" s="232">
        <f t="shared" ref="BF29:BF32" si="338">($F29+$G29)/($F$38+$G$38)*BE29</f>
        <v>3.2356458324012348E-3</v>
      </c>
      <c r="BG29" s="232">
        <f t="shared" si="304"/>
        <v>0.12114999999999999</v>
      </c>
      <c r="BH29" s="229">
        <f t="shared" si="305"/>
        <v>0.11728870967741936</v>
      </c>
      <c r="BI29" s="232">
        <f t="shared" ref="BI29:BI32" si="339">($F29+$G29)/($F$38+$G$38)*BH29</f>
        <v>3.9042011543107694E-3</v>
      </c>
      <c r="BJ29" s="232">
        <f t="shared" si="306"/>
        <v>0.10405000000000002</v>
      </c>
      <c r="BK29" s="229">
        <f t="shared" si="307"/>
        <v>0.10686129032258065</v>
      </c>
      <c r="BL29" s="232">
        <f t="shared" ref="BL29:BL32" si="340">($F29+$G29)/($F$38+$G$38)*BK29</f>
        <v>3.5571025904881214E-3</v>
      </c>
      <c r="BM29" s="232">
        <f t="shared" si="308"/>
        <v>0.11650000000000001</v>
      </c>
      <c r="BN29" s="229">
        <f t="shared" si="309"/>
        <v>0.10750612903225808</v>
      </c>
      <c r="BO29" s="232">
        <f t="shared" ref="BO29:BO32" si="341">($F29+$G29)/($F$38+$G$38)*BN29</f>
        <v>3.5785674019059555E-3</v>
      </c>
      <c r="BP29" s="232">
        <f t="shared" si="310"/>
        <v>7.6670000000000002E-2</v>
      </c>
      <c r="BQ29" s="229">
        <f t="shared" si="311"/>
        <v>7.8706774193548379E-2</v>
      </c>
      <c r="BR29" s="232">
        <f t="shared" ref="BR29:BR32" si="342">($F29+$G29)/($F$38+$G$38)*BQ29</f>
        <v>2.6199203615050776E-3</v>
      </c>
      <c r="BS29" s="232">
        <f t="shared" si="312"/>
        <v>8.5690000000000002E-2</v>
      </c>
      <c r="BT29" s="229">
        <f t="shared" si="313"/>
        <v>8.2282580645161307E-2</v>
      </c>
      <c r="BU29" s="232">
        <f t="shared" ref="BU29:BU32" si="343">($F29+$G29)/($F$38+$G$38)*BT29</f>
        <v>2.7389485929041209E-3</v>
      </c>
      <c r="BV29" s="232">
        <f t="shared" si="314"/>
        <v>7.0599999999999996E-2</v>
      </c>
      <c r="BW29" s="229">
        <f t="shared" si="315"/>
        <v>7.660645161290322E-2</v>
      </c>
      <c r="BX29" s="232">
        <f t="shared" ref="BX29:BX32" si="344">($F29+$G29)/($F$38+$G$38)*BW29</f>
        <v>2.5500067111091222E-3</v>
      </c>
      <c r="BY29" s="232">
        <f t="shared" si="316"/>
        <v>9.7199999999999995E-2</v>
      </c>
      <c r="BZ29" s="229">
        <f t="shared" si="317"/>
        <v>0.10296032258064516</v>
      </c>
      <c r="CA29" s="232">
        <f t="shared" ref="CA29:CA32" si="345">($F29+$G29)/($F$38+$G$38)*BZ29</f>
        <v>3.4272506822960939E-3</v>
      </c>
      <c r="CB29" s="232">
        <f t="shared" si="318"/>
        <v>0.12271</v>
      </c>
      <c r="CC29" s="229">
        <f t="shared" si="319"/>
        <v>0.11892322580645161</v>
      </c>
      <c r="CD29" s="232">
        <f t="shared" ref="CD29:CD32" si="346">($F29+$G29)/($F$38+$G$38)*CC29</f>
        <v>3.95860945818979E-3</v>
      </c>
      <c r="CE29" s="232">
        <f t="shared" si="320"/>
        <v>0.10593999999999999</v>
      </c>
      <c r="CG29" s="11" t="s">
        <v>17</v>
      </c>
      <c r="CH29" s="22">
        <v>8.5690000000000002E-2</v>
      </c>
      <c r="CI29" s="22">
        <v>7.0499999999999993E-2</v>
      </c>
      <c r="CJ29" s="187">
        <v>7.1029999999999996E-2</v>
      </c>
      <c r="CK29" s="191">
        <f t="shared" si="102"/>
        <v>8.3146072931276294E-2</v>
      </c>
    </row>
    <row r="30" spans="1:90" x14ac:dyDescent="0.25">
      <c r="A30" s="163">
        <f t="shared" si="100"/>
        <v>24</v>
      </c>
      <c r="B30" s="164">
        <f t="shared" si="267"/>
        <v>8</v>
      </c>
      <c r="C30" s="164">
        <f t="shared" si="268"/>
        <v>0</v>
      </c>
      <c r="D30" s="164">
        <f>31-B30</f>
        <v>23</v>
      </c>
      <c r="E30" s="164">
        <f t="shared" si="321"/>
        <v>8</v>
      </c>
      <c r="F30" s="164">
        <f t="shared" si="269"/>
        <v>0</v>
      </c>
      <c r="G30" s="169">
        <f t="shared" si="156"/>
        <v>23</v>
      </c>
      <c r="H30" s="169">
        <f t="shared" si="270"/>
        <v>23</v>
      </c>
      <c r="I30" s="229">
        <f t="shared" si="271"/>
        <v>9.2344193548387105E-2</v>
      </c>
      <c r="J30" s="232">
        <f t="shared" si="322"/>
        <v>2.9457925819873832E-3</v>
      </c>
      <c r="K30" s="232">
        <f t="shared" si="272"/>
        <v>7.3180000000000009E-2</v>
      </c>
      <c r="L30" s="229">
        <f t="shared" si="273"/>
        <v>6.8614838709677425E-2</v>
      </c>
      <c r="M30" s="232">
        <f t="shared" si="323"/>
        <v>2.1888228714598899E-3</v>
      </c>
      <c r="N30" s="232">
        <f t="shared" si="274"/>
        <v>5.5489999999999998E-2</v>
      </c>
      <c r="O30" s="229">
        <f t="shared" si="275"/>
        <v>5.9185483870967746E-2</v>
      </c>
      <c r="P30" s="232">
        <f t="shared" si="324"/>
        <v>1.8880251442888463E-3</v>
      </c>
      <c r="Q30" s="232">
        <f t="shared" si="276"/>
        <v>6.9809999999999997E-2</v>
      </c>
      <c r="R30" s="229">
        <f t="shared" si="277"/>
        <v>6.1095161290322574E-2</v>
      </c>
      <c r="S30" s="232">
        <f t="shared" si="325"/>
        <v>1.948944118831372E-3</v>
      </c>
      <c r="T30" s="232">
        <f t="shared" si="278"/>
        <v>3.6040000000000003E-2</v>
      </c>
      <c r="U30" s="229">
        <f t="shared" si="279"/>
        <v>4.404258064516129E-2</v>
      </c>
      <c r="V30" s="232">
        <f t="shared" si="326"/>
        <v>1.40496443112165E-3</v>
      </c>
      <c r="W30" s="232">
        <f t="shared" si="280"/>
        <v>6.7049999999999998E-2</v>
      </c>
      <c r="X30" s="229">
        <f t="shared" si="281"/>
        <v>7.404612903225806E-2</v>
      </c>
      <c r="Y30" s="232">
        <f t="shared" si="327"/>
        <v>2.3620817860498409E-3</v>
      </c>
      <c r="Z30" s="232">
        <f t="shared" si="282"/>
        <v>9.4160000000000008E-2</v>
      </c>
      <c r="AA30" s="229">
        <f t="shared" si="283"/>
        <v>9.3674838709677424E-2</v>
      </c>
      <c r="AB30" s="232">
        <f t="shared" si="328"/>
        <v>2.9882403471880453E-3</v>
      </c>
      <c r="AC30" s="232">
        <f t="shared" si="284"/>
        <v>9.2280000000000001E-2</v>
      </c>
      <c r="AD30" s="229">
        <f t="shared" si="285"/>
        <v>9.1402580645161297E-2</v>
      </c>
      <c r="AE30" s="232">
        <f t="shared" si="329"/>
        <v>2.9157549997762965E-3</v>
      </c>
      <c r="AF30" s="232">
        <f t="shared" si="286"/>
        <v>8.8879999999999987E-2</v>
      </c>
      <c r="AG30" s="229">
        <f t="shared" si="287"/>
        <v>8.86658064516129E-2</v>
      </c>
      <c r="AH30" s="232">
        <f t="shared" si="330"/>
        <v>2.8284515234217708E-3</v>
      </c>
      <c r="AI30" s="232">
        <f t="shared" si="288"/>
        <v>8.8050000000000003E-2</v>
      </c>
      <c r="AJ30" s="229">
        <f t="shared" si="289"/>
        <v>8.6669354838709675E-2</v>
      </c>
      <c r="AK30" s="232">
        <f t="shared" si="331"/>
        <v>2.7647644400697956E-3</v>
      </c>
      <c r="AL30" s="232">
        <f t="shared" si="290"/>
        <v>8.270000000000001E-2</v>
      </c>
      <c r="AM30" s="229">
        <f t="shared" si="291"/>
        <v>7.7799354838709686E-2</v>
      </c>
      <c r="AN30" s="232">
        <f t="shared" si="332"/>
        <v>2.4818102098340122E-3</v>
      </c>
      <c r="AO30" s="232">
        <f t="shared" si="292"/>
        <v>6.3710000000000003E-2</v>
      </c>
      <c r="AP30" s="229">
        <f t="shared" si="293"/>
        <v>6.6940967741935489E-2</v>
      </c>
      <c r="AQ30" s="232">
        <f t="shared" si="333"/>
        <v>2.1354261554292872E-3</v>
      </c>
      <c r="AR30" s="232">
        <f t="shared" si="294"/>
        <v>7.6230000000000006E-2</v>
      </c>
      <c r="AS30" s="229">
        <f t="shared" si="295"/>
        <v>8.6137096774193553E-2</v>
      </c>
      <c r="AT30" s="232">
        <f t="shared" si="334"/>
        <v>2.7477853339895309E-3</v>
      </c>
      <c r="AU30" s="232">
        <f t="shared" si="296"/>
        <v>0.11462</v>
      </c>
      <c r="AV30" s="229">
        <f t="shared" si="297"/>
        <v>0.10677741935483871</v>
      </c>
      <c r="AW30" s="232">
        <f t="shared" si="335"/>
        <v>3.4062144870475593E-3</v>
      </c>
      <c r="AX30" s="232">
        <f t="shared" si="298"/>
        <v>8.4229999999999999E-2</v>
      </c>
      <c r="AY30" s="229">
        <f t="shared" si="299"/>
        <v>8.9290645161290316E-2</v>
      </c>
      <c r="AZ30" s="232">
        <f t="shared" si="336"/>
        <v>2.8483839649232692E-3</v>
      </c>
      <c r="BA30" s="232">
        <f t="shared" si="300"/>
        <v>0.10384000000000002</v>
      </c>
      <c r="BB30" s="229">
        <f t="shared" si="301"/>
        <v>0.10032516129032258</v>
      </c>
      <c r="BC30" s="232">
        <f t="shared" si="337"/>
        <v>3.2003865598854639E-3</v>
      </c>
      <c r="BD30" s="232">
        <f t="shared" si="302"/>
        <v>9.0219999999999981E-2</v>
      </c>
      <c r="BE30" s="229">
        <f t="shared" si="303"/>
        <v>9.8201935483870947E-2</v>
      </c>
      <c r="BF30" s="232">
        <f t="shared" si="338"/>
        <v>3.1326553621761882E-3</v>
      </c>
      <c r="BG30" s="232">
        <f t="shared" si="304"/>
        <v>0.12114999999999999</v>
      </c>
      <c r="BH30" s="229">
        <f t="shared" si="305"/>
        <v>0.11673709677419356</v>
      </c>
      <c r="BI30" s="232">
        <f t="shared" si="339"/>
        <v>3.7239295780949399E-3</v>
      </c>
      <c r="BJ30" s="232">
        <f t="shared" si="306"/>
        <v>0.10404999999999999</v>
      </c>
      <c r="BK30" s="229">
        <f t="shared" si="307"/>
        <v>0.10726290322580645</v>
      </c>
      <c r="BL30" s="232">
        <f t="shared" si="340"/>
        <v>3.4217014898662249E-3</v>
      </c>
      <c r="BM30" s="232">
        <f t="shared" si="308"/>
        <v>0.11650000000000001</v>
      </c>
      <c r="BN30" s="229">
        <f t="shared" si="309"/>
        <v>0.10622129032258065</v>
      </c>
      <c r="BO30" s="232">
        <f t="shared" si="341"/>
        <v>3.388473893785513E-3</v>
      </c>
      <c r="BP30" s="232">
        <f t="shared" si="310"/>
        <v>7.6670000000000002E-2</v>
      </c>
      <c r="BQ30" s="229">
        <f t="shared" si="311"/>
        <v>7.8997741935483881E-2</v>
      </c>
      <c r="BR30" s="232">
        <f t="shared" si="342"/>
        <v>2.5200389244329118E-3</v>
      </c>
      <c r="BS30" s="232">
        <f t="shared" si="312"/>
        <v>8.5690000000000002E-2</v>
      </c>
      <c r="BT30" s="229">
        <f t="shared" si="313"/>
        <v>8.1795806451612912E-2</v>
      </c>
      <c r="BU30" s="232">
        <f t="shared" si="343"/>
        <v>2.6092975705784981E-3</v>
      </c>
      <c r="BV30" s="232">
        <f t="shared" si="314"/>
        <v>7.0599999999999996E-2</v>
      </c>
      <c r="BW30" s="229">
        <f t="shared" si="315"/>
        <v>7.7464516129032254E-2</v>
      </c>
      <c r="BX30" s="232">
        <f t="shared" si="344"/>
        <v>2.4711288085544269E-3</v>
      </c>
      <c r="BY30" s="232">
        <f t="shared" si="316"/>
        <v>9.7199999999999995E-2</v>
      </c>
      <c r="BZ30" s="229">
        <f t="shared" si="317"/>
        <v>0.10378322580645161</v>
      </c>
      <c r="CA30" s="232">
        <f t="shared" si="345"/>
        <v>3.3106992975705783E-3</v>
      </c>
      <c r="CB30" s="232">
        <f t="shared" si="318"/>
        <v>0.12271</v>
      </c>
      <c r="CC30" s="229">
        <f t="shared" si="319"/>
        <v>0.11838225806451613</v>
      </c>
      <c r="CD30" s="232">
        <f t="shared" si="346"/>
        <v>3.7764104514339406E-3</v>
      </c>
      <c r="CE30" s="232">
        <f t="shared" si="320"/>
        <v>0.10594000000000001</v>
      </c>
      <c r="CG30" s="11" t="s">
        <v>18</v>
      </c>
      <c r="CH30" s="22">
        <v>7.0599999999999996E-2</v>
      </c>
      <c r="CI30" s="22">
        <v>9.1480000000000006E-2</v>
      </c>
      <c r="CJ30" s="187">
        <v>9.5310000000000006E-2</v>
      </c>
      <c r="CK30" s="191">
        <f t="shared" si="102"/>
        <v>8.2613085553997198E-2</v>
      </c>
    </row>
    <row r="31" spans="1:90" x14ac:dyDescent="0.25">
      <c r="A31" s="163">
        <f t="shared" si="100"/>
        <v>25</v>
      </c>
      <c r="B31" s="164">
        <f t="shared" si="267"/>
        <v>9</v>
      </c>
      <c r="C31" s="164">
        <f t="shared" si="268"/>
        <v>0</v>
      </c>
      <c r="D31" s="164">
        <f>31-B31</f>
        <v>22</v>
      </c>
      <c r="E31" s="164">
        <f t="shared" si="321"/>
        <v>9</v>
      </c>
      <c r="F31" s="164">
        <f t="shared" si="269"/>
        <v>0</v>
      </c>
      <c r="G31" s="169">
        <f t="shared" si="156"/>
        <v>22</v>
      </c>
      <c r="H31" s="169">
        <f t="shared" si="270"/>
        <v>22</v>
      </c>
      <c r="I31" s="229">
        <f t="shared" si="271"/>
        <v>9.1510967741935484E-2</v>
      </c>
      <c r="J31" s="232">
        <f t="shared" si="322"/>
        <v>2.7922902778399175E-3</v>
      </c>
      <c r="K31" s="232">
        <f t="shared" si="272"/>
        <v>7.3180000000000009E-2</v>
      </c>
      <c r="L31" s="229">
        <f t="shared" si="273"/>
        <v>6.8044193548387102E-2</v>
      </c>
      <c r="M31" s="232">
        <f t="shared" si="323"/>
        <v>2.0762444633349742E-3</v>
      </c>
      <c r="N31" s="232">
        <f t="shared" si="274"/>
        <v>5.5490000000000012E-2</v>
      </c>
      <c r="O31" s="229">
        <f t="shared" si="275"/>
        <v>5.9647419354838714E-2</v>
      </c>
      <c r="P31" s="232">
        <f t="shared" si="324"/>
        <v>1.8200322133237888E-3</v>
      </c>
      <c r="Q31" s="232">
        <f t="shared" si="276"/>
        <v>6.9809999999999997E-2</v>
      </c>
      <c r="R31" s="229">
        <f t="shared" si="277"/>
        <v>6.0005806451612902E-2</v>
      </c>
      <c r="S31" s="232">
        <f t="shared" si="325"/>
        <v>1.8309677419354839E-3</v>
      </c>
      <c r="T31" s="232">
        <f t="shared" si="278"/>
        <v>3.6040000000000003E-2</v>
      </c>
      <c r="U31" s="229">
        <f t="shared" si="279"/>
        <v>4.5042903225806452E-2</v>
      </c>
      <c r="V31" s="232">
        <f t="shared" si="326"/>
        <v>1.3744020401771733E-3</v>
      </c>
      <c r="W31" s="232">
        <f t="shared" si="280"/>
        <v>6.7049999999999998E-2</v>
      </c>
      <c r="X31" s="229">
        <f t="shared" si="281"/>
        <v>7.4920645161290322E-2</v>
      </c>
      <c r="Y31" s="232">
        <f t="shared" si="327"/>
        <v>2.2860668426468614E-3</v>
      </c>
      <c r="Z31" s="232">
        <f t="shared" si="282"/>
        <v>9.4160000000000008E-2</v>
      </c>
      <c r="AA31" s="229">
        <f t="shared" si="283"/>
        <v>9.3614193548387098E-2</v>
      </c>
      <c r="AB31" s="232">
        <f t="shared" si="328"/>
        <v>2.8564663773432957E-3</v>
      </c>
      <c r="AC31" s="232">
        <f t="shared" si="284"/>
        <v>9.2280000000000001E-2</v>
      </c>
      <c r="AD31" s="229">
        <f t="shared" si="285"/>
        <v>9.1292903225806438E-2</v>
      </c>
      <c r="AE31" s="232">
        <f t="shared" si="329"/>
        <v>2.785636436848463E-3</v>
      </c>
      <c r="AF31" s="232">
        <f t="shared" si="286"/>
        <v>8.8880000000000001E-2</v>
      </c>
      <c r="AG31" s="229">
        <f t="shared" si="287"/>
        <v>8.8639032258064507E-2</v>
      </c>
      <c r="AH31" s="232">
        <f t="shared" si="330"/>
        <v>2.7046584045456578E-3</v>
      </c>
      <c r="AI31" s="232">
        <f t="shared" si="288"/>
        <v>8.8050000000000003E-2</v>
      </c>
      <c r="AJ31" s="229">
        <f t="shared" si="289"/>
        <v>8.6496774193548384E-2</v>
      </c>
      <c r="AK31" s="232">
        <f t="shared" si="331"/>
        <v>2.6392913068766497E-3</v>
      </c>
      <c r="AL31" s="232">
        <f t="shared" si="290"/>
        <v>8.270000000000001E-2</v>
      </c>
      <c r="AM31" s="229">
        <f t="shared" si="291"/>
        <v>7.7186774193548399E-2</v>
      </c>
      <c r="AN31" s="232">
        <f t="shared" si="332"/>
        <v>2.3552136369737377E-3</v>
      </c>
      <c r="AO31" s="232">
        <f t="shared" si="292"/>
        <v>6.3710000000000003E-2</v>
      </c>
      <c r="AP31" s="229">
        <f t="shared" si="293"/>
        <v>6.7344838709677432E-2</v>
      </c>
      <c r="AQ31" s="232">
        <f t="shared" si="333"/>
        <v>2.0549049259540966E-3</v>
      </c>
      <c r="AR31" s="232">
        <f t="shared" si="294"/>
        <v>7.6230000000000006E-2</v>
      </c>
      <c r="AS31" s="229">
        <f t="shared" si="295"/>
        <v>8.7375483870967746E-2</v>
      </c>
      <c r="AT31" s="232">
        <f t="shared" si="334"/>
        <v>2.6661035300433985E-3</v>
      </c>
      <c r="AU31" s="232">
        <f t="shared" si="296"/>
        <v>0.11462</v>
      </c>
      <c r="AV31" s="229">
        <f t="shared" si="297"/>
        <v>0.10579709677419355</v>
      </c>
      <c r="AW31" s="232">
        <f t="shared" si="335"/>
        <v>3.2282054494206075E-3</v>
      </c>
      <c r="AX31" s="232">
        <f t="shared" si="298"/>
        <v>8.4229999999999999E-2</v>
      </c>
      <c r="AY31" s="229">
        <f t="shared" si="299"/>
        <v>8.9923225806451609E-2</v>
      </c>
      <c r="AZ31" s="232">
        <f t="shared" si="336"/>
        <v>2.7438432284908952E-3</v>
      </c>
      <c r="BA31" s="232">
        <f t="shared" si="300"/>
        <v>0.10383999999999999</v>
      </c>
      <c r="BB31" s="229">
        <f t="shared" si="301"/>
        <v>9.9885806451612894E-2</v>
      </c>
      <c r="BC31" s="232">
        <f t="shared" si="337"/>
        <v>3.0478332065679383E-3</v>
      </c>
      <c r="BD31" s="232">
        <f t="shared" si="302"/>
        <v>9.0219999999999995E-2</v>
      </c>
      <c r="BE31" s="229">
        <f t="shared" si="303"/>
        <v>9.9199677419354843E-2</v>
      </c>
      <c r="BF31" s="232">
        <f t="shared" si="338"/>
        <v>3.026897230548969E-3</v>
      </c>
      <c r="BG31" s="232">
        <f t="shared" si="304"/>
        <v>0.12114999999999999</v>
      </c>
      <c r="BH31" s="229">
        <f t="shared" si="305"/>
        <v>0.11618548387096775</v>
      </c>
      <c r="BI31" s="232">
        <f t="shared" si="339"/>
        <v>3.5451881347590714E-3</v>
      </c>
      <c r="BJ31" s="232">
        <f t="shared" si="306"/>
        <v>0.10404999999999999</v>
      </c>
      <c r="BK31" s="229">
        <f t="shared" si="307"/>
        <v>0.10766451612903226</v>
      </c>
      <c r="BL31" s="232">
        <f t="shared" si="340"/>
        <v>3.2851863451299717E-3</v>
      </c>
      <c r="BM31" s="232">
        <f t="shared" si="308"/>
        <v>0.11650000000000001</v>
      </c>
      <c r="BN31" s="229">
        <f t="shared" si="309"/>
        <v>0.10493645161290324</v>
      </c>
      <c r="BO31" s="232">
        <f t="shared" si="341"/>
        <v>3.2019444320164651E-3</v>
      </c>
      <c r="BP31" s="232">
        <f t="shared" si="310"/>
        <v>7.6670000000000002E-2</v>
      </c>
      <c r="BQ31" s="229">
        <f t="shared" si="311"/>
        <v>7.9288709677419369E-2</v>
      </c>
      <c r="BR31" s="232">
        <f t="shared" si="342"/>
        <v>2.4193503646369294E-3</v>
      </c>
      <c r="BS31" s="232">
        <f t="shared" si="312"/>
        <v>8.5690000000000002E-2</v>
      </c>
      <c r="BT31" s="229">
        <f t="shared" si="313"/>
        <v>8.1309032258064504E-2</v>
      </c>
      <c r="BU31" s="232">
        <f t="shared" si="343"/>
        <v>2.4809968234083481E-3</v>
      </c>
      <c r="BV31" s="232">
        <f t="shared" si="314"/>
        <v>7.0599999999999996E-2</v>
      </c>
      <c r="BW31" s="229">
        <f t="shared" si="315"/>
        <v>7.8322580645161288E-2</v>
      </c>
      <c r="BX31" s="232">
        <f t="shared" si="344"/>
        <v>2.3898706992975705E-3</v>
      </c>
      <c r="BY31" s="232">
        <f t="shared" si="316"/>
        <v>9.7199999999999995E-2</v>
      </c>
      <c r="BZ31" s="229">
        <f t="shared" si="317"/>
        <v>0.10460612903225806</v>
      </c>
      <c r="CA31" s="232">
        <f t="shared" si="345"/>
        <v>3.1918652409288176E-3</v>
      </c>
      <c r="CB31" s="232">
        <f t="shared" si="318"/>
        <v>0.12271</v>
      </c>
      <c r="CC31" s="229">
        <f t="shared" si="319"/>
        <v>0.11784129032258064</v>
      </c>
      <c r="CD31" s="232">
        <f t="shared" si="346"/>
        <v>3.5957120486779116E-3</v>
      </c>
      <c r="CE31" s="232">
        <f t="shared" si="320"/>
        <v>0.10594000000000001</v>
      </c>
      <c r="CG31" s="11" t="s">
        <v>19</v>
      </c>
      <c r="CH31" s="22">
        <v>9.7199999999999995E-2</v>
      </c>
      <c r="CI31" s="22">
        <v>0.1178</v>
      </c>
      <c r="CJ31" s="187">
        <v>0.11226</v>
      </c>
      <c r="CK31" s="191">
        <f t="shared" si="102"/>
        <v>7.591478260869565E-2</v>
      </c>
    </row>
    <row r="32" spans="1:90" x14ac:dyDescent="0.25">
      <c r="A32" s="163">
        <f t="shared" si="100"/>
        <v>26</v>
      </c>
      <c r="B32" s="164">
        <f t="shared" si="267"/>
        <v>10</v>
      </c>
      <c r="C32" s="164">
        <f t="shared" si="268"/>
        <v>0</v>
      </c>
      <c r="D32" s="164">
        <f>31-B32</f>
        <v>21</v>
      </c>
      <c r="E32" s="164">
        <f t="shared" si="321"/>
        <v>10</v>
      </c>
      <c r="F32" s="164">
        <f t="shared" si="269"/>
        <v>0</v>
      </c>
      <c r="G32" s="169">
        <f t="shared" si="156"/>
        <v>21</v>
      </c>
      <c r="H32" s="169">
        <f t="shared" si="270"/>
        <v>21</v>
      </c>
      <c r="I32" s="229">
        <f t="shared" si="271"/>
        <v>9.0677741935483891E-2</v>
      </c>
      <c r="J32" s="232">
        <f t="shared" si="322"/>
        <v>2.6410992796742881E-3</v>
      </c>
      <c r="K32" s="232">
        <f t="shared" si="272"/>
        <v>7.3180000000000009E-2</v>
      </c>
      <c r="L32" s="229">
        <f t="shared" si="273"/>
        <v>6.7473548387096779E-2</v>
      </c>
      <c r="M32" s="232">
        <f t="shared" si="323"/>
        <v>1.96524898214845E-3</v>
      </c>
      <c r="N32" s="232">
        <f t="shared" si="274"/>
        <v>5.5490000000000005E-2</v>
      </c>
      <c r="O32" s="229">
        <f t="shared" si="275"/>
        <v>6.0109354838709682E-2</v>
      </c>
      <c r="P32" s="232">
        <f t="shared" si="324"/>
        <v>1.750757907923583E-3</v>
      </c>
      <c r="Q32" s="232">
        <f t="shared" si="276"/>
        <v>6.9809999999999997E-2</v>
      </c>
      <c r="R32" s="229">
        <f t="shared" si="277"/>
        <v>5.891645161290323E-2</v>
      </c>
      <c r="S32" s="232">
        <f t="shared" si="325"/>
        <v>1.7160131537738805E-3</v>
      </c>
      <c r="T32" s="232">
        <f t="shared" si="278"/>
        <v>3.6040000000000003E-2</v>
      </c>
      <c r="U32" s="229">
        <f t="shared" si="279"/>
        <v>4.6043225806451614E-2</v>
      </c>
      <c r="V32" s="232">
        <f t="shared" si="326"/>
        <v>1.3410648293141246E-3</v>
      </c>
      <c r="W32" s="232">
        <f t="shared" si="280"/>
        <v>6.7049999999999998E-2</v>
      </c>
      <c r="X32" s="229">
        <f t="shared" si="281"/>
        <v>7.5795161290322585E-2</v>
      </c>
      <c r="Y32" s="232">
        <f t="shared" si="327"/>
        <v>2.2076260569996869E-3</v>
      </c>
      <c r="Z32" s="232">
        <f t="shared" si="282"/>
        <v>9.4159999999999994E-2</v>
      </c>
      <c r="AA32" s="229">
        <f t="shared" si="283"/>
        <v>9.3553548387096758E-2</v>
      </c>
      <c r="AB32" s="232">
        <f t="shared" si="328"/>
        <v>2.7248606326338862E-3</v>
      </c>
      <c r="AC32" s="232">
        <f t="shared" si="284"/>
        <v>9.2280000000000001E-2</v>
      </c>
      <c r="AD32" s="229">
        <f t="shared" si="285"/>
        <v>9.118322580645162E-2</v>
      </c>
      <c r="AE32" s="232">
        <f t="shared" si="329"/>
        <v>2.655822110867523E-3</v>
      </c>
      <c r="AF32" s="232">
        <f t="shared" si="286"/>
        <v>8.8880000000000001E-2</v>
      </c>
      <c r="AG32" s="229">
        <f t="shared" si="287"/>
        <v>8.8612258064516128E-2</v>
      </c>
      <c r="AH32" s="232">
        <f t="shared" si="330"/>
        <v>2.5809395552771688E-3</v>
      </c>
      <c r="AI32" s="232">
        <f t="shared" si="288"/>
        <v>8.8050000000000003E-2</v>
      </c>
      <c r="AJ32" s="229">
        <f t="shared" si="289"/>
        <v>8.6324193548387093E-2</v>
      </c>
      <c r="AK32" s="232">
        <f t="shared" si="331"/>
        <v>2.5142968994675851E-3</v>
      </c>
      <c r="AL32" s="232">
        <f t="shared" si="290"/>
        <v>8.270000000000001E-2</v>
      </c>
      <c r="AM32" s="229">
        <f t="shared" si="291"/>
        <v>7.6574193548387098E-2</v>
      </c>
      <c r="AN32" s="232">
        <f t="shared" si="332"/>
        <v>2.2303163169433136E-3</v>
      </c>
      <c r="AO32" s="232">
        <f t="shared" si="292"/>
        <v>6.3710000000000003E-2</v>
      </c>
      <c r="AP32" s="229">
        <f t="shared" si="293"/>
        <v>6.7748709677419361E-2</v>
      </c>
      <c r="AQ32" s="232">
        <f t="shared" si="333"/>
        <v>1.9732633886627E-3</v>
      </c>
      <c r="AR32" s="232">
        <f t="shared" si="294"/>
        <v>7.6230000000000006E-2</v>
      </c>
      <c r="AS32" s="229">
        <f t="shared" si="295"/>
        <v>8.8613870967741939E-2</v>
      </c>
      <c r="AT32" s="232">
        <f t="shared" si="334"/>
        <v>2.5809865330410275E-3</v>
      </c>
      <c r="AU32" s="232">
        <f t="shared" si="296"/>
        <v>0.11462000000000001</v>
      </c>
      <c r="AV32" s="229">
        <f t="shared" si="297"/>
        <v>0.10481677419354839</v>
      </c>
      <c r="AW32" s="232">
        <f t="shared" si="335"/>
        <v>3.0529157532101473E-3</v>
      </c>
      <c r="AX32" s="232">
        <f t="shared" si="298"/>
        <v>8.4229999999999999E-2</v>
      </c>
      <c r="AY32" s="229">
        <f t="shared" si="299"/>
        <v>9.0555806451612889E-2</v>
      </c>
      <c r="AZ32" s="232">
        <f t="shared" si="336"/>
        <v>2.637547760726589E-3</v>
      </c>
      <c r="BA32" s="232">
        <f t="shared" si="300"/>
        <v>0.10384</v>
      </c>
      <c r="BB32" s="229">
        <f t="shared" si="301"/>
        <v>9.9446451612903233E-2</v>
      </c>
      <c r="BC32" s="232">
        <f t="shared" si="337"/>
        <v>2.8964985906670846E-3</v>
      </c>
      <c r="BD32" s="232">
        <f t="shared" si="302"/>
        <v>9.0219999999999995E-2</v>
      </c>
      <c r="BE32" s="229">
        <f t="shared" si="303"/>
        <v>0.1001974193548387</v>
      </c>
      <c r="BF32" s="232">
        <f t="shared" si="338"/>
        <v>2.9183714375195739E-3</v>
      </c>
      <c r="BG32" s="232">
        <f t="shared" si="304"/>
        <v>0.12114999999999998</v>
      </c>
      <c r="BH32" s="229">
        <f t="shared" si="305"/>
        <v>0.11563387096774193</v>
      </c>
      <c r="BI32" s="232">
        <f t="shared" si="339"/>
        <v>3.367976824303163E-3</v>
      </c>
      <c r="BJ32" s="232">
        <f t="shared" si="306"/>
        <v>0.10405</v>
      </c>
      <c r="BK32" s="229">
        <f t="shared" si="307"/>
        <v>0.10806612903225807</v>
      </c>
      <c r="BL32" s="232">
        <f t="shared" si="340"/>
        <v>3.1475571562793615E-3</v>
      </c>
      <c r="BM32" s="232">
        <f t="shared" si="308"/>
        <v>0.11650000000000002</v>
      </c>
      <c r="BN32" s="229">
        <f t="shared" si="309"/>
        <v>0.10365161290322582</v>
      </c>
      <c r="BO32" s="232">
        <f t="shared" si="341"/>
        <v>3.0189790165988102E-3</v>
      </c>
      <c r="BP32" s="232">
        <f t="shared" si="310"/>
        <v>7.6670000000000002E-2</v>
      </c>
      <c r="BQ32" s="229">
        <f t="shared" si="311"/>
        <v>7.957967741935483E-2</v>
      </c>
      <c r="BR32" s="232">
        <f t="shared" si="342"/>
        <v>2.3178546821171308E-3</v>
      </c>
      <c r="BS32" s="232">
        <f t="shared" si="312"/>
        <v>8.5690000000000002E-2</v>
      </c>
      <c r="BT32" s="229">
        <f t="shared" si="313"/>
        <v>8.0822258064516123E-2</v>
      </c>
      <c r="BU32" s="232">
        <f t="shared" si="343"/>
        <v>2.3540463513936735E-3</v>
      </c>
      <c r="BV32" s="232">
        <f t="shared" si="314"/>
        <v>7.0599999999999996E-2</v>
      </c>
      <c r="BW32" s="229">
        <f t="shared" si="315"/>
        <v>7.9180645161290322E-2</v>
      </c>
      <c r="BX32" s="232">
        <f t="shared" si="344"/>
        <v>2.3062323833385532E-3</v>
      </c>
      <c r="BY32" s="232">
        <f t="shared" si="316"/>
        <v>9.7199999999999995E-2</v>
      </c>
      <c r="BZ32" s="229">
        <f t="shared" si="317"/>
        <v>0.10542903225806452</v>
      </c>
      <c r="CA32" s="232">
        <f t="shared" si="345"/>
        <v>3.0707485123708115E-3</v>
      </c>
      <c r="CB32" s="232">
        <f t="shared" si="318"/>
        <v>0.12270999999999999</v>
      </c>
      <c r="CC32" s="229">
        <f t="shared" si="319"/>
        <v>0.11730032258064516</v>
      </c>
      <c r="CD32" s="232">
        <f t="shared" si="346"/>
        <v>3.4165142499217038E-3</v>
      </c>
      <c r="CE32" s="232">
        <f t="shared" si="320"/>
        <v>0.10594000000000001</v>
      </c>
      <c r="CG32" s="11" t="s">
        <v>20</v>
      </c>
      <c r="CH32" s="22">
        <v>0.12271</v>
      </c>
      <c r="CI32" s="22">
        <v>0.115</v>
      </c>
      <c r="CJ32" s="187">
        <v>0.11108999999999999</v>
      </c>
      <c r="CK32" s="191">
        <f t="shared" si="102"/>
        <v>9.6767012622720902E-2</v>
      </c>
    </row>
    <row r="33" spans="1:90" x14ac:dyDescent="0.25">
      <c r="A33" s="165">
        <f t="shared" si="100"/>
        <v>27</v>
      </c>
      <c r="B33" s="167"/>
      <c r="C33" s="167"/>
      <c r="D33" s="166"/>
      <c r="E33" s="166"/>
      <c r="F33" s="166"/>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G33" s="184" t="s">
        <v>243</v>
      </c>
      <c r="CH33" s="22">
        <v>0.10594000000000001</v>
      </c>
      <c r="CI33" s="22">
        <v>7.8719999999999998E-2</v>
      </c>
      <c r="CJ33" s="187">
        <v>8.7080000000000005E-2</v>
      </c>
      <c r="CK33" s="200">
        <f t="shared" si="102"/>
        <v>0.11720548387096774</v>
      </c>
    </row>
    <row r="34" spans="1:90" x14ac:dyDescent="0.25">
      <c r="A34" s="165">
        <f t="shared" si="100"/>
        <v>28</v>
      </c>
      <c r="B34" s="167"/>
      <c r="C34" s="167"/>
      <c r="D34" s="166"/>
      <c r="E34" s="166"/>
      <c r="F34" s="166"/>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row>
    <row r="35" spans="1:90" x14ac:dyDescent="0.25">
      <c r="A35" s="163">
        <f t="shared" si="100"/>
        <v>29</v>
      </c>
      <c r="B35" s="164">
        <f t="shared" ref="B35:B37" si="347">+A35-16</f>
        <v>13</v>
      </c>
      <c r="C35" s="164">
        <f t="shared" ref="C35:C37" si="348">+C34</f>
        <v>0</v>
      </c>
      <c r="D35" s="164">
        <f>31-B35</f>
        <v>18</v>
      </c>
      <c r="E35" s="164">
        <f t="shared" ref="E35:E37" si="349">31-C35-D35</f>
        <v>13</v>
      </c>
      <c r="F35" s="164">
        <f t="shared" ref="F35:F37" si="350">+F34</f>
        <v>0</v>
      </c>
      <c r="G35" s="169">
        <f t="shared" si="156"/>
        <v>18</v>
      </c>
      <c r="H35" s="169">
        <f t="shared" ref="H35:H39" si="351">SUM(F35:G35)</f>
        <v>18</v>
      </c>
      <c r="I35" s="229">
        <f t="shared" ref="I35:I37" si="352">(+$C35*I$43+$D35*I$44+$E35*I$45)/$C$40</f>
        <v>8.8178064516129043E-2</v>
      </c>
      <c r="J35" s="232">
        <f t="shared" ref="J35:J37" si="353">(F35+G35)/($F$38+$G$38)*I35</f>
        <v>2.201394121068409E-3</v>
      </c>
      <c r="K35" s="232">
        <f t="shared" ref="K35:K37" si="354">+($F35*I$44+$G35*I$45)/($F35+$G35)</f>
        <v>7.3180000000000009E-2</v>
      </c>
      <c r="L35" s="229">
        <f t="shared" ref="L35:L37" si="355">(+$C35*L$43+$D35*L$44+$E35*L$45)/$C$40</f>
        <v>6.5761612903225811E-2</v>
      </c>
      <c r="M35" s="232">
        <f t="shared" ref="M35:M37" si="356">($F35+$G35)/($F$38+$G$38)*L35</f>
        <v>1.6417601002192295E-3</v>
      </c>
      <c r="N35" s="232">
        <f t="shared" ref="N35:N37" si="357">+($F35*L$44+$G35*L$45)/($F35+$G35)</f>
        <v>5.5490000000000005E-2</v>
      </c>
      <c r="O35" s="229">
        <f t="shared" ref="O35:O37" si="358">(+$C35*O$43+$D35*O$44+$E35*O$45)/$C$40</f>
        <v>6.1495161290322578E-2</v>
      </c>
      <c r="P35" s="232">
        <f t="shared" ref="P35:P37" si="359">($F35+$G35)/($F$38+$G$38)*O35</f>
        <v>1.5352467451120754E-3</v>
      </c>
      <c r="Q35" s="232">
        <f t="shared" ref="Q35:Q37" si="360">+($F35*O$44+$G35*O$45)/($F35+$G35)</f>
        <v>6.9809999999999997E-2</v>
      </c>
      <c r="R35" s="229">
        <f t="shared" ref="R35:R37" si="361">(+$C35*R$43+$D35*R$44+$E35*R$45)/$C$40</f>
        <v>5.5648387096774193E-2</v>
      </c>
      <c r="S35" s="232">
        <f t="shared" ref="S35:S37" si="362">($F35+$G35)/($F$38+$G$38)*R35</f>
        <v>1.3892801216947787E-3</v>
      </c>
      <c r="T35" s="232">
        <f t="shared" ref="T35:T37" si="363">+($F35*R$44+$G35*R$45)/($F35+$G35)</f>
        <v>3.6040000000000003E-2</v>
      </c>
      <c r="U35" s="229">
        <f t="shared" ref="U35:U37" si="364">(+$C35*U$43+$D35*U$44+$E35*U$45)/$C$40</f>
        <v>4.9044193548387106E-2</v>
      </c>
      <c r="V35" s="232">
        <f t="shared" ref="V35:V37" si="365">($F35+$G35)/($F$38+$G$38)*U35</f>
        <v>1.2244042772135478E-3</v>
      </c>
      <c r="W35" s="232">
        <f t="shared" ref="W35:W37" si="366">+($F35*U$44+$G35*U$45)/($F35+$G35)</f>
        <v>6.7049999999999998E-2</v>
      </c>
      <c r="X35" s="229">
        <f t="shared" ref="X35:X37" si="367">(+$C35*X$43+$D35*X$44+$E35*X$45)/$C$40</f>
        <v>7.8418709677419346E-2</v>
      </c>
      <c r="Y35" s="232">
        <f t="shared" ref="Y35:Y37" si="368">($F35+$G35)/($F$38+$G$38)*X35</f>
        <v>1.9577486465929932E-3</v>
      </c>
      <c r="Z35" s="232">
        <f t="shared" ref="Z35:Z37" si="369">+($F35*X$44+$G35*X$45)/($F35+$G35)</f>
        <v>9.4159999999999994E-2</v>
      </c>
      <c r="AA35" s="229">
        <f t="shared" ref="AA35:AA37" si="370">(+$C35*AA$43+$D35*AA$44+$E35*AA$45)/$C$40</f>
        <v>9.3371612903225806E-2</v>
      </c>
      <c r="AB35" s="232">
        <f t="shared" ref="AB35:AB37" si="371">($F35+$G35)/($F$38+$G$38)*AA35</f>
        <v>2.3310527493177039E-3</v>
      </c>
      <c r="AC35" s="232">
        <f t="shared" ref="AC35:AC37" si="372">+($F35*AA$44+$G35*AA$45)/($F35+$G35)</f>
        <v>9.2280000000000001E-2</v>
      </c>
      <c r="AD35" s="229">
        <f t="shared" ref="AD35:AD37" si="373">(+$C35*AD$43+$D35*AD$44+$E35*AD$45)/$C$40</f>
        <v>9.0854193548387113E-2</v>
      </c>
      <c r="AE35" s="232">
        <f t="shared" ref="AE35:AE37" si="374">($F35+$G35)/($F$38+$G$38)*AD35</f>
        <v>2.2682045546060584E-3</v>
      </c>
      <c r="AF35" s="232">
        <f t="shared" ref="AF35:AF37" si="375">+($F35*AD$44+$G35*AD$45)/($F35+$G35)</f>
        <v>8.8880000000000001E-2</v>
      </c>
      <c r="AG35" s="229">
        <f t="shared" ref="AG35:AG37" si="376">(+$C35*AG$43+$D35*AG$44+$E35*AG$45)/$C$40</f>
        <v>8.8531935483870963E-2</v>
      </c>
      <c r="AH35" s="232">
        <f t="shared" ref="AH35:AH37" si="377">($F35+$G35)/($F$38+$G$38)*AG35</f>
        <v>2.2102286251174442E-3</v>
      </c>
      <c r="AI35" s="232">
        <f t="shared" ref="AI35:AI37" si="378">+($F35*AG$44+$G35*AG$45)/($F35+$G35)</f>
        <v>8.8050000000000003E-2</v>
      </c>
      <c r="AJ35" s="229">
        <f t="shared" ref="AJ35:AJ37" si="379">(+$C35*AJ$43+$D35*AJ$44+$E35*AJ$45)/$C$40</f>
        <v>8.5806451612903234E-2</v>
      </c>
      <c r="AK35" s="232">
        <f t="shared" ref="AK35:AK37" si="380">($F35+$G35)/($F$38+$G$38)*AJ35</f>
        <v>2.1421860319448794E-3</v>
      </c>
      <c r="AL35" s="232">
        <f t="shared" ref="AL35:AL37" si="381">+($F35*AJ$44+$G35*AJ$45)/($F35+$G35)</f>
        <v>8.270000000000001E-2</v>
      </c>
      <c r="AM35" s="229">
        <f t="shared" ref="AM35:AM37" si="382">(+$C35*AM$43+$D35*AM$44+$E35*AM$45)/$C$40</f>
        <v>7.4736451612903237E-2</v>
      </c>
      <c r="AN35" s="232">
        <f t="shared" ref="AN35:AN37" si="383">($F35+$G35)/($F$38+$G$38)*AM35</f>
        <v>1.8658198738311488E-3</v>
      </c>
      <c r="AO35" s="232">
        <f t="shared" ref="AO35:AO37" si="384">+($F35*AM$44+$G35*AM$45)/($F35+$G35)</f>
        <v>6.3710000000000003E-2</v>
      </c>
      <c r="AP35" s="229">
        <f t="shared" ref="AP35:AP37" si="385">(+$C35*AP$43+$D35*AP$44+$E35*AP$45)/$C$40</f>
        <v>6.8960322580645161E-2</v>
      </c>
      <c r="AQ35" s="232">
        <f t="shared" ref="AQ35:AQ37" si="386">($F35+$G35)/($F$38+$G$38)*AP35</f>
        <v>1.7216169298912799E-3</v>
      </c>
      <c r="AR35" s="232">
        <f t="shared" ref="AR35:AR37" si="387">+($F35*AP$44+$G35*AP$45)/($F35+$G35)</f>
        <v>7.6230000000000006E-2</v>
      </c>
      <c r="AS35" s="229">
        <f t="shared" ref="AS35:AS37" si="388">(+$C35*AS$43+$D35*AS$44+$E35*AS$45)/$C$40</f>
        <v>9.232903225806452E-2</v>
      </c>
      <c r="AT35" s="232">
        <f t="shared" ref="AT35:AT37" si="389">($F35+$G35)/($F$38+$G$38)*AS35</f>
        <v>2.3050243836964788E-3</v>
      </c>
      <c r="AU35" s="232">
        <f t="shared" ref="AU35:AU37" si="390">+($F35*AS$44+$G35*AS$45)/($F35+$G35)</f>
        <v>0.11462</v>
      </c>
      <c r="AV35" s="229">
        <f t="shared" ref="AV35:AV37" si="391">(+$C35*AV$43+$D35*AV$44+$E35*AV$45)/$C$40</f>
        <v>0.1018758064516129</v>
      </c>
      <c r="AW35" s="232">
        <f t="shared" ref="AW35:AW37" si="392">($F35+$G35)/($F$38+$G$38)*AV35</f>
        <v>2.5433627130777145E-3</v>
      </c>
      <c r="AX35" s="232">
        <f t="shared" ref="AX35:AX37" si="393">+($F35*AV$44+$G35*AV$45)/($F35+$G35)</f>
        <v>8.4229999999999999E-2</v>
      </c>
      <c r="AY35" s="229">
        <f t="shared" ref="AY35:AY37" si="394">(+$C35*AY$43+$D35*AY$44+$E35*AY$45)/$C$40</f>
        <v>9.2453548387096782E-2</v>
      </c>
      <c r="AZ35" s="232">
        <f t="shared" ref="AZ35:AZ37" si="395">($F35+$G35)/($F$38+$G$38)*AY35</f>
        <v>2.3081329694420831E-3</v>
      </c>
      <c r="BA35" s="232">
        <f t="shared" ref="BA35:BA37" si="396">+($F35*AY$44+$G35*AY$45)/($F35+$G35)</f>
        <v>0.10384</v>
      </c>
      <c r="BB35" s="229">
        <f t="shared" ref="BB35:BB37" si="397">(+$C35*BB$43+$D35*BB$44+$E35*BB$45)/$C$40</f>
        <v>9.8128387096774197E-2</v>
      </c>
      <c r="BC35" s="232">
        <f t="shared" ref="BC35:BC37" si="398">($F35+$G35)/($F$38+$G$38)*BB35</f>
        <v>2.4498071674645431E-3</v>
      </c>
      <c r="BD35" s="232">
        <f t="shared" ref="BD35:BD37" si="399">+($F35*BB$44+$G35*BB$45)/($F35+$G35)</f>
        <v>9.0219999999999995E-2</v>
      </c>
      <c r="BE35" s="229">
        <f t="shared" ref="BE35:BE37" si="400">(+$C35*BE$43+$D35*BE$44+$E35*BE$45)/$C$40</f>
        <v>0.10319064516129031</v>
      </c>
      <c r="BF35" s="232">
        <f t="shared" ref="BF35:BF37" si="401">($F35+$G35)/($F$38+$G$38)*BE35</f>
        <v>2.5761880900183436E-3</v>
      </c>
      <c r="BG35" s="232">
        <f t="shared" ref="BG35:BG37" si="402">+($F35*BE$44+$G35*BE$45)/($F35+$G35)</f>
        <v>0.12114999999999999</v>
      </c>
      <c r="BH35" s="229">
        <f t="shared" ref="BH35:BH37" si="403">(+$C35*BH$43+$D35*BH$44+$E35*BH$45)/$C$40</f>
        <v>0.11397903225806452</v>
      </c>
      <c r="BI35" s="232">
        <f t="shared" ref="BI35:BI37" si="404">($F35+$G35)/($F$38+$G$38)*BH35</f>
        <v>2.8455236902152031E-3</v>
      </c>
      <c r="BJ35" s="232">
        <f t="shared" ref="BJ35:BJ37" si="405">+($F35*BH$44+$G35*BH$45)/($F35+$G35)</f>
        <v>0.10405</v>
      </c>
      <c r="BK35" s="229">
        <f t="shared" ref="BK35:BK37" si="406">(+$C35*BK$43+$D35*BK$44+$E35*BK$45)/$C$40</f>
        <v>0.1092709677419355</v>
      </c>
      <c r="BL35" s="232">
        <f t="shared" ref="BL35:BL37" si="407">($F35+$G35)/($F$38+$G$38)*BK35</f>
        <v>2.7279853250413853E-3</v>
      </c>
      <c r="BM35" s="232">
        <f t="shared" ref="BM35:BM37" si="408">+($F35*BK$44+$G35*BK$45)/($F35+$G35)</f>
        <v>0.11649999999999999</v>
      </c>
      <c r="BN35" s="229">
        <f t="shared" ref="BN35:BN37" si="409">(+$C35*BN$43+$D35*BN$44+$E35*BN$45)/$C$40</f>
        <v>9.9797096774193544E-2</v>
      </c>
      <c r="BO35" s="232">
        <f t="shared" ref="BO35:BO37" si="410">($F35+$G35)/($F$38+$G$38)*BN35</f>
        <v>2.4914670484542079E-3</v>
      </c>
      <c r="BP35" s="232">
        <f t="shared" ref="BP35:BP37" si="411">+($F35*BN$44+$G35*BN$45)/($F35+$G35)</f>
        <v>7.6670000000000002E-2</v>
      </c>
      <c r="BQ35" s="229">
        <f t="shared" ref="BQ35:BQ37" si="412">(+$C35*BQ$43+$D35*BQ$44+$E35*BQ$45)/$C$40</f>
        <v>8.0452580645161309E-2</v>
      </c>
      <c r="BR35" s="232">
        <f t="shared" ref="BR35:BR37" si="413">($F35+$G35)/($F$38+$G$38)*BQ35</f>
        <v>2.0085248982148452E-3</v>
      </c>
      <c r="BS35" s="232">
        <f t="shared" ref="BS35:BS37" si="414">+($F35*BQ$44+$G35*BQ$45)/($F35+$G35)</f>
        <v>8.5690000000000002E-2</v>
      </c>
      <c r="BT35" s="229">
        <f t="shared" ref="BT35:BT37" si="415">(+$C35*BT$43+$D35*BT$44+$E35*BT$45)/$C$40</f>
        <v>7.9361935483870966E-2</v>
      </c>
      <c r="BU35" s="232">
        <f t="shared" ref="BU35:BU37" si="416">($F35+$G35)/($F$38+$G$38)*BT35</f>
        <v>1.9812965862824931E-3</v>
      </c>
      <c r="BV35" s="232">
        <f t="shared" ref="BV35:BV37" si="417">+($F35*BT$44+$G35*BT$45)/($F35+$G35)</f>
        <v>7.0599999999999996E-2</v>
      </c>
      <c r="BW35" s="229">
        <f t="shared" ref="BW35:BW37" si="418">(+$C35*BW$43+$D35*BW$44+$E35*BW$45)/$C$40</f>
        <v>8.175483870967741E-2</v>
      </c>
      <c r="BX35" s="232">
        <f t="shared" ref="BX35:BX37" si="419">($F35+$G35)/($F$38+$G$38)*BW35</f>
        <v>2.0410361952485343E-3</v>
      </c>
      <c r="BY35" s="232">
        <f t="shared" ref="BY35:BY37" si="420">+($F35*BW$44+$G35*BW$45)/($F35+$G35)</f>
        <v>9.7199999999999995E-2</v>
      </c>
      <c r="BZ35" s="229">
        <f t="shared" ref="BZ35:BZ37" si="421">(+$C35*BZ$43+$D35*BZ$44+$E35*BZ$45)/$C$40</f>
        <v>0.10789774193548388</v>
      </c>
      <c r="CA35" s="232">
        <f t="shared" ref="CA35:CA37" si="422">($F35+$G35)/($F$38+$G$38)*BZ35</f>
        <v>2.6937022951993199E-3</v>
      </c>
      <c r="CB35" s="232">
        <f t="shared" ref="CB35:CB37" si="423">+($F35*BZ$44+$G35*BZ$45)/($F35+$G35)</f>
        <v>0.12271</v>
      </c>
      <c r="CC35" s="229">
        <f t="shared" ref="CC35:CC37" si="424">(+$C35*CC$43+$D35*CC$44+$E35*CC$45)/$C$40</f>
        <v>0.11567741935483872</v>
      </c>
      <c r="CD35" s="232">
        <f t="shared" ref="CD35:CD37" si="425">($F35+$G35)/($F$38+$G$38)*CC35</f>
        <v>2.8879244776520065E-3</v>
      </c>
      <c r="CE35" s="232">
        <f t="shared" ref="CE35:CE37" si="426">+($F35*CC$44+$G35*CC$45)/($F35+$G35)</f>
        <v>0.10594000000000001</v>
      </c>
    </row>
    <row r="36" spans="1:90" x14ac:dyDescent="0.25">
      <c r="A36" s="163">
        <f>+A35+1</f>
        <v>30</v>
      </c>
      <c r="B36" s="164">
        <f t="shared" si="347"/>
        <v>14</v>
      </c>
      <c r="C36" s="164">
        <f t="shared" si="348"/>
        <v>0</v>
      </c>
      <c r="D36" s="164">
        <f>31-B36</f>
        <v>17</v>
      </c>
      <c r="E36" s="164">
        <f t="shared" si="349"/>
        <v>14</v>
      </c>
      <c r="F36" s="164">
        <f t="shared" si="350"/>
        <v>0</v>
      </c>
      <c r="G36" s="169">
        <f t="shared" si="156"/>
        <v>17</v>
      </c>
      <c r="H36" s="169">
        <f t="shared" si="351"/>
        <v>17</v>
      </c>
      <c r="I36" s="229">
        <f t="shared" si="352"/>
        <v>8.7344838709677436E-2</v>
      </c>
      <c r="J36" s="232">
        <f t="shared" si="353"/>
        <v>2.0594483468301199E-3</v>
      </c>
      <c r="K36" s="232">
        <f t="shared" si="354"/>
        <v>7.3180000000000009E-2</v>
      </c>
      <c r="L36" s="229">
        <f t="shared" si="355"/>
        <v>6.5190967741935488E-2</v>
      </c>
      <c r="M36" s="232">
        <f t="shared" si="356"/>
        <v>1.5370963267862736E-3</v>
      </c>
      <c r="N36" s="232">
        <f t="shared" si="357"/>
        <v>5.5490000000000005E-2</v>
      </c>
      <c r="O36" s="229">
        <f t="shared" si="358"/>
        <v>6.1957096774193553E-2</v>
      </c>
      <c r="P36" s="232">
        <f t="shared" si="359"/>
        <v>1.4608469419712766E-3</v>
      </c>
      <c r="Q36" s="232">
        <f t="shared" si="360"/>
        <v>6.9809999999999997E-2</v>
      </c>
      <c r="R36" s="229">
        <f t="shared" si="361"/>
        <v>5.4559032258064508E-2</v>
      </c>
      <c r="S36" s="232">
        <f t="shared" si="362"/>
        <v>1.2864126884703144E-3</v>
      </c>
      <c r="T36" s="232">
        <f t="shared" si="363"/>
        <v>3.6040000000000003E-2</v>
      </c>
      <c r="U36" s="229">
        <f t="shared" si="364"/>
        <v>5.0044516129032254E-2</v>
      </c>
      <c r="V36" s="232">
        <f t="shared" si="365"/>
        <v>1.1799677866762112E-3</v>
      </c>
      <c r="W36" s="232">
        <f t="shared" si="366"/>
        <v>6.7049999999999998E-2</v>
      </c>
      <c r="X36" s="229">
        <f t="shared" si="367"/>
        <v>7.9293225806451609E-2</v>
      </c>
      <c r="Y36" s="232">
        <f t="shared" si="368"/>
        <v>1.8696044919690393E-3</v>
      </c>
      <c r="Z36" s="232">
        <f t="shared" si="369"/>
        <v>9.4159999999999994E-2</v>
      </c>
      <c r="AA36" s="229">
        <f t="shared" si="370"/>
        <v>9.3310967741935494E-2</v>
      </c>
      <c r="AB36" s="232">
        <f t="shared" si="371"/>
        <v>2.2001199051496579E-3</v>
      </c>
      <c r="AC36" s="232">
        <f t="shared" si="372"/>
        <v>9.2280000000000001E-2</v>
      </c>
      <c r="AD36" s="229">
        <f t="shared" si="373"/>
        <v>9.0744516129032268E-2</v>
      </c>
      <c r="AE36" s="232">
        <f t="shared" si="374"/>
        <v>2.1396071764126887E-3</v>
      </c>
      <c r="AF36" s="232">
        <f t="shared" si="375"/>
        <v>8.8880000000000001E-2</v>
      </c>
      <c r="AG36" s="229">
        <f t="shared" si="376"/>
        <v>8.8505161290322584E-2</v>
      </c>
      <c r="AH36" s="232">
        <f t="shared" si="377"/>
        <v>2.0868068542794506E-3</v>
      </c>
      <c r="AI36" s="232">
        <f t="shared" si="378"/>
        <v>8.8050000000000003E-2</v>
      </c>
      <c r="AJ36" s="229">
        <f t="shared" si="379"/>
        <v>8.5633870967741943E-2</v>
      </c>
      <c r="AK36" s="232">
        <f t="shared" si="380"/>
        <v>2.01910652767214E-3</v>
      </c>
      <c r="AL36" s="232">
        <f t="shared" si="381"/>
        <v>8.270000000000001E-2</v>
      </c>
      <c r="AM36" s="229">
        <f t="shared" si="382"/>
        <v>7.412387096774195E-2</v>
      </c>
      <c r="AN36" s="232">
        <f t="shared" si="383"/>
        <v>1.7477195651201293E-3</v>
      </c>
      <c r="AO36" s="232">
        <f t="shared" si="384"/>
        <v>6.3710000000000003E-2</v>
      </c>
      <c r="AP36" s="229">
        <f t="shared" si="385"/>
        <v>6.9364193548387104E-2</v>
      </c>
      <c r="AQ36" s="232">
        <f t="shared" si="386"/>
        <v>1.6354941613350635E-3</v>
      </c>
      <c r="AR36" s="232">
        <f t="shared" si="387"/>
        <v>7.6230000000000006E-2</v>
      </c>
      <c r="AS36" s="229">
        <f t="shared" si="388"/>
        <v>9.3567419354838713E-2</v>
      </c>
      <c r="AT36" s="232">
        <f t="shared" si="389"/>
        <v>2.2061666144691512E-3</v>
      </c>
      <c r="AU36" s="232">
        <f t="shared" si="390"/>
        <v>0.11462</v>
      </c>
      <c r="AV36" s="229">
        <f t="shared" si="391"/>
        <v>0.10089548387096774</v>
      </c>
      <c r="AW36" s="232">
        <f t="shared" si="392"/>
        <v>2.3789503825332198E-3</v>
      </c>
      <c r="AX36" s="232">
        <f t="shared" si="393"/>
        <v>8.4229999999999999E-2</v>
      </c>
      <c r="AY36" s="229">
        <f t="shared" si="394"/>
        <v>9.3086129032258075E-2</v>
      </c>
      <c r="AZ36" s="232">
        <f t="shared" si="395"/>
        <v>2.1948185763500517E-3</v>
      </c>
      <c r="BA36" s="232">
        <f t="shared" si="396"/>
        <v>0.10384</v>
      </c>
      <c r="BB36" s="229">
        <f t="shared" si="397"/>
        <v>9.7689032258064523E-2</v>
      </c>
      <c r="BC36" s="232">
        <f t="shared" si="398"/>
        <v>2.30334750123037E-3</v>
      </c>
      <c r="BD36" s="232">
        <f t="shared" si="399"/>
        <v>9.0219999999999995E-2</v>
      </c>
      <c r="BE36" s="229">
        <f t="shared" si="400"/>
        <v>0.10418838709677419</v>
      </c>
      <c r="BF36" s="232">
        <f t="shared" si="401"/>
        <v>2.4565916513802515E-3</v>
      </c>
      <c r="BG36" s="232">
        <f t="shared" si="402"/>
        <v>0.12114999999999998</v>
      </c>
      <c r="BH36" s="229">
        <f t="shared" si="403"/>
        <v>0.1134274193548387</v>
      </c>
      <c r="BI36" s="232">
        <f t="shared" si="404"/>
        <v>2.6744329112791372E-3</v>
      </c>
      <c r="BJ36" s="232">
        <f t="shared" si="405"/>
        <v>0.10405</v>
      </c>
      <c r="BK36" s="229">
        <f t="shared" si="406"/>
        <v>0.10967258064516129</v>
      </c>
      <c r="BL36" s="232">
        <f t="shared" si="407"/>
        <v>2.5858999597333453E-3</v>
      </c>
      <c r="BM36" s="232">
        <f t="shared" si="408"/>
        <v>0.11650000000000001</v>
      </c>
      <c r="BN36" s="229">
        <f t="shared" si="409"/>
        <v>9.8512258064516148E-2</v>
      </c>
      <c r="BO36" s="232">
        <f t="shared" si="410"/>
        <v>2.3227578184421283E-3</v>
      </c>
      <c r="BP36" s="232">
        <f t="shared" si="411"/>
        <v>7.6670000000000002E-2</v>
      </c>
      <c r="BQ36" s="229">
        <f t="shared" si="412"/>
        <v>8.074354838709677E-2</v>
      </c>
      <c r="BR36" s="232">
        <f t="shared" si="413"/>
        <v>1.9038007247997851E-3</v>
      </c>
      <c r="BS36" s="232">
        <f t="shared" si="414"/>
        <v>8.5690000000000002E-2</v>
      </c>
      <c r="BT36" s="229">
        <f t="shared" si="415"/>
        <v>7.8875161290322571E-2</v>
      </c>
      <c r="BU36" s="232">
        <f t="shared" si="416"/>
        <v>1.8597472148897138E-3</v>
      </c>
      <c r="BV36" s="232">
        <f t="shared" si="417"/>
        <v>7.0599999999999996E-2</v>
      </c>
      <c r="BW36" s="229">
        <f t="shared" si="418"/>
        <v>8.2612903225806444E-2</v>
      </c>
      <c r="BX36" s="232">
        <f t="shared" si="419"/>
        <v>1.9478770524808731E-3</v>
      </c>
      <c r="BY36" s="232">
        <f t="shared" si="420"/>
        <v>9.7199999999999995E-2</v>
      </c>
      <c r="BZ36" s="229">
        <f t="shared" si="421"/>
        <v>0.10872064516129031</v>
      </c>
      <c r="CA36" s="232">
        <f t="shared" si="422"/>
        <v>2.5634548789763316E-3</v>
      </c>
      <c r="CB36" s="232">
        <f t="shared" si="423"/>
        <v>0.12270999999999999</v>
      </c>
      <c r="CC36" s="229">
        <f t="shared" si="424"/>
        <v>0.11513645161290323</v>
      </c>
      <c r="CD36" s="232">
        <f t="shared" si="425"/>
        <v>2.714729094895083E-3</v>
      </c>
      <c r="CE36" s="232">
        <f t="shared" si="426"/>
        <v>0.10594000000000001</v>
      </c>
    </row>
    <row r="37" spans="1:90" x14ac:dyDescent="0.25">
      <c r="A37" s="163">
        <f t="shared" si="100"/>
        <v>31</v>
      </c>
      <c r="B37" s="164">
        <f t="shared" si="347"/>
        <v>15</v>
      </c>
      <c r="C37" s="164">
        <f t="shared" si="348"/>
        <v>0</v>
      </c>
      <c r="D37" s="164">
        <f>31-B37</f>
        <v>16</v>
      </c>
      <c r="E37" s="164">
        <f t="shared" si="349"/>
        <v>15</v>
      </c>
      <c r="F37" s="164">
        <f t="shared" si="350"/>
        <v>0</v>
      </c>
      <c r="G37" s="169">
        <f t="shared" si="156"/>
        <v>16</v>
      </c>
      <c r="H37" s="169">
        <f t="shared" si="351"/>
        <v>16</v>
      </c>
      <c r="I37" s="229">
        <f t="shared" si="352"/>
        <v>8.6511612903225815E-2</v>
      </c>
      <c r="J37" s="232">
        <f t="shared" si="353"/>
        <v>1.9198138785736659E-3</v>
      </c>
      <c r="K37" s="232">
        <f t="shared" si="354"/>
        <v>7.3180000000000009E-2</v>
      </c>
      <c r="L37" s="229">
        <f t="shared" si="355"/>
        <v>6.4620322580645165E-2</v>
      </c>
      <c r="M37" s="232">
        <f t="shared" si="356"/>
        <v>1.4340154802917097E-3</v>
      </c>
      <c r="N37" s="232">
        <f t="shared" si="357"/>
        <v>5.5490000000000005E-2</v>
      </c>
      <c r="O37" s="229">
        <f t="shared" si="358"/>
        <v>6.2419032258064513E-2</v>
      </c>
      <c r="P37" s="232">
        <f t="shared" si="359"/>
        <v>1.385165764395329E-3</v>
      </c>
      <c r="Q37" s="232">
        <f t="shared" si="360"/>
        <v>6.9809999999999997E-2</v>
      </c>
      <c r="R37" s="229">
        <f t="shared" si="361"/>
        <v>5.3469677419354843E-2</v>
      </c>
      <c r="S37" s="232">
        <f t="shared" si="362"/>
        <v>1.1865670439801352E-3</v>
      </c>
      <c r="T37" s="232">
        <f t="shared" si="363"/>
        <v>3.6040000000000003E-2</v>
      </c>
      <c r="U37" s="229">
        <f t="shared" si="364"/>
        <v>5.1044838709677416E-2</v>
      </c>
      <c r="V37" s="232">
        <f t="shared" si="365"/>
        <v>1.1327564762203034E-3</v>
      </c>
      <c r="W37" s="232">
        <f t="shared" si="366"/>
        <v>6.7049999999999998E-2</v>
      </c>
      <c r="X37" s="229">
        <f t="shared" si="367"/>
        <v>8.0167741935483872E-2</v>
      </c>
      <c r="Y37" s="232">
        <f t="shared" si="368"/>
        <v>1.7790344951008905E-3</v>
      </c>
      <c r="Z37" s="232">
        <f t="shared" si="369"/>
        <v>9.4159999999999994E-2</v>
      </c>
      <c r="AA37" s="229">
        <f t="shared" si="370"/>
        <v>9.3250322580645167E-2</v>
      </c>
      <c r="AB37" s="232">
        <f t="shared" si="371"/>
        <v>2.0693552861169523E-3</v>
      </c>
      <c r="AC37" s="232">
        <f t="shared" si="372"/>
        <v>9.2280000000000001E-2</v>
      </c>
      <c r="AD37" s="229">
        <f t="shared" si="373"/>
        <v>9.0634838709677423E-2</v>
      </c>
      <c r="AE37" s="232">
        <f t="shared" si="374"/>
        <v>2.0113140351662121E-3</v>
      </c>
      <c r="AF37" s="232">
        <f t="shared" si="375"/>
        <v>8.8880000000000001E-2</v>
      </c>
      <c r="AG37" s="229">
        <f t="shared" si="376"/>
        <v>8.8478387096774191E-2</v>
      </c>
      <c r="AH37" s="232">
        <f t="shared" si="377"/>
        <v>1.9634593530490807E-3</v>
      </c>
      <c r="AI37" s="232">
        <f t="shared" si="378"/>
        <v>8.8050000000000003E-2</v>
      </c>
      <c r="AJ37" s="229">
        <f t="shared" si="379"/>
        <v>8.5461290322580652E-2</v>
      </c>
      <c r="AK37" s="232">
        <f t="shared" si="380"/>
        <v>1.8965057491834819E-3</v>
      </c>
      <c r="AL37" s="232">
        <f t="shared" si="381"/>
        <v>8.270000000000001E-2</v>
      </c>
      <c r="AM37" s="229">
        <f t="shared" si="382"/>
        <v>7.351129032258065E-2</v>
      </c>
      <c r="AN37" s="232">
        <f t="shared" si="383"/>
        <v>1.6313185092389603E-3</v>
      </c>
      <c r="AO37" s="232">
        <f t="shared" si="384"/>
        <v>6.3710000000000003E-2</v>
      </c>
      <c r="AP37" s="229">
        <f t="shared" si="385"/>
        <v>6.9768064516129047E-2</v>
      </c>
      <c r="AQ37" s="232">
        <f t="shared" si="386"/>
        <v>1.5482510849626418E-3</v>
      </c>
      <c r="AR37" s="232">
        <f t="shared" si="387"/>
        <v>7.6230000000000006E-2</v>
      </c>
      <c r="AS37" s="229">
        <f t="shared" si="388"/>
        <v>9.4805806451612906E-2</v>
      </c>
      <c r="AT37" s="232">
        <f t="shared" si="389"/>
        <v>2.1038736521855846E-3</v>
      </c>
      <c r="AU37" s="232">
        <f t="shared" si="390"/>
        <v>0.11462</v>
      </c>
      <c r="AV37" s="229">
        <f t="shared" si="391"/>
        <v>9.9915161290322574E-2</v>
      </c>
      <c r="AW37" s="232">
        <f t="shared" si="392"/>
        <v>2.2172573934052166E-3</v>
      </c>
      <c r="AX37" s="232">
        <f t="shared" si="393"/>
        <v>8.4229999999999999E-2</v>
      </c>
      <c r="AY37" s="229">
        <f t="shared" si="394"/>
        <v>9.3718709677419368E-2</v>
      </c>
      <c r="AZ37" s="232">
        <f t="shared" si="395"/>
        <v>2.0797494519260887E-3</v>
      </c>
      <c r="BA37" s="232">
        <f t="shared" si="396"/>
        <v>0.10384</v>
      </c>
      <c r="BB37" s="229">
        <f t="shared" si="397"/>
        <v>9.7249677419354835E-2</v>
      </c>
      <c r="BC37" s="232">
        <f t="shared" si="398"/>
        <v>2.1581065724128675E-3</v>
      </c>
      <c r="BD37" s="232">
        <f t="shared" si="399"/>
        <v>9.0219999999999995E-2</v>
      </c>
      <c r="BE37" s="229">
        <f t="shared" si="400"/>
        <v>0.10518612903225806</v>
      </c>
      <c r="BF37" s="232">
        <f t="shared" si="401"/>
        <v>2.3342275513399849E-3</v>
      </c>
      <c r="BG37" s="232">
        <f t="shared" si="402"/>
        <v>0.12114999999999999</v>
      </c>
      <c r="BH37" s="229">
        <f t="shared" si="403"/>
        <v>0.11287580645161291</v>
      </c>
      <c r="BI37" s="232">
        <f t="shared" si="404"/>
        <v>2.5048722652230328E-3</v>
      </c>
      <c r="BJ37" s="232">
        <f t="shared" si="405"/>
        <v>0.10405</v>
      </c>
      <c r="BK37" s="229">
        <f t="shared" si="406"/>
        <v>0.1100741935483871</v>
      </c>
      <c r="BL37" s="232">
        <f t="shared" si="407"/>
        <v>2.4427005503109482E-3</v>
      </c>
      <c r="BM37" s="232">
        <f t="shared" si="408"/>
        <v>0.11650000000000001</v>
      </c>
      <c r="BN37" s="229">
        <f t="shared" si="409"/>
        <v>9.7227419354838709E-2</v>
      </c>
      <c r="BO37" s="232">
        <f t="shared" si="410"/>
        <v>2.1576126347814415E-3</v>
      </c>
      <c r="BP37" s="232">
        <f t="shared" si="411"/>
        <v>7.6670000000000002E-2</v>
      </c>
      <c r="BQ37" s="229">
        <f t="shared" si="412"/>
        <v>8.1034516129032258E-2</v>
      </c>
      <c r="BR37" s="232">
        <f t="shared" si="413"/>
        <v>1.7982694286609101E-3</v>
      </c>
      <c r="BS37" s="232">
        <f t="shared" si="414"/>
        <v>8.5690000000000002E-2</v>
      </c>
      <c r="BT37" s="229">
        <f t="shared" si="415"/>
        <v>7.838838709677419E-2</v>
      </c>
      <c r="BU37" s="232">
        <f t="shared" si="416"/>
        <v>1.7395481186524093E-3</v>
      </c>
      <c r="BV37" s="232">
        <f t="shared" si="417"/>
        <v>7.0599999999999996E-2</v>
      </c>
      <c r="BW37" s="229">
        <f t="shared" si="418"/>
        <v>8.3470967741935492E-2</v>
      </c>
      <c r="BX37" s="232">
        <f t="shared" si="419"/>
        <v>1.8523377030110512E-3</v>
      </c>
      <c r="BY37" s="232">
        <f t="shared" si="420"/>
        <v>9.7199999999999995E-2</v>
      </c>
      <c r="BZ37" s="229">
        <f t="shared" si="421"/>
        <v>0.10954354838709676</v>
      </c>
      <c r="CA37" s="232">
        <f t="shared" si="422"/>
        <v>2.4309247908370986E-3</v>
      </c>
      <c r="CB37" s="232">
        <f t="shared" si="423"/>
        <v>0.12271</v>
      </c>
      <c r="CC37" s="229">
        <f t="shared" si="424"/>
        <v>0.11459548387096774</v>
      </c>
      <c r="CD37" s="232">
        <f t="shared" si="425"/>
        <v>2.5430343161379804E-3</v>
      </c>
      <c r="CE37" s="232">
        <f t="shared" si="426"/>
        <v>0.10594000000000001</v>
      </c>
    </row>
    <row r="38" spans="1:90" x14ac:dyDescent="0.25">
      <c r="A38" t="s">
        <v>253</v>
      </c>
      <c r="B38">
        <f>COUNT(B7:B37)</f>
        <v>23</v>
      </c>
      <c r="C38" s="170">
        <f>SUM(C7:C37)</f>
        <v>96</v>
      </c>
      <c r="D38" s="170">
        <f t="shared" ref="D38:G38" si="427">SUM(D7:D37)</f>
        <v>529</v>
      </c>
      <c r="E38" s="170">
        <f t="shared" si="427"/>
        <v>88</v>
      </c>
      <c r="F38" s="170">
        <f t="shared" si="427"/>
        <v>96</v>
      </c>
      <c r="G38" s="170">
        <f t="shared" si="427"/>
        <v>625</v>
      </c>
      <c r="H38" s="169">
        <f t="shared" si="351"/>
        <v>721</v>
      </c>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c r="BX38" s="170"/>
      <c r="BY38" s="170"/>
      <c r="BZ38" s="170"/>
      <c r="CA38" s="170"/>
      <c r="CB38" s="170"/>
      <c r="CC38" s="170"/>
      <c r="CD38" s="170"/>
      <c r="CE38" s="170"/>
    </row>
    <row r="39" spans="1:90" x14ac:dyDescent="0.25">
      <c r="A39" t="s">
        <v>254</v>
      </c>
      <c r="C39" s="172">
        <f>AVERAGE(C7,C8,C9,C10,C11,C14,C15,C16,C17,C18,C21,C22,C23,C24,C25,C28,C29,C30,C31,C32,C35,C36,C37)</f>
        <v>4.1739130434782608</v>
      </c>
      <c r="D39" s="172">
        <f t="shared" ref="D39:G39" si="428">AVERAGE(D7,D8,D9,D10,D11,D14,D15,D16,D17,D18,D21,D22,D23,D24,D25,D28,D29,D30,D31,D32,D35,D36,D37)</f>
        <v>23</v>
      </c>
      <c r="E39" s="172">
        <f t="shared" si="428"/>
        <v>3.8260869565217392</v>
      </c>
      <c r="F39" s="172">
        <f t="shared" si="428"/>
        <v>4.1739130434782608</v>
      </c>
      <c r="G39" s="172">
        <f t="shared" si="428"/>
        <v>27.173913043478262</v>
      </c>
      <c r="H39" s="169">
        <f t="shared" si="351"/>
        <v>31.347826086956523</v>
      </c>
      <c r="I39" s="230">
        <f>SUM(I7:I37)/$B$38</f>
        <v>9.2578471248246849E-2</v>
      </c>
      <c r="J39" s="230">
        <f>SUM(J7:J37)</f>
        <v>9.2601830343161398E-2</v>
      </c>
      <c r="K39" s="230">
        <f>SUM(K7:K37)/$B$38</f>
        <v>7.5773728029170345E-2</v>
      </c>
      <c r="L39" s="230">
        <f>SUM(L7:L37)/$B$38</f>
        <v>7.447447405329595E-2</v>
      </c>
      <c r="M39" s="230">
        <f>SUM(M7:M37)</f>
        <v>7.6408150865733063E-2</v>
      </c>
      <c r="N39" s="230">
        <f>SUM(N7:N37)/$B$38</f>
        <v>5.7266347225552613E-2</v>
      </c>
      <c r="O39" s="230">
        <f>SUM(O7:O37)/$B$38</f>
        <v>5.9639228611500707E-2</v>
      </c>
      <c r="P39" s="230">
        <f>SUM(P7:P37)</f>
        <v>5.982265894143439E-2</v>
      </c>
      <c r="Q39" s="230">
        <f>SUM(Q7:Q37)/$B$38</f>
        <v>6.8372052443758435E-2</v>
      </c>
      <c r="R39" s="230">
        <f>SUM(R7:R37)/$B$38</f>
        <v>6.3713955119214585E-2</v>
      </c>
      <c r="S39" s="230">
        <f>SUM(S7:S37)</f>
        <v>6.4522611516263248E-2</v>
      </c>
      <c r="T39" s="230">
        <f>SUM(T7:T37)/$B$38</f>
        <v>3.9431025766360109E-2</v>
      </c>
      <c r="U39" s="230">
        <f>SUM(U7:U37)/$B$38</f>
        <v>4.441419354838709E-2</v>
      </c>
      <c r="V39" s="230">
        <f>SUM(V7:V37)</f>
        <v>4.4605830611605758E-2</v>
      </c>
      <c r="W39" s="230">
        <f>SUM(W7:W37)/$B$38</f>
        <v>6.3936120550345657E-2</v>
      </c>
      <c r="X39" s="230">
        <f>SUM(X7:X37)/$B$38</f>
        <v>6.6220715287517523E-2</v>
      </c>
      <c r="Y39" s="230">
        <f>SUM(Y7:Y37)</f>
        <v>6.3645817636794777E-2</v>
      </c>
      <c r="Z39" s="230">
        <f>SUM(Z7:Z37)/$B$38</f>
        <v>9.1437740345690757E-2</v>
      </c>
      <c r="AA39" s="230">
        <f>SUM(AA7:AA37)/$B$38</f>
        <v>9.0277812061711066E-2</v>
      </c>
      <c r="AB39" s="230">
        <f>SUM(AB7:AB37)</f>
        <v>8.9130733300523471E-2</v>
      </c>
      <c r="AC39" s="230">
        <f>SUM(AC7:AC37)/$B$38</f>
        <v>9.2468780824422725E-2</v>
      </c>
      <c r="AD39" s="230">
        <f>SUM(AD7:AD37)/$B$38</f>
        <v>9.2113492286114984E-2</v>
      </c>
      <c r="AE39" s="230">
        <f>SUM(AE7:AE37)</f>
        <v>9.2345400205807351E-2</v>
      </c>
      <c r="AF39" s="230">
        <f>SUM(AF7:AF37)/$B$38</f>
        <v>8.9221412129275271E-2</v>
      </c>
      <c r="AG39" s="230">
        <f>SUM(AG7:AG37)/$B$38</f>
        <v>8.9235343618513305E-2</v>
      </c>
      <c r="AH39" s="230">
        <f>SUM(AH7:AH37)</f>
        <v>8.9425200662162765E-2</v>
      </c>
      <c r="AI39" s="230">
        <f>SUM(AI7:AI37)/$B$38</f>
        <v>8.8133344725676008E-2</v>
      </c>
      <c r="AJ39" s="230">
        <f>SUM(AJ7:AJ37)/$B$38</f>
        <v>8.7501444600280504E-2</v>
      </c>
      <c r="AK39" s="230">
        <f>SUM(AK7:AK37)</f>
        <v>8.776993915261061E-2</v>
      </c>
      <c r="AL39" s="230">
        <f>SUM(AL7:AL37)/$B$38</f>
        <v>8.3237222026947791E-2</v>
      </c>
      <c r="AM39" s="230">
        <f>SUM(AM7:AM37)/$B$38</f>
        <v>8.1076549789621324E-2</v>
      </c>
      <c r="AN39" s="230">
        <f>SUM(AN7:AN37)</f>
        <v>8.2138487763411039E-2</v>
      </c>
      <c r="AO39" s="230">
        <f>SUM(AO7:AO37)/$B$38</f>
        <v>6.5616887157334269E-2</v>
      </c>
      <c r="AP39" s="230">
        <f>SUM(AP7:AP37)/$B$38</f>
        <v>6.7812103786816263E-2</v>
      </c>
      <c r="AQ39" s="230">
        <f>SUM(AQ7:AQ37)</f>
        <v>6.813211355196637E-2</v>
      </c>
      <c r="AR39" s="230">
        <f>SUM(AR7:AR37)/$B$38</f>
        <v>7.4972800041610055E-2</v>
      </c>
      <c r="AS39" s="230">
        <f>SUM(AS7:AS37)/$B$38</f>
        <v>7.9282454417952314E-2</v>
      </c>
      <c r="AT39" s="230">
        <f>SUM(AT7:AT37)</f>
        <v>7.7058429153058036E-2</v>
      </c>
      <c r="AU39" s="230">
        <f>SUM(AU7:AU37)/$B$38</f>
        <v>0.11076505539915409</v>
      </c>
      <c r="AV39" s="230">
        <f>SUM(AV7:AV37)/$B$38</f>
        <v>0.10570028050490882</v>
      </c>
      <c r="AW39" s="230">
        <f>SUM(AW7:AW37)</f>
        <v>0.10527257751331036</v>
      </c>
      <c r="AX39" s="230">
        <f>SUM(AX7:AX37)/$B$38</f>
        <v>8.7281621943727711E-2</v>
      </c>
      <c r="AY39" s="230">
        <f>SUM(AY7:AY37)/$B$38</f>
        <v>9.0742089761570818E-2</v>
      </c>
      <c r="AZ39" s="230">
        <f>SUM(AZ7:AZ37)</f>
        <v>9.1272589593306794E-2</v>
      </c>
      <c r="BA39" s="230">
        <f>SUM(BA7:BA37)/$B$38</f>
        <v>0.10187085533673902</v>
      </c>
      <c r="BB39" s="230">
        <f>SUM(BB7:BB37)/$B$38</f>
        <v>9.9518653576437591E-2</v>
      </c>
      <c r="BC39" s="230">
        <f>SUM(BC7:BC37)</f>
        <v>9.92180278287325E-2</v>
      </c>
      <c r="BD39" s="230">
        <f>SUM(BD7:BD37)/$B$38</f>
        <v>9.1587656823743688E-2</v>
      </c>
      <c r="BE39" s="230">
        <f>SUM(BE7:BE37)/$B$38</f>
        <v>9.5871276297335203E-2</v>
      </c>
      <c r="BF39" s="230">
        <f>SUM(BF7:BF37)</f>
        <v>9.5153473222674603E-2</v>
      </c>
      <c r="BG39" s="230">
        <f>SUM(BG7:BG37)/$B$38</f>
        <v>0.11804415377691685</v>
      </c>
      <c r="BH39" s="230">
        <f>SUM(BH7:BH37)/$B$38</f>
        <v>0.11487499298737729</v>
      </c>
      <c r="BI39" s="230">
        <f>SUM(BI7:BI37)</f>
        <v>0.11421170372690256</v>
      </c>
      <c r="BJ39" s="230">
        <f>SUM(BJ7:BJ37)/$B$38</f>
        <v>0.10576710217959009</v>
      </c>
      <c r="BK39" s="230">
        <f>SUM(BK7:BK37)/$B$38</f>
        <v>0.10788899018232821</v>
      </c>
      <c r="BL39" s="230">
        <f>SUM(BL7:BL37)</f>
        <v>0.10812639479217934</v>
      </c>
      <c r="BM39" s="230">
        <f>SUM(BM7:BM37)/$B$38</f>
        <v>0.1152498291148598</v>
      </c>
      <c r="BN39" s="230">
        <f>SUM(BN7:BN37)/$B$38</f>
        <v>0.10990779803646566</v>
      </c>
      <c r="BO39" s="230">
        <f>SUM(BO7:BO37)</f>
        <v>0.11106270770882734</v>
      </c>
      <c r="BP39" s="230">
        <f>SUM(BP7:BP37)/$B$38</f>
        <v>8.0669542679127168E-2</v>
      </c>
      <c r="BQ39" s="230">
        <f>SUM(BQ7:BQ37)/$B$38</f>
        <v>8.3146072931276294E-2</v>
      </c>
      <c r="BR39" s="230">
        <f>SUM(BR7:BR37)</f>
        <v>8.4561286295915181E-2</v>
      </c>
      <c r="BS39" s="230">
        <f>SUM(BS7:BS37)/$B$38</f>
        <v>8.4784253704099269E-2</v>
      </c>
      <c r="BT39" s="230">
        <f>SUM(BT7:BT37)/$B$38</f>
        <v>8.2613085553997198E-2</v>
      </c>
      <c r="BU39" s="230">
        <f>SUM(BU7:BU37)</f>
        <v>8.2855679387946857E-2</v>
      </c>
      <c r="BV39" s="230">
        <f>SUM(BV7:BV37)/$B$38</f>
        <v>7.2115267361989158E-2</v>
      </c>
      <c r="BW39" s="230">
        <f>SUM(BW7:BW37)/$B$38</f>
        <v>7.591478260869565E-2</v>
      </c>
      <c r="BX39" s="230">
        <f>SUM(BX7:BX37)</f>
        <v>7.5450448749496649E-2</v>
      </c>
      <c r="BY39" s="230">
        <f>SUM(BY7:BY37)/$B$38</f>
        <v>9.4528952165082017E-2</v>
      </c>
      <c r="BZ39" s="230">
        <f>SUM(BZ7:BZ37)/$B$38</f>
        <v>9.6767012622720902E-2</v>
      </c>
      <c r="CA39" s="230">
        <f>SUM(CA7:CA37)</f>
        <v>9.4460961030826351E-2</v>
      </c>
      <c r="CB39" s="230">
        <f>SUM(CB7:CB37)/$B$38</f>
        <v>0.12014840487711442</v>
      </c>
      <c r="CC39" s="230">
        <f>SUM(CC7:CC37)/$B$38</f>
        <v>0.11720548387096771</v>
      </c>
      <c r="CD39" s="230">
        <f>SUM(CD7:CD37)</f>
        <v>0.1167735049885911</v>
      </c>
      <c r="CE39" s="230">
        <f>SUM(CE7:CE37)/$B$38</f>
        <v>0.10762396511998394</v>
      </c>
      <c r="CH39" s="398" t="s">
        <v>248</v>
      </c>
      <c r="CI39" s="398"/>
      <c r="CJ39" s="398"/>
      <c r="CK39" s="398" t="s">
        <v>250</v>
      </c>
      <c r="CL39" s="398"/>
    </row>
    <row r="40" spans="1:90" ht="30" x14ac:dyDescent="0.25">
      <c r="A40" t="s">
        <v>227</v>
      </c>
      <c r="C40" s="400">
        <f>SUM(C39:E39)</f>
        <v>31</v>
      </c>
      <c r="D40" s="400"/>
      <c r="E40" s="400"/>
      <c r="F40" s="400">
        <f>SUM(F39:G39)</f>
        <v>31.347826086956523</v>
      </c>
      <c r="G40" s="400"/>
      <c r="H40" s="173"/>
      <c r="I40" s="231"/>
      <c r="J40" s="231"/>
      <c r="K40" s="231"/>
      <c r="L40" s="231"/>
      <c r="M40" s="173"/>
      <c r="N40" s="231"/>
      <c r="O40" s="231"/>
      <c r="P40" s="173"/>
      <c r="Q40" s="231"/>
      <c r="R40" s="231"/>
      <c r="S40" s="173"/>
      <c r="T40" s="231"/>
      <c r="U40" s="231"/>
      <c r="V40" s="173"/>
      <c r="W40" s="231"/>
      <c r="X40" s="231"/>
      <c r="Y40" s="173"/>
      <c r="Z40" s="231"/>
      <c r="AA40" s="231"/>
      <c r="AB40" s="173"/>
      <c r="AC40" s="231"/>
      <c r="AD40" s="231"/>
      <c r="AE40" s="173"/>
      <c r="AF40" s="231"/>
      <c r="AG40" s="231"/>
      <c r="AH40" s="173"/>
      <c r="AI40" s="231"/>
      <c r="AJ40" s="231"/>
      <c r="AK40" s="173"/>
      <c r="AL40" s="231"/>
      <c r="AM40" s="231"/>
      <c r="AN40" s="173"/>
      <c r="AO40" s="231"/>
      <c r="AP40" s="231"/>
      <c r="AQ40" s="173"/>
      <c r="AR40" s="231"/>
      <c r="AS40" s="231"/>
      <c r="AT40" s="173"/>
      <c r="AU40" s="231"/>
      <c r="AV40" s="231"/>
      <c r="AW40" s="173"/>
      <c r="AX40" s="231"/>
      <c r="AY40" s="231"/>
      <c r="AZ40" s="173"/>
      <c r="BA40" s="231"/>
      <c r="BB40" s="231"/>
      <c r="BC40" s="173"/>
      <c r="BD40" s="231"/>
      <c r="BE40" s="231"/>
      <c r="BF40" s="173"/>
      <c r="BG40" s="231"/>
      <c r="BH40" s="231"/>
      <c r="BI40" s="173"/>
      <c r="BJ40" s="231"/>
      <c r="BK40" s="231"/>
      <c r="BL40" s="173"/>
      <c r="BM40" s="231"/>
      <c r="BN40" s="231"/>
      <c r="BO40" s="173"/>
      <c r="BP40" s="231"/>
      <c r="BQ40" s="231"/>
      <c r="BR40" s="173"/>
      <c r="BS40" s="231"/>
      <c r="BT40" s="231"/>
      <c r="BU40" s="173"/>
      <c r="BV40" s="231"/>
      <c r="BW40" s="231"/>
      <c r="BX40" s="173"/>
      <c r="BY40" s="231"/>
      <c r="BZ40" s="231"/>
      <c r="CA40" s="173"/>
      <c r="CB40" s="231"/>
      <c r="CC40" s="231"/>
      <c r="CD40" s="173"/>
      <c r="CE40" s="231"/>
      <c r="CH40" s="168" t="s">
        <v>226</v>
      </c>
      <c r="CI40" s="168" t="s">
        <v>222</v>
      </c>
      <c r="CJ40" s="168" t="s">
        <v>224</v>
      </c>
      <c r="CK40" s="193" t="s">
        <v>222</v>
      </c>
      <c r="CL40" s="193" t="s">
        <v>224</v>
      </c>
    </row>
    <row r="41" spans="1:90" x14ac:dyDescent="0.25">
      <c r="A41" t="s">
        <v>228</v>
      </c>
      <c r="C41" s="174">
        <f>+C39/$C$40</f>
        <v>0.13464235624123422</v>
      </c>
      <c r="D41" s="174">
        <f t="shared" ref="D41:E41" si="429">+D39/$C$40</f>
        <v>0.74193548387096775</v>
      </c>
      <c r="E41" s="174">
        <f t="shared" si="429"/>
        <v>0.12342215988779805</v>
      </c>
      <c r="F41" s="174">
        <f>+F38/($F$38+$G$38)</f>
        <v>0.13314840499306518</v>
      </c>
      <c r="G41" s="174">
        <f>+G38/($F$38+$G$38)</f>
        <v>0.86685159500693476</v>
      </c>
      <c r="H41" s="194"/>
      <c r="I41" s="231">
        <f>+$C$41*I43+$D$41*I44+$E$41*I45</f>
        <v>9.2578471248246849E-2</v>
      </c>
      <c r="J41" s="231"/>
      <c r="K41" s="231">
        <f>+I44*$F$41+I45*$G$41</f>
        <v>7.6619223300970887E-2</v>
      </c>
      <c r="L41" s="231">
        <f>+$C$41*L43+$D$41*L44+$E$41*L45</f>
        <v>7.4474474053295936E-2</v>
      </c>
      <c r="M41" s="194"/>
      <c r="N41" s="231">
        <f>+L44*$F$41+L45*$G$41</f>
        <v>5.7845395284327319E-2</v>
      </c>
      <c r="O41" s="231">
        <f>+$C$41*O43+$D$41*O44+$E$41*O45</f>
        <v>5.9639228611500714E-2</v>
      </c>
      <c r="P41" s="194"/>
      <c r="Q41" s="231">
        <f>+O44*$F$41+O45*$G$41</f>
        <v>6.7903314840499301E-2</v>
      </c>
      <c r="R41" s="231">
        <f>+$C$41*R43+$D$41*R44+$E$41*R45</f>
        <v>6.3713955119214585E-2</v>
      </c>
      <c r="S41" s="194"/>
      <c r="T41" s="231">
        <f>+R44*$F$41+R45*$G$41</f>
        <v>4.0536421636615812E-2</v>
      </c>
      <c r="U41" s="231">
        <f>+$C$41*U43+$D$41*U44+$E$41*U45</f>
        <v>4.4414193548387097E-2</v>
      </c>
      <c r="V41" s="194"/>
      <c r="W41" s="231">
        <f>+U44*$F$41+U45*$G$41</f>
        <v>6.2921067961165048E-2</v>
      </c>
      <c r="X41" s="231">
        <f>+$C$41*X43+$D$41*X44+$E$41*X45</f>
        <v>6.6220715287517523E-2</v>
      </c>
      <c r="Y41" s="194"/>
      <c r="Z41" s="231">
        <f>+X44*$F$41+X45*$G$41</f>
        <v>9.0550346740637985E-2</v>
      </c>
      <c r="AA41" s="231">
        <f>+$C$41*AA43+$D$41*AA44+$E$41*AA45</f>
        <v>9.0277812061711066E-2</v>
      </c>
      <c r="AB41" s="194"/>
      <c r="AC41" s="231">
        <f>+AA44*$F$41+AA45*$G$41</f>
        <v>9.2530319001386946E-2</v>
      </c>
      <c r="AD41" s="231">
        <f>+$C$41*AD43+$D$41*AD44+$E$41*AD45</f>
        <v>9.2113492286115012E-2</v>
      </c>
      <c r="AE41" s="194"/>
      <c r="AF41" s="231">
        <f>+AD44*$F$41+AD45*$G$41</f>
        <v>8.933270457697641E-2</v>
      </c>
      <c r="AG41" s="231">
        <f>+$C$41*AG43+$D$41*AG44+$E$41*AG45</f>
        <v>8.9235343618513319E-2</v>
      </c>
      <c r="AH41" s="194"/>
      <c r="AI41" s="231">
        <f>+AG44*$F$41+AG45*$G$41</f>
        <v>8.8160513176144234E-2</v>
      </c>
      <c r="AJ41" s="231">
        <f>+$C$41*AJ43+$D$41*AJ44+$E$41*AJ45</f>
        <v>8.7501444600280517E-2</v>
      </c>
      <c r="AK41" s="194"/>
      <c r="AL41" s="231">
        <f>+AJ44*$F$41+AJ45*$G$41</f>
        <v>8.3412343966712904E-2</v>
      </c>
      <c r="AM41" s="231">
        <f>+$C$41*AM43+$D$41*AM44+$E$41*AM45</f>
        <v>8.1076549789621324E-2</v>
      </c>
      <c r="AN41" s="194"/>
      <c r="AO41" s="231">
        <f>+AM44*$F$41+AM45*$G$41</f>
        <v>6.6238488210818305E-2</v>
      </c>
      <c r="AP41" s="231">
        <f>+$C$41*AP43+$D$41*AP44+$E$41*AP45</f>
        <v>6.7812103786816277E-2</v>
      </c>
      <c r="AQ41" s="194"/>
      <c r="AR41" s="231">
        <f>+AP44*$F$41+AP45*$G$41</f>
        <v>7.4562981969486825E-2</v>
      </c>
      <c r="AS41" s="231">
        <f>+$C$41*AS43+$D$41*AS44+$E$41*AS45</f>
        <v>7.9282454417952314E-2</v>
      </c>
      <c r="AT41" s="194"/>
      <c r="AU41" s="231">
        <f>+AS44*$F$41+AS45*$G$41</f>
        <v>0.10950843273231622</v>
      </c>
      <c r="AV41" s="231">
        <f>+$C$41*AV43+$D$41*AV44+$E$41*AV45</f>
        <v>0.10570028050490884</v>
      </c>
      <c r="AW41" s="194"/>
      <c r="AX41" s="231">
        <f>+AV44*$F$41+AV45*$G$41</f>
        <v>8.8276380027739243E-2</v>
      </c>
      <c r="AY41" s="231">
        <f>+$C$41*AY43+$D$41*AY44+$E$41*AY45</f>
        <v>9.0742089761570832E-2</v>
      </c>
      <c r="AZ41" s="194"/>
      <c r="BA41" s="231">
        <f>+AY44*$F$41+AY45*$G$41</f>
        <v>0.10122895977808599</v>
      </c>
      <c r="BB41" s="231">
        <f>+$C$41*BB43+$D$41*BB44+$E$41*BB45</f>
        <v>9.9518653576437591E-2</v>
      </c>
      <c r="BC41" s="194"/>
      <c r="BD41" s="231">
        <f>+BB44*$F$41+BB45*$G$41</f>
        <v>9.2033481276005538E-2</v>
      </c>
      <c r="BE41" s="231">
        <f>+$C$41*BE43+$D$41*BE44+$E$41*BE45</f>
        <v>9.5871276297335203E-2</v>
      </c>
      <c r="BF41" s="194"/>
      <c r="BG41" s="231">
        <f>+BE44*$F$41+BE45*$G$41</f>
        <v>0.11703171983356449</v>
      </c>
      <c r="BH41" s="231">
        <f>+$C$41*BH43+$D$41*BH44+$E$41*BH45</f>
        <v>0.11487499298737729</v>
      </c>
      <c r="BI41" s="194"/>
      <c r="BJ41" s="231">
        <f>+BH44*$F$41+BH45*$G$41</f>
        <v>0.10632683772538142</v>
      </c>
      <c r="BK41" s="231">
        <f>+$C$41*BK43+$D$41*BK44+$E$41*BK45</f>
        <v>0.10788899018232818</v>
      </c>
      <c r="BL41" s="194"/>
      <c r="BM41" s="231">
        <f>+BK44*$F$41+BK45*$G$41</f>
        <v>0.11484230235783634</v>
      </c>
      <c r="BN41" s="231">
        <f>+$C$41*BN43+$D$41*BN44+$E$41*BN45</f>
        <v>0.10990779803646565</v>
      </c>
      <c r="BO41" s="194"/>
      <c r="BP41" s="231">
        <f>+BN44*$F$41+BN45*$G$41</f>
        <v>8.1973300970873783E-2</v>
      </c>
      <c r="BQ41" s="231">
        <f>+$C$41*BQ43+$D$41*BQ44+$E$41*BQ45</f>
        <v>8.3146072931276294E-2</v>
      </c>
      <c r="BR41" s="194"/>
      <c r="BS41" s="231">
        <f>+BQ44*$F$41+BQ45*$G$41</f>
        <v>8.4489001386962553E-2</v>
      </c>
      <c r="BT41" s="231">
        <f>+$C$41*BT43+$D$41*BT44+$E$41*BT45</f>
        <v>8.2613085553997198E-2</v>
      </c>
      <c r="BU41" s="194"/>
      <c r="BV41" s="231">
        <f>+BT44*$F$41+BT45*$G$41</f>
        <v>7.2609209431345342E-2</v>
      </c>
      <c r="BW41" s="231">
        <f>+$C$41*BW43+$D$41*BW44+$E$41*BW45</f>
        <v>7.591478260869565E-2</v>
      </c>
      <c r="BX41" s="194"/>
      <c r="BY41" s="231">
        <f>+BW44*$F$41+BW45*$G$41</f>
        <v>9.3658252427184452E-2</v>
      </c>
      <c r="BZ41" s="231">
        <f>+$C$41*BZ43+$D$41*BZ44+$E$41*BZ45</f>
        <v>9.6767012622720902E-2</v>
      </c>
      <c r="CA41" s="194"/>
      <c r="CB41" s="231">
        <f>+BZ44*$F$41+BZ45*$G$41</f>
        <v>0.1193133841886269</v>
      </c>
      <c r="CC41" s="231">
        <f>+$C$41*CC43+$D$41*CC44+$E$41*CC45</f>
        <v>0.11720548387096774</v>
      </c>
      <c r="CD41" s="194"/>
      <c r="CE41" s="231">
        <f>+CC44*$F$41+CC45*$G$41</f>
        <v>0.10817289875173371</v>
      </c>
      <c r="CH41" s="174">
        <f>+C41</f>
        <v>0.13464235624123422</v>
      </c>
      <c r="CI41" s="174">
        <f>+D41</f>
        <v>0.74193548387096775</v>
      </c>
      <c r="CJ41" s="174">
        <f>+E41</f>
        <v>0.12342215988779805</v>
      </c>
      <c r="CK41" s="199">
        <f>+F41</f>
        <v>0.13314840499306518</v>
      </c>
      <c r="CL41" s="199">
        <f>+G41</f>
        <v>0.86685159500693476</v>
      </c>
    </row>
    <row r="42" spans="1:90" x14ac:dyDescent="0.25">
      <c r="A42" s="178" t="s">
        <v>280</v>
      </c>
      <c r="C42" s="173"/>
      <c r="D42" s="173"/>
      <c r="E42" s="173"/>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row>
    <row r="43" spans="1:90" x14ac:dyDescent="0.25">
      <c r="A43" s="226" t="s">
        <v>276</v>
      </c>
      <c r="B43" s="148"/>
      <c r="C43" s="218"/>
      <c r="D43" s="218"/>
      <c r="E43" s="218"/>
      <c r="F43" s="172"/>
      <c r="G43" s="172"/>
      <c r="H43" s="172"/>
      <c r="I43" s="228">
        <f>+CH7</f>
        <v>7.492E-2</v>
      </c>
      <c r="L43" s="227">
        <f>+CH8</f>
        <v>9.9010000000000001E-2</v>
      </c>
      <c r="O43" s="227">
        <f>+CH9</f>
        <v>7.3180000000000009E-2</v>
      </c>
      <c r="R43" s="227">
        <f>+CH10</f>
        <v>5.5490000000000005E-2</v>
      </c>
      <c r="S43" s="172"/>
      <c r="T43" s="172"/>
      <c r="U43" s="227">
        <f>+CH11</f>
        <v>6.9809999999999997E-2</v>
      </c>
      <c r="V43" s="172"/>
      <c r="W43" s="172"/>
      <c r="X43" s="227">
        <f>+CH12</f>
        <v>3.6040000000000003E-2</v>
      </c>
      <c r="Y43" s="172"/>
      <c r="Z43" s="172"/>
      <c r="AA43" s="227">
        <f>+CH13</f>
        <v>6.7049999999999998E-2</v>
      </c>
      <c r="AB43" s="172"/>
      <c r="AC43" s="172"/>
      <c r="AD43" s="227">
        <f>+CH14</f>
        <v>9.4159999999999994E-2</v>
      </c>
      <c r="AE43" s="172"/>
      <c r="AF43" s="172"/>
      <c r="AG43" s="227">
        <f>+CH15</f>
        <v>9.2280000000000001E-2</v>
      </c>
      <c r="AH43" s="172"/>
      <c r="AI43" s="172"/>
      <c r="AJ43" s="227">
        <f>+CH16</f>
        <v>8.8880000000000001E-2</v>
      </c>
      <c r="AK43" s="172"/>
      <c r="AL43" s="172"/>
      <c r="AM43" s="227">
        <f>+CH17</f>
        <v>8.8050000000000003E-2</v>
      </c>
      <c r="AN43" s="227"/>
      <c r="AO43" s="227"/>
      <c r="AP43" s="227">
        <f>+CH18</f>
        <v>8.270000000000001E-2</v>
      </c>
      <c r="AQ43" s="227"/>
      <c r="AR43" s="227"/>
      <c r="AS43" s="227">
        <f>+CH19</f>
        <v>6.3710000000000003E-2</v>
      </c>
      <c r="AT43" s="227"/>
      <c r="AU43" s="227"/>
      <c r="AV43" s="227">
        <f>+CH20</f>
        <v>7.6230000000000006E-2</v>
      </c>
      <c r="AW43" s="227"/>
      <c r="AX43" s="227"/>
      <c r="AY43" s="227">
        <f>+CH21</f>
        <v>0.11462</v>
      </c>
      <c r="AZ43" s="227"/>
      <c r="BA43" s="227"/>
      <c r="BB43" s="227">
        <f>+CH22</f>
        <v>8.4229999999999999E-2</v>
      </c>
      <c r="BC43" s="227"/>
      <c r="BD43" s="227"/>
      <c r="BE43" s="227">
        <f>+CH23</f>
        <v>0.10384</v>
      </c>
      <c r="BF43" s="227"/>
      <c r="BG43" s="227"/>
      <c r="BH43" s="227">
        <f>+CH24</f>
        <v>9.0219999999999995E-2</v>
      </c>
      <c r="BI43" s="227"/>
      <c r="BJ43" s="227"/>
      <c r="BK43" s="227">
        <f>+CH25</f>
        <v>0.12114999999999999</v>
      </c>
      <c r="BL43" s="227"/>
      <c r="BM43" s="227"/>
      <c r="BN43" s="227">
        <f>+CH26</f>
        <v>0.10405</v>
      </c>
      <c r="BO43" s="227"/>
      <c r="BP43" s="227"/>
      <c r="BQ43" s="227">
        <f>+CH27</f>
        <v>0.11650000000000001</v>
      </c>
      <c r="BR43" s="227"/>
      <c r="BS43" s="227"/>
      <c r="BT43" s="227">
        <f>+CH28</f>
        <v>7.6670000000000002E-2</v>
      </c>
      <c r="BU43" s="227"/>
      <c r="BV43" s="227"/>
      <c r="BW43" s="227">
        <f>+CH29</f>
        <v>8.5690000000000002E-2</v>
      </c>
      <c r="BX43" s="227"/>
      <c r="BY43" s="227"/>
      <c r="BZ43" s="227">
        <f>+CH30</f>
        <v>7.0599999999999996E-2</v>
      </c>
      <c r="CA43" s="227"/>
      <c r="CB43" s="227"/>
      <c r="CC43" s="227">
        <f>+CH31</f>
        <v>9.7199999999999995E-2</v>
      </c>
      <c r="CD43" s="227"/>
      <c r="CE43" s="227"/>
    </row>
    <row r="44" spans="1:90" x14ac:dyDescent="0.25">
      <c r="A44" s="226" t="s">
        <v>277</v>
      </c>
      <c r="B44" s="148"/>
      <c r="C44" s="218"/>
      <c r="D44" s="218"/>
      <c r="E44" s="218"/>
      <c r="F44" s="172"/>
      <c r="G44" s="172"/>
      <c r="H44" s="172"/>
      <c r="I44" s="228">
        <f>+CH8</f>
        <v>9.9010000000000001E-2</v>
      </c>
      <c r="L44" s="227">
        <f>+CH9</f>
        <v>7.3180000000000009E-2</v>
      </c>
      <c r="O44" s="227">
        <f>+CH10</f>
        <v>5.5490000000000005E-2</v>
      </c>
      <c r="R44" s="227">
        <f t="shared" ref="R44:R45" si="430">+CH11</f>
        <v>6.9809999999999997E-2</v>
      </c>
      <c r="S44" s="172"/>
      <c r="T44" s="172"/>
      <c r="U44" s="227">
        <f t="shared" ref="U44:U45" si="431">+CH12</f>
        <v>3.6040000000000003E-2</v>
      </c>
      <c r="V44" s="172"/>
      <c r="W44" s="172"/>
      <c r="X44" s="227">
        <f t="shared" ref="X44:X45" si="432">+CH13</f>
        <v>6.7049999999999998E-2</v>
      </c>
      <c r="Y44" s="172"/>
      <c r="Z44" s="172"/>
      <c r="AA44" s="227">
        <f t="shared" ref="AA44:AA45" si="433">+CH14</f>
        <v>9.4159999999999994E-2</v>
      </c>
      <c r="AB44" s="172"/>
      <c r="AC44" s="172"/>
      <c r="AD44" s="227">
        <f t="shared" ref="AD44:AD45" si="434">+CH15</f>
        <v>9.2280000000000001E-2</v>
      </c>
      <c r="AE44" s="172"/>
      <c r="AF44" s="172"/>
      <c r="AG44" s="227">
        <f t="shared" ref="AG44:AG45" si="435">+CH16</f>
        <v>8.8880000000000001E-2</v>
      </c>
      <c r="AH44" s="172"/>
      <c r="AI44" s="172"/>
      <c r="AJ44" s="227">
        <f t="shared" ref="AJ44:AJ45" si="436">+CH17</f>
        <v>8.8050000000000003E-2</v>
      </c>
      <c r="AK44" s="172"/>
      <c r="AL44" s="172"/>
      <c r="AM44" s="227">
        <f t="shared" ref="AM44:AM45" si="437">+CH18</f>
        <v>8.270000000000001E-2</v>
      </c>
      <c r="AN44" s="227"/>
      <c r="AO44" s="227"/>
      <c r="AP44" s="227">
        <f t="shared" ref="AP44:AP45" si="438">+CH19</f>
        <v>6.3710000000000003E-2</v>
      </c>
      <c r="AQ44" s="227"/>
      <c r="AR44" s="227"/>
      <c r="AS44" s="227">
        <f t="shared" ref="AS44:AS45" si="439">+CH20</f>
        <v>7.6230000000000006E-2</v>
      </c>
      <c r="AT44" s="227"/>
      <c r="AU44" s="227"/>
      <c r="AV44" s="227">
        <f t="shared" ref="AV44:AV45" si="440">+CH21</f>
        <v>0.11462</v>
      </c>
      <c r="AW44" s="227"/>
      <c r="AX44" s="227"/>
      <c r="AY44" s="227">
        <f t="shared" ref="AY44:AY45" si="441">+CH22</f>
        <v>8.4229999999999999E-2</v>
      </c>
      <c r="AZ44" s="227"/>
      <c r="BA44" s="227"/>
      <c r="BB44" s="227">
        <f t="shared" ref="BB44:BB45" si="442">+CH23</f>
        <v>0.10384</v>
      </c>
      <c r="BC44" s="227"/>
      <c r="BD44" s="227"/>
      <c r="BE44" s="227">
        <f t="shared" ref="BE44:BE45" si="443">+CH24</f>
        <v>9.0219999999999995E-2</v>
      </c>
      <c r="BF44" s="227"/>
      <c r="BG44" s="227"/>
      <c r="BH44" s="227">
        <f t="shared" ref="BH44:BH45" si="444">+CH25</f>
        <v>0.12114999999999999</v>
      </c>
      <c r="BI44" s="227"/>
      <c r="BJ44" s="227"/>
      <c r="BK44" s="227">
        <f t="shared" ref="BK44:BK45" si="445">+CH26</f>
        <v>0.10405</v>
      </c>
      <c r="BL44" s="227"/>
      <c r="BM44" s="227"/>
      <c r="BN44" s="227">
        <f t="shared" ref="BN44:BN45" si="446">+CH27</f>
        <v>0.11650000000000001</v>
      </c>
      <c r="BO44" s="227"/>
      <c r="BP44" s="227"/>
      <c r="BQ44" s="227">
        <f t="shared" ref="BQ44:BQ45" si="447">+CH28</f>
        <v>7.6670000000000002E-2</v>
      </c>
      <c r="BR44" s="227"/>
      <c r="BS44" s="227"/>
      <c r="BT44" s="227">
        <f t="shared" ref="BT44:BT45" si="448">+CH29</f>
        <v>8.5690000000000002E-2</v>
      </c>
      <c r="BU44" s="227"/>
      <c r="BV44" s="227"/>
      <c r="BW44" s="227">
        <f t="shared" ref="BW44:BW45" si="449">+CH30</f>
        <v>7.0599999999999996E-2</v>
      </c>
      <c r="BX44" s="227"/>
      <c r="BY44" s="227"/>
      <c r="BZ44" s="227">
        <f t="shared" ref="BZ44:BZ45" si="450">+CH31</f>
        <v>9.7199999999999995E-2</v>
      </c>
      <c r="CA44" s="227"/>
      <c r="CB44" s="227"/>
      <c r="CC44" s="227">
        <f t="shared" ref="CC44:CC45" si="451">+CH32</f>
        <v>0.12271</v>
      </c>
      <c r="CD44" s="227"/>
      <c r="CE44" s="227"/>
    </row>
    <row r="45" spans="1:90" x14ac:dyDescent="0.25">
      <c r="A45" s="226" t="s">
        <v>278</v>
      </c>
      <c r="B45" s="148"/>
      <c r="C45" s="218"/>
      <c r="D45" s="218"/>
      <c r="E45" s="218"/>
      <c r="F45" s="172"/>
      <c r="G45" s="172"/>
      <c r="H45" s="172"/>
      <c r="I45" s="228">
        <f>+CH9</f>
        <v>7.3180000000000009E-2</v>
      </c>
      <c r="L45" s="227">
        <f>+CH10</f>
        <v>5.5490000000000005E-2</v>
      </c>
      <c r="O45" s="227">
        <f>+CH11</f>
        <v>6.9809999999999997E-2</v>
      </c>
      <c r="R45" s="227">
        <f t="shared" si="430"/>
        <v>3.6040000000000003E-2</v>
      </c>
      <c r="S45" s="172"/>
      <c r="T45" s="172"/>
      <c r="U45" s="227">
        <f t="shared" si="431"/>
        <v>6.7049999999999998E-2</v>
      </c>
      <c r="V45" s="172"/>
      <c r="W45" s="172"/>
      <c r="X45" s="227">
        <f t="shared" si="432"/>
        <v>9.4159999999999994E-2</v>
      </c>
      <c r="Y45" s="172"/>
      <c r="Z45" s="172"/>
      <c r="AA45" s="227">
        <f t="shared" si="433"/>
        <v>9.2280000000000001E-2</v>
      </c>
      <c r="AB45" s="172"/>
      <c r="AC45" s="172"/>
      <c r="AD45" s="227">
        <f t="shared" si="434"/>
        <v>8.8880000000000001E-2</v>
      </c>
      <c r="AE45" s="172"/>
      <c r="AF45" s="172"/>
      <c r="AG45" s="227">
        <f t="shared" si="435"/>
        <v>8.8050000000000003E-2</v>
      </c>
      <c r="AH45" s="172"/>
      <c r="AI45" s="172"/>
      <c r="AJ45" s="227">
        <f t="shared" si="436"/>
        <v>8.270000000000001E-2</v>
      </c>
      <c r="AK45" s="172"/>
      <c r="AL45" s="172"/>
      <c r="AM45" s="227">
        <f t="shared" si="437"/>
        <v>6.3710000000000003E-2</v>
      </c>
      <c r="AN45" s="227"/>
      <c r="AO45" s="227"/>
      <c r="AP45" s="227">
        <f t="shared" si="438"/>
        <v>7.6230000000000006E-2</v>
      </c>
      <c r="AQ45" s="227"/>
      <c r="AR45" s="227"/>
      <c r="AS45" s="227">
        <f t="shared" si="439"/>
        <v>0.11462</v>
      </c>
      <c r="AT45" s="227"/>
      <c r="AU45" s="227"/>
      <c r="AV45" s="227">
        <f t="shared" si="440"/>
        <v>8.4229999999999999E-2</v>
      </c>
      <c r="AW45" s="227"/>
      <c r="AX45" s="227"/>
      <c r="AY45" s="227">
        <f t="shared" si="441"/>
        <v>0.10384</v>
      </c>
      <c r="AZ45" s="227"/>
      <c r="BA45" s="227"/>
      <c r="BB45" s="227">
        <f t="shared" si="442"/>
        <v>9.0219999999999995E-2</v>
      </c>
      <c r="BC45" s="227"/>
      <c r="BD45" s="227"/>
      <c r="BE45" s="227">
        <f t="shared" si="443"/>
        <v>0.12114999999999999</v>
      </c>
      <c r="BF45" s="227"/>
      <c r="BG45" s="227"/>
      <c r="BH45" s="227">
        <f t="shared" si="444"/>
        <v>0.10405</v>
      </c>
      <c r="BI45" s="227"/>
      <c r="BJ45" s="227"/>
      <c r="BK45" s="227">
        <f t="shared" si="445"/>
        <v>0.11650000000000001</v>
      </c>
      <c r="BL45" s="227"/>
      <c r="BM45" s="227"/>
      <c r="BN45" s="227">
        <f t="shared" si="446"/>
        <v>7.6670000000000002E-2</v>
      </c>
      <c r="BO45" s="227"/>
      <c r="BP45" s="227"/>
      <c r="BQ45" s="227">
        <f t="shared" si="447"/>
        <v>8.5690000000000002E-2</v>
      </c>
      <c r="BR45" s="227"/>
      <c r="BS45" s="227"/>
      <c r="BT45" s="227">
        <f t="shared" si="448"/>
        <v>7.0599999999999996E-2</v>
      </c>
      <c r="BU45" s="227"/>
      <c r="BV45" s="227"/>
      <c r="BW45" s="227">
        <f t="shared" si="449"/>
        <v>9.7199999999999995E-2</v>
      </c>
      <c r="BX45" s="227"/>
      <c r="BY45" s="227"/>
      <c r="BZ45" s="227">
        <f t="shared" si="450"/>
        <v>0.12271</v>
      </c>
      <c r="CA45" s="227"/>
      <c r="CB45" s="227"/>
      <c r="CC45" s="227">
        <f t="shared" si="451"/>
        <v>0.10594000000000001</v>
      </c>
      <c r="CD45" s="227"/>
      <c r="CE45" s="227"/>
    </row>
    <row r="46" spans="1:90" x14ac:dyDescent="0.25">
      <c r="C46" s="173"/>
      <c r="D46" s="173"/>
      <c r="E46" s="173"/>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row>
    <row r="47" spans="1:90" x14ac:dyDescent="0.25">
      <c r="A47" t="s">
        <v>234</v>
      </c>
    </row>
    <row r="48" spans="1:90" x14ac:dyDescent="0.25">
      <c r="A48" t="s">
        <v>235</v>
      </c>
    </row>
    <row r="49" spans="1:89" x14ac:dyDescent="0.25">
      <c r="A49" t="s">
        <v>247</v>
      </c>
    </row>
    <row r="50" spans="1:89" x14ac:dyDescent="0.25">
      <c r="CG50" s="178"/>
    </row>
    <row r="51" spans="1:89" x14ac:dyDescent="0.25">
      <c r="A51" s="178" t="s">
        <v>237</v>
      </c>
    </row>
    <row r="52" spans="1:89" x14ac:dyDescent="0.25">
      <c r="A52" t="s">
        <v>221</v>
      </c>
      <c r="C52">
        <v>30</v>
      </c>
    </row>
    <row r="53" spans="1:89" x14ac:dyDescent="0.25">
      <c r="A53" t="s">
        <v>231</v>
      </c>
      <c r="C53">
        <v>31</v>
      </c>
    </row>
    <row r="54" spans="1:89" x14ac:dyDescent="0.25">
      <c r="A54" t="s">
        <v>229</v>
      </c>
      <c r="C54">
        <v>15</v>
      </c>
      <c r="CI54" s="176"/>
    </row>
    <row r="55" spans="1:89" x14ac:dyDescent="0.25">
      <c r="A55" t="s">
        <v>238</v>
      </c>
      <c r="C55" s="176">
        <v>10000</v>
      </c>
      <c r="CH55" s="177"/>
      <c r="CI55" s="177"/>
      <c r="CJ55" s="177"/>
      <c r="CK55" s="177"/>
    </row>
    <row r="56" spans="1:89" x14ac:dyDescent="0.25">
      <c r="A56" t="s">
        <v>230</v>
      </c>
      <c r="B56" s="177" t="s">
        <v>232</v>
      </c>
      <c r="C56" s="177" t="s">
        <v>239</v>
      </c>
      <c r="D56" s="177"/>
      <c r="E56" s="177"/>
      <c r="I56" s="216" t="s">
        <v>285</v>
      </c>
      <c r="J56" s="216" t="s">
        <v>233</v>
      </c>
      <c r="CG56" s="175"/>
      <c r="CI56" s="171"/>
      <c r="CK56" s="179"/>
    </row>
    <row r="57" spans="1:89" x14ac:dyDescent="0.25">
      <c r="A57" s="175" t="s">
        <v>281</v>
      </c>
      <c r="B57" s="170">
        <f>+C21</f>
        <v>1</v>
      </c>
      <c r="C57" s="171">
        <f>+B57/$B$60*$C$55</f>
        <v>322.58064516129031</v>
      </c>
      <c r="D57" s="224"/>
      <c r="E57" s="179"/>
      <c r="I57" s="228">
        <f>+I43</f>
        <v>7.492E-2</v>
      </c>
      <c r="J57" s="234">
        <f>+$C57*I57</f>
        <v>24.167741935483871</v>
      </c>
      <c r="CG57" s="175"/>
      <c r="CI57" s="171"/>
      <c r="CK57" s="179"/>
    </row>
    <row r="58" spans="1:89" x14ac:dyDescent="0.25">
      <c r="A58" s="175" t="s">
        <v>282</v>
      </c>
      <c r="B58" s="170">
        <v>30</v>
      </c>
      <c r="C58" s="171">
        <f t="shared" ref="C58:C59" si="452">+B58/$B$60*$C$55</f>
        <v>9677.4193548387102</v>
      </c>
      <c r="D58" s="224"/>
      <c r="E58" s="179"/>
      <c r="I58" s="228">
        <f t="shared" ref="I58:I59" si="453">+I44</f>
        <v>9.9010000000000001E-2</v>
      </c>
      <c r="J58" s="234">
        <f t="shared" ref="J58:J59" si="454">+$C58*I58</f>
        <v>958.16129032258073</v>
      </c>
      <c r="CI58" s="171"/>
      <c r="CK58" s="179"/>
    </row>
    <row r="59" spans="1:89" x14ac:dyDescent="0.25">
      <c r="A59" t="s">
        <v>283</v>
      </c>
      <c r="B59" s="170">
        <f>+E7</f>
        <v>0</v>
      </c>
      <c r="C59" s="171">
        <f t="shared" si="452"/>
        <v>0</v>
      </c>
      <c r="D59" s="224"/>
      <c r="E59" s="179"/>
      <c r="I59" s="228">
        <f t="shared" si="453"/>
        <v>7.3180000000000009E-2</v>
      </c>
      <c r="J59" s="234">
        <f t="shared" si="454"/>
        <v>0</v>
      </c>
      <c r="CG59" s="178"/>
      <c r="CH59" s="178"/>
      <c r="CI59" s="206"/>
      <c r="CJ59" s="208"/>
      <c r="CK59" s="207"/>
    </row>
    <row r="60" spans="1:89" x14ac:dyDescent="0.25">
      <c r="A60" s="178" t="s">
        <v>284</v>
      </c>
      <c r="B60" s="178">
        <f>SUM(B57:B59)</f>
        <v>31</v>
      </c>
      <c r="C60" s="181">
        <f>SUM(C57:C59)</f>
        <v>10000</v>
      </c>
      <c r="D60" s="183"/>
      <c r="E60" s="182"/>
      <c r="I60" s="148"/>
      <c r="J60" s="235">
        <f>SUM(J57:J59)</f>
        <v>982.32903225806456</v>
      </c>
    </row>
    <row r="61" spans="1:89" x14ac:dyDescent="0.25">
      <c r="A61" t="s">
        <v>286</v>
      </c>
      <c r="J61" s="233">
        <f>+J60/$C60</f>
        <v>9.8232903225806453E-2</v>
      </c>
      <c r="CG61" s="178"/>
      <c r="CI61" s="171"/>
      <c r="CK61" s="180"/>
    </row>
    <row r="62" spans="1:89" x14ac:dyDescent="0.25">
      <c r="A62" s="178" t="s">
        <v>309</v>
      </c>
      <c r="C62" s="171"/>
      <c r="E62" s="225">
        <f>+B62/B60*E60</f>
        <v>0</v>
      </c>
      <c r="CJ62" s="183"/>
    </row>
    <row r="63" spans="1:89" x14ac:dyDescent="0.25">
      <c r="A63" s="175" t="s">
        <v>282</v>
      </c>
      <c r="B63" s="170">
        <f>+B60-B58</f>
        <v>1</v>
      </c>
      <c r="D63" s="183" t="e">
        <f>+E62/C62</f>
        <v>#DIV/0!</v>
      </c>
    </row>
    <row r="64" spans="1:89" x14ac:dyDescent="0.25">
      <c r="A64" t="s">
        <v>283</v>
      </c>
      <c r="B64" s="170">
        <v>31</v>
      </c>
    </row>
    <row r="65" spans="1:10" x14ac:dyDescent="0.25">
      <c r="A65" t="s">
        <v>310</v>
      </c>
      <c r="B65" s="170">
        <f>SUM(B63:B64)</f>
        <v>32</v>
      </c>
      <c r="I65" s="275">
        <f>+C60/B60*B65</f>
        <v>10322.58064516129</v>
      </c>
      <c r="J65" s="171">
        <f>+J60/B60*B65</f>
        <v>1014.0170655567118</v>
      </c>
    </row>
    <row r="66" spans="1:10" x14ac:dyDescent="0.25">
      <c r="A66" t="s">
        <v>236</v>
      </c>
      <c r="J66" s="233">
        <f>+J65/I65</f>
        <v>9.8232903225806467E-2</v>
      </c>
    </row>
  </sheetData>
  <mergeCells count="32">
    <mergeCell ref="C4:G4"/>
    <mergeCell ref="F5:H5"/>
    <mergeCell ref="BB4:BD4"/>
    <mergeCell ref="BE4:BG4"/>
    <mergeCell ref="BH4:BJ4"/>
    <mergeCell ref="X4:Z4"/>
    <mergeCell ref="AA4:AC4"/>
    <mergeCell ref="AD4:AF4"/>
    <mergeCell ref="AG4:AI4"/>
    <mergeCell ref="AJ4:AL4"/>
    <mergeCell ref="BN4:BP4"/>
    <mergeCell ref="AM4:AO4"/>
    <mergeCell ref="AP4:AR4"/>
    <mergeCell ref="AS4:AU4"/>
    <mergeCell ref="AV4:AX4"/>
    <mergeCell ref="AY4:BA4"/>
    <mergeCell ref="CC4:CE4"/>
    <mergeCell ref="CH39:CJ39"/>
    <mergeCell ref="CK39:CL39"/>
    <mergeCell ref="C5:E5"/>
    <mergeCell ref="C40:E40"/>
    <mergeCell ref="F40:G40"/>
    <mergeCell ref="I4:K4"/>
    <mergeCell ref="L4:N4"/>
    <mergeCell ref="O4:Q4"/>
    <mergeCell ref="R4:T4"/>
    <mergeCell ref="BQ4:BS4"/>
    <mergeCell ref="BT4:BV4"/>
    <mergeCell ref="BW4:BY4"/>
    <mergeCell ref="BZ4:CB4"/>
    <mergeCell ref="U4:W4"/>
    <mergeCell ref="BK4:BM4"/>
  </mergeCells>
  <pageMargins left="0.11811023622047245" right="0.11811023622047245" top="0.15748031496062992" bottom="0.15748031496062992" header="0.11811023622047245" footer="0.11811023622047245"/>
  <pageSetup paperSize="3" fitToWidth="5" orientation="landscape" r:id="rId1"/>
  <headerFooter>
    <oddFooter>&amp;L&amp;"Arial Narrow,Regular"&amp;9&amp;Z&amp;F&amp;R&amp;A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5B4CD-339F-42BA-8F73-7E621486DBAC}"/>
</file>

<file path=customXml/itemProps2.xml><?xml version="1.0" encoding="utf-8"?>
<ds:datastoreItem xmlns:ds="http://schemas.openxmlformats.org/officeDocument/2006/customXml" ds:itemID="{86F9A486-5B85-4123-89D1-8D8D161539E0}"/>
</file>

<file path=customXml/itemProps3.xml><?xml version="1.0" encoding="utf-8"?>
<ds:datastoreItem xmlns:ds="http://schemas.openxmlformats.org/officeDocument/2006/customXml" ds:itemID="{C4D0EE15-6E22-48F5-AB74-F6EFF59860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GA Analysis 2016</vt:lpstr>
      <vt:lpstr>2016 Summary</vt:lpstr>
      <vt:lpstr>GA Analysis 2015</vt:lpstr>
      <vt:lpstr>2015 Summary</vt:lpstr>
      <vt:lpstr>NonInt Billing</vt:lpstr>
      <vt:lpstr>'2015 Summary'!Print_Area</vt:lpstr>
      <vt:lpstr>'GA Analysis 2015'!Print_Area</vt:lpstr>
      <vt:lpstr>'GA Analysis 2016'!Print_Area</vt:lpstr>
      <vt:lpstr>Instructions!Print_Area</vt:lpstr>
      <vt:lpstr>'NonInt Billing'!Print_Area</vt:lpstr>
      <vt:lpstr>'NonInt Billing'!Print_Titles</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Donna Kwan</dc:creator>
  <cp:lastModifiedBy>Tom Barrett</cp:lastModifiedBy>
  <cp:lastPrinted>2017-12-07T17:53:37Z</cp:lastPrinted>
  <dcterms:created xsi:type="dcterms:W3CDTF">2017-05-01T19:29:01Z</dcterms:created>
  <dcterms:modified xsi:type="dcterms:W3CDTF">2017-12-07T17:53:53Z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