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200" windowHeight="11880"/>
  </bookViews>
  <sheets>
    <sheet name="Material Capital Projects" sheetId="1" r:id="rId1"/>
  </sheets>
  <definedNames>
    <definedName name="_xlnm._FilterDatabase" localSheetId="0" hidden="1">'Material Capital Projects'!$A$6:$O$189</definedName>
    <definedName name="AS2DocOpenMode" hidden="1">"AS2DocumentEdit"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DIN" hidden="1">"AUTO"</definedName>
    <definedName name="IQ_ADJ_AVG_BANK_ASSETS" hidden="1">"c2671"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TIONS" hidden="1">"c2837"</definedName>
    <definedName name="IQ_AIR_ORDERS" hidden="1">"c2836"</definedName>
    <definedName name="IQ_AIR_OWNED" hidden="1">"c2832"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MT_OUT" hidden="1">"c2145"</definedName>
    <definedName name="IQ_ANNU_DISTRIBUTION_UNIT" hidden="1">"c3004"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BROKER_REC_NO_REUT" hidden="1">"c5315"</definedName>
    <definedName name="IQ_AVG_BROKER_REC_REUT" hidden="1">"c3630"</definedName>
    <definedName name="IQ_AVG_DAILY_VOL" hidden="1">"c65"</definedName>
    <definedName name="IQ_AVG_INDUSTRY_REC" hidden="1">"c4455"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SHAREOUTSTANDING" hidden="1">"c83"</definedName>
    <definedName name="IQ_AVG_TEV" hidden="1">"c84"</definedName>
    <definedName name="IQ_AVG_VOLUME" hidden="1">"c1346"</definedName>
    <definedName name="IQ_BANK_DEBT" hidden="1">"c2544"</definedName>
    <definedName name="IQ_BANK_DEBT_PCT" hidden="1">"c2545"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ROK_COMISSION" hidden="1">"c98"</definedName>
    <definedName name="IQ_BROK_COMMISSION" hidden="1">"c3514"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REV" hidden="1">"c4068"</definedName>
    <definedName name="IQ_BUS_SEG_REV_ABS" hidden="1">"c4090"</definedName>
    <definedName name="IQ_BUS_SEG_REV_TOTAL" hidden="1">"c4106"</definedName>
    <definedName name="IQ_BUSINESS_DESCRIPTION" hidden="1">"c322"</definedName>
    <definedName name="IQ_BV_OVER_SHARES" hidden="1">"c1349"</definedName>
    <definedName name="IQ_BV_SHARE" hidden="1">"c100"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Y" hidden="1">"c102"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IZED_INTEREST" hidden="1">"c3460"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CONVERSION" hidden="1">"c117"</definedName>
    <definedName name="IQ_CASH_DUE_BANKS" hidden="1">"c1351"</definedName>
    <definedName name="IQ_CASH_EQUIV" hidden="1">"c118"</definedName>
    <definedName name="IQ_CASH_FINAN" hidden="1">"c119"</definedName>
    <definedName name="IQ_CASH_FLOW_ACT_OR_EST" hidden="1">"c4154"</definedName>
    <definedName name="IQ_CASH_INTEREST" hidden="1">"c120"</definedName>
    <definedName name="IQ_CASH_INVEST" hidden="1">"c121"</definedName>
    <definedName name="IQ_CASH_OPER" hidden="1">"c122"</definedName>
    <definedName name="IQ_CASH_OPER_ACT_OR_EST" hidden="1">"c4164"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ED" hidden="1">"c2681"</definedName>
    <definedName name="IQ_CLASSA_OPTIONS_GRANTED" hidden="1">"c2680"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ID" hidden="1">"c3513"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T" hidden="1">"c2536"</definedName>
    <definedName name="IQ_CONVERT_PCT" hidden="1">"c2537"</definedName>
    <definedName name="IQ_CONVEXITY" hidden="1">"c2182"</definedName>
    <definedName name="IQ_COST_BORROWING" hidden="1">"c2936"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P" hidden="1">"c2495"</definedName>
    <definedName name="IQ_CP_PCT" hidden="1">"c2496"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IP" hidden="1">"c2245"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OSITS_INTEREST_SECURITIES" hidden="1">"c5509"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STRIBUTABLE_CASH" hidden="1">"c3002"</definedName>
    <definedName name="IQ_DISTRIBUTABLE_CASH_ACT_OR_EST" hidden="1">"c4278"</definedName>
    <definedName name="IQ_DISTRIBUTABLE_CASH_PAYOUT" hidden="1">"c3005"</definedName>
    <definedName name="IQ_DISTRIBUTABLE_CASH_SHARE" hidden="1">"c3003"</definedName>
    <definedName name="IQ_DISTRIBUTABLE_CASH_SHARE_ACT_OR_EST" hidden="1">"c4286"</definedName>
    <definedName name="IQ_DIV_AMOUNT" hidden="1">"c3041"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DURATION" hidden="1">"c2181"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REUT" hidden="1">"c5314"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EQ_INC" hidden="1">"c3498"</definedName>
    <definedName name="IQ_EBIT_EQ_INC_EXCL_SBC" hidden="1">"c3502"</definedName>
    <definedName name="IQ_EBIT_EXCL_SBC" hidden="1">"c3082"</definedName>
    <definedName name="IQ_EBIT_GW_ACT_OR_EST" hidden="1">"c4306"</definedName>
    <definedName name="IQ_EBIT_INT" hidden="1">"c360"</definedName>
    <definedName name="IQ_EBIT_MARGIN" hidden="1">"c359"</definedName>
    <definedName name="IQ_EBIT_OVER_IE" hidden="1">"c1369"</definedName>
    <definedName name="IQ_EBIT_SBC_ACT_OR_EST" hidden="1">"c4316"</definedName>
    <definedName name="IQ_EBIT_SBC_GW_ACT_OR_EST" hidden="1">"c4320"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ACT_OR_EST" hidden="1">"c2215"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REUT" hidden="1">"c3640"</definedName>
    <definedName name="IQ_EBITDA_EXCL_SBC" hidden="1">"c3081"</definedName>
    <definedName name="IQ_EBITDA_HIGH_EST" hidden="1">"c370"</definedName>
    <definedName name="IQ_EBITDA_HIGH_EST_REUT" hidden="1">"c3642"</definedName>
    <definedName name="IQ_EBITDA_INT" hidden="1">"c373"</definedName>
    <definedName name="IQ_EBITDA_LOW_EST" hidden="1">"c371"</definedName>
    <definedName name="IQ_EBITDA_LOW_EST_REUT" hidden="1">"c3643"</definedName>
    <definedName name="IQ_EBITDA_MARGIN" hidden="1">"c372"</definedName>
    <definedName name="IQ_EBITDA_MEDIAN_EST" hidden="1">"c1663"</definedName>
    <definedName name="IQ_EBITDA_MEDIAN_EST_REUT" hidden="1">"c3641"</definedName>
    <definedName name="IQ_EBITDA_NUM_EST" hidden="1">"c374"</definedName>
    <definedName name="IQ_EBITDA_NUM_EST_REUT" hidden="1">"c3644"</definedName>
    <definedName name="IQ_EBITDA_OVER_TOTAL_IE" hidden="1">"c1371"</definedName>
    <definedName name="IQ_EBITDA_SBC_ACT_OR_EST" hidden="1">"c4337"</definedName>
    <definedName name="IQ_EBITDA_STDDEV_EST" hidden="1">"c375"</definedName>
    <definedName name="IQ_EBITDA_STDDEV_EST_REUT" hidden="1">"c3645"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SBC_ACT_OR_EST" hidden="1">"c4350"</definedName>
    <definedName name="IQ_EBT_SBC_GW_ACT_OR_EST" hidden="1">"c4354"</definedName>
    <definedName name="IQ_EBT_UTI" hidden="1">"c390"</definedName>
    <definedName name="IQ_ECS_AUTHORIZED_SHARES" hidden="1">"c5583"</definedName>
    <definedName name="IQ_ECS_AUTHORIZED_SHARES_ABS" hidden="1">"c5597"</definedName>
    <definedName name="IQ_ECS_CONVERT_FACTOR" hidden="1">"c5581"</definedName>
    <definedName name="IQ_ECS_CONVERT_FACTOR_ABS" hidden="1">"c5595"</definedName>
    <definedName name="IQ_ECS_CONVERT_INTO" hidden="1">"c5580"</definedName>
    <definedName name="IQ_ECS_CONVERT_INTO_ABS" hidden="1">"c5594"</definedName>
    <definedName name="IQ_ECS_CONVERT_TYPE" hidden="1">"c5579"</definedName>
    <definedName name="IQ_ECS_CONVERT_TYPE_ABS" hidden="1">"c5593"</definedName>
    <definedName name="IQ_ECS_INACTIVE_DATE" hidden="1">"c5576"</definedName>
    <definedName name="IQ_ECS_INACTIVE_DATE_ABS" hidden="1">"c5590"</definedName>
    <definedName name="IQ_ECS_NAME" hidden="1">"c5571"</definedName>
    <definedName name="IQ_ECS_NAME_ABS" hidden="1">"c5585"</definedName>
    <definedName name="IQ_ECS_NUM_SHAREHOLDERS" hidden="1">"c5584"</definedName>
    <definedName name="IQ_ECS_NUM_SHAREHOLDERS_ABS" hidden="1">"c5598"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SHARES_OUT_BS_DATE" hidden="1">"c5572"</definedName>
    <definedName name="IQ_ECS_SHARES_OUT_BS_DATE_ABS" hidden="1">"c5586"</definedName>
    <definedName name="IQ_ECS_SHARES_OUT_FILING_DATE" hidden="1">"c5573"</definedName>
    <definedName name="IQ_ECS_SHARES_OUT_FILING_DATE_ABS" hidden="1">"c5587"</definedName>
    <definedName name="IQ_ECS_START_DATE" hidden="1">"c5575"</definedName>
    <definedName name="IQ_ECS_START_DATE_ABS" hidden="1">"c5589"</definedName>
    <definedName name="IQ_ECS_TYPE" hidden="1">"c5574"</definedName>
    <definedName name="IQ_ECS_TYPE_ABS" hidden="1">"c5588"</definedName>
    <definedName name="IQ_ECS_VOTING" hidden="1">"c5582"</definedName>
    <definedName name="IQ_ECS_VOTING_ABS" hidden="1">"c5596"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EST" hidden="1">"c399"</definedName>
    <definedName name="IQ_EPS_EST_REUT" hidden="1">"c5453"</definedName>
    <definedName name="IQ_EPS_HIGH_EST" hidden="1">"c400"</definedName>
    <definedName name="IQ_EPS_HIGH_EST_REUT" hidden="1">"c5454"</definedName>
    <definedName name="IQ_EPS_LOW_EST" hidden="1">"c401"</definedName>
    <definedName name="IQ_EPS_LOW_EST_REUT" hidden="1">"c5455"</definedName>
    <definedName name="IQ_EPS_MEDIAN_EST" hidden="1">"c1661"</definedName>
    <definedName name="IQ_EPS_MEDIAN_EST_REUT" hidden="1">"c5456"</definedName>
    <definedName name="IQ_EPS_NORM" hidden="1">"c1902"</definedName>
    <definedName name="IQ_EPS_NUM_EST" hidden="1">"c402"</definedName>
    <definedName name="IQ_EPS_NUM_EST_REUT" hidden="1">"c5451"</definedName>
    <definedName name="IQ_EPS_SBC_ACT_OR_EST" hidden="1">"c4376"</definedName>
    <definedName name="IQ_EPS_SBC_GW_ACT_OR_EST" hidden="1">"c4380"</definedName>
    <definedName name="IQ_EPS_STDDEV_EST" hidden="1">"c403"</definedName>
    <definedName name="IQ_EPS_STDDEV_EST_REUT" hidden="1">"c5452"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ST_CURRENCY" hidden="1">"c2140"</definedName>
    <definedName name="IQ_EST_CURRENCY_REUT" hidden="1">"c5437"</definedName>
    <definedName name="IQ_EST_DATE" hidden="1">"c1634"</definedName>
    <definedName name="IQ_EST_DATE_REUT" hidden="1">"c5438"</definedName>
    <definedName name="IQ_EST_EPS_GROWTH_1YR" hidden="1">"c1636"</definedName>
    <definedName name="IQ_EST_EPS_GROWTH_1YR_REUT" hidden="1">"c3646"</definedName>
    <definedName name="IQ_EST_EPS_GROWTH_5YR" hidden="1">"c1655"</definedName>
    <definedName name="IQ_EST_EPS_GROWTH_5YR_REUT" hidden="1">"c3633"</definedName>
    <definedName name="IQ_EST_EPS_GROWTH_Q_1YR" hidden="1">"c1641"</definedName>
    <definedName name="IQ_EST_EPS_GROWTH_Q_1YR_REUT" hidden="1">"c5410"</definedName>
    <definedName name="IQ_EST_VENDOR" hidden="1">"c5564"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EDFUNDS_SOLD" hidden="1">"c2256"</definedName>
    <definedName name="IQ_FFO" hidden="1">"c1574"</definedName>
    <definedName name="IQ_FFO_ADJ_ACT_OR_EST" hidden="1">"c4435"</definedName>
    <definedName name="IQ_FFO_PAYOUT_RATIO" hidden="1">"c3492"</definedName>
    <definedName name="IQ_FFO_SHARE_ACT_OR_EST" hidden="1">"c4446"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CURRENT_PORT_DEBT_TOTAL" hidden="1">"c5524"</definedName>
    <definedName name="IQ_FIN_DIV_CURRENT_PORT_LEASES_TOTAL" hidden="1">"c5523"</definedName>
    <definedName name="IQ_FIN_DIV_DEBT_CURRENT" hidden="1">"c429"</definedName>
    <definedName name="IQ_FIN_DIV_DEBT_LT" hidden="1">"c430"</definedName>
    <definedName name="IQ_FIN_DIV_DEBT_LT_TOTAL" hidden="1">"c5526"</definedName>
    <definedName name="IQ_FIN_DIV_DEBT_TOTAL" hidden="1">"c5656"</definedName>
    <definedName name="IQ_FIN_DIV_EXP" hidden="1">"c431"</definedName>
    <definedName name="IQ_FIN_DIV_INT_EXP" hidden="1">"c432"</definedName>
    <definedName name="IQ_FIN_DIV_LEASES_LT_TOTAL" hidden="1">"c5525"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NOTES_PAY_TOTAL" hidden="1">"c5522"</definedName>
    <definedName name="IQ_FIN_DIV_REV" hidden="1">"c437"</definedName>
    <definedName name="IQ_FIN_DIV_ST_DEBT_TOTAL" hidden="1">"c5527"</definedName>
    <definedName name="IQ_FINANCING_CASH" hidden="1">"c1405"</definedName>
    <definedName name="IQ_FINANCING_CASH_SUPPL" hidden="1">"c1406"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Y" hidden="1">1000</definedName>
    <definedName name="IQ_GA_EXP" hidden="1">"c2241"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C_EARNED" hidden="1">"c2747"</definedName>
    <definedName name="IQ_GROSS_PROFIT" hidden="1">"c1378"</definedName>
    <definedName name="IQ_GROSS_SPRD" hidden="1">"c2155"</definedName>
    <definedName name="IQ_GROSS_WRITTEN" hidden="1">"c2726"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_TARGET_PRICE" hidden="1">"c1651"</definedName>
    <definedName name="IQ_HIGH_TARGET_PRICE_REUT" hidden="1">"c5317"</definedName>
    <definedName name="IQ_HIGHPRICE" hidden="1">"c545"</definedName>
    <definedName name="IQ_HOMEOWNERS_WRITTEN" hidden="1">"c546"</definedName>
    <definedName name="IQ_IMPAIR_OIL" hidden="1">"c547"</definedName>
    <definedName name="IQ_IMPAIRMENT_GW" hidden="1">"c548"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DUSTRY" hidden="1">"c3601"</definedName>
    <definedName name="IQ_INDUSTRY_GROUP" hidden="1">"c3602"</definedName>
    <definedName name="IQ_INDUSTRY_SECTOR" hidden="1">"c3603"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PRD" hidden="1">"c644"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H_STATUTORY_SURPLUS" hidden="1">"c2771"</definedName>
    <definedName name="IQ_LICENSED_POPS" hidden="1">"c2123"</definedName>
    <definedName name="IQ_LIFE_EARNED" hidden="1">"c2739"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SS_TO_NET_EARNED" hidden="1">"c2751"</definedName>
    <definedName name="IQ_LOW_TARGET_PRICE" hidden="1">"c1652"</definedName>
    <definedName name="IQ_LOW_TARGET_PRICE_REUT" hidden="1">"c5318"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ACHINERY" hidden="1">"c711"</definedName>
    <definedName name="IQ_MAINT_CAPEX" hidden="1">"c2947"</definedName>
    <definedName name="IQ_MAINT_CAPEX_ACT_OR_EST" hidden="1">"c4458"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C_RATIO" hidden="1">"c2783"</definedName>
    <definedName name="IQ_MC_STATUTORY_SURPLUS" hidden="1">"c2772"</definedName>
    <definedName name="IQ_MEDIAN_TARGET_PRICE" hidden="1">"c1650"</definedName>
    <definedName name="IQ_MEDIAN_TARGET_PRICE_REUT" hidden="1">"c5316"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REUT" hidden="1">"c4048"</definedName>
    <definedName name="IQ_MM_ACCOUNT" hidden="1">"c743"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SERV_RIGHTS" hidden="1">"c2242"</definedName>
    <definedName name="IQ_NET_CHANGE" hidden="1">"c749"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EBITDA" hidden="1">"c750"</definedName>
    <definedName name="IQ_NET_DEBT_EBITDA_CAPEX" hidden="1">"c2949"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EARNED" hidden="1">"c2734"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IFE_INS_IN_FORCE" hidden="1">"c2769"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MARGIN" hidden="1">"c794"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SBC_ACT_OR_EST" hidden="1">"c4474"</definedName>
    <definedName name="IQ_NI_SBC_GW_ACT_OR_EST" hidden="1">"c4478"</definedName>
    <definedName name="IQ_NI_SFAS" hidden="1">"c795"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CASH_PENSION_EXP" hidden="1">"c3000"</definedName>
    <definedName name="IQ_NONRECOURSE_DEBT" hidden="1">"c2550"</definedName>
    <definedName name="IQ_NONRECOURSE_DEBT_PCT" hidden="1">"c2551"</definedName>
    <definedName name="IQ_NONUTIL_REV" hidden="1">"c2089"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VISIONS_GAS" hidden="1">"c2042"</definedName>
    <definedName name="IQ_OG_REVISIONS_NGL" hidden="1">"c2913"</definedName>
    <definedName name="IQ_OG_REVISIONS_OIL" hidden="1">"c2030"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UNDEVELOPED_RESERVES_GAS" hidden="1">"c2051"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THER_ADJUST_GROSS_LOANS" hidden="1">"c859"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ED" hidden="1">"c2688"</definedName>
    <definedName name="IQ_OTHER_OPTIONS_GRANTED" hidden="1">"c2687"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STRIKE_PRICE_GRANTED" hidden="1">"c2692"</definedName>
    <definedName name="IQ_OTHER_UNDRAWN" hidden="1">"c2522"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WNERSHIP" hidden="1">"c2160"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REUT" hidden="1">"c4049"</definedName>
    <definedName name="IQ_PE_NORMALIZED" hidden="1">"c2207"</definedName>
    <definedName name="IQ_PE_RATIO" hidden="1">"c1610"</definedName>
    <definedName name="IQ_PEG_FWD" hidden="1">"c1863"</definedName>
    <definedName name="IQ_PEG_FWD_REUT" hidden="1">"c4052"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RE_OPEN_COST" hidden="1">"c1040"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ICE_OVER_BVPS" hidden="1">"c1412"</definedName>
    <definedName name="IQ_PRICE_OVER_LTM_EPS" hidden="1">"c1413"</definedName>
    <definedName name="IQ_PRICE_TARGET" hidden="1">"c82"</definedName>
    <definedName name="IQ_PRICE_TARGET_REUT" hidden="1">"c3631"</definedName>
    <definedName name="IQ_PRICEDATE" hidden="1">"c1069"</definedName>
    <definedName name="IQ_PRICING_DATE" hidden="1">"c1613"</definedName>
    <definedName name="IQ_PRIMARY_INDUSTRY" hidden="1">"c1070"</definedName>
    <definedName name="IQ_PRINCIPAL_AMT" hidden="1">"c2157"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T_DATE_SCHEDULE" hidden="1">"c2483"</definedName>
    <definedName name="IQ_PUT_NOTIFICATION" hidden="1">"c2485"</definedName>
    <definedName name="IQ_PUT_PRICE_SCHEDULE" hidden="1">"c2484"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CURRING_PROFIT_ACT_OR_EST" hidden="1">"c4507"</definedName>
    <definedName name="IQ_RECURRING_PROFIT_SHARE_ACT_OR_EST" hidden="1">"c4508"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VG_STORE_SIZE_GROSS" hidden="1">"c2066"</definedName>
    <definedName name="IQ_RETAIL_AVG_STORE_SIZE_NET" hidden="1">"c2067"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WNED_STORES_BEG" hidden="1">"c2901"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FRANCHISE_STORES" hidden="1">"c2898"</definedName>
    <definedName name="IQ_RETAIL_TOTAL_OWNED_STORES" hidden="1">"c2906"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STDDEV_EST" hidden="1">"c1124"</definedName>
    <definedName name="IQ_REV_STDDEV_EST_REUT" hidden="1">"c3639"</definedName>
    <definedName name="IQ_REV_UTI" hidden="1">"c1125"</definedName>
    <definedName name="IQ_REVENUE" hidden="1">"c1422"</definedName>
    <definedName name="IQ_REVENUE_ACT_OR_EST" hidden="1">"c2214"</definedName>
    <definedName name="IQ_REVENUE_EST" hidden="1">"c1126"</definedName>
    <definedName name="IQ_REVENUE_EST_REUT" hidden="1">"c3634"</definedName>
    <definedName name="IQ_REVENUE_HIGH_EST" hidden="1">"c1127"</definedName>
    <definedName name="IQ_REVENUE_HIGH_EST_REUT" hidden="1">"c3636"</definedName>
    <definedName name="IQ_REVENUE_LOW_EST" hidden="1">"c1128"</definedName>
    <definedName name="IQ_REVENUE_LOW_EST_REUT" hidden="1">"c3637"</definedName>
    <definedName name="IQ_REVENUE_MEDIAN_EST" hidden="1">"c1662"</definedName>
    <definedName name="IQ_REVENUE_MEDIAN_EST_REUT" hidden="1">"c3635"</definedName>
    <definedName name="IQ_REVENUE_NUM_EST" hidden="1">"c1129"</definedName>
    <definedName name="IQ_REVENUE_NUM_EST_REUT" hidden="1">"c3638"</definedName>
    <definedName name="IQ_REVISION_DATE_" hidden="1">39545.3291782407</definedName>
    <definedName name="IQ_RISK_ADJ_BANK_ASSETS" hidden="1">"c2670"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EC_PURCHASED_RESELL" hidden="1">"c5513"</definedName>
    <definedName name="IQ_SECUR_RECEIV" hidden="1">"c1151"</definedName>
    <definedName name="IQ_SECURED_DEBT" hidden="1">"c2546"</definedName>
    <definedName name="IQ_SECURED_DEBT_PCT" hidden="1">"c2547"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IKE_PRICE_ISSUED" hidden="1">"c1645"</definedName>
    <definedName name="IQ_STRIKE_PRICE_OS" hidden="1">"c1646"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RGET_PRICE_NUM" hidden="1">"c1653"</definedName>
    <definedName name="IQ_TARGET_PRICE_NUM_REUT" hidden="1">"c5319"</definedName>
    <definedName name="IQ_TARGET_PRICE_STDDEV" hidden="1">"c1654"</definedName>
    <definedName name="IQ_TARGET_PRICE_STDDEV_REUT" hidden="1">"c5320"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BITDA_FWD_REUT" hidden="1">"c4050"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REUT" hidden="1">"c4051"</definedName>
    <definedName name="IQ_TEV_UFCF" hidden="1">"c2208"</definedName>
    <definedName name="IQ_TIER_ONE_CAPITAL" hidden="1">"c2667"</definedName>
    <definedName name="IQ_TIER_ONE_RATIO" hidden="1">"c1229"</definedName>
    <definedName name="IQ_TIER_TWO_CAPITAL" hidden="1">"c2669"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ANS" hidden="1">"c5653"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ED" hidden="1">"c2695"</definedName>
    <definedName name="IQ_TOTAL_OPTIONS_GRANTED" hidden="1">"c2694"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IT" hidden="1">"c5520"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CURRENCY" hidden="1">"c2212"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SECURED_DEBT" hidden="1">"c2548"</definedName>
    <definedName name="IQ_UNSECURED_DEBT_PCT" hidden="1">"c2549"</definedName>
    <definedName name="IQ_UNUSUAL_EXP" hidden="1">"c1456"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IGHTED_AVG_PRICE" hidden="1">"c1334"</definedName>
    <definedName name="IQ_WIP_INV" hidden="1">"c1335"</definedName>
    <definedName name="IQ_WORKING_CAP" hidden="1">"c3494"</definedName>
    <definedName name="IQ_WORKMEN_WRITTEN" hidden="1">"c1336"</definedName>
    <definedName name="IQ_XDIV_DATE" hidden="1">"c2203"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_xlnm.Print_Area" localSheetId="0">'Material Capital Projects'!$A$1:$N$190</definedName>
    <definedName name="_xlnm.Print_Titles" localSheetId="0">'Material Capital Projects'!$6:$6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2" i="1" l="1"/>
  <c r="G125" i="1" l="1"/>
  <c r="G123" i="1"/>
  <c r="H159" i="1" l="1"/>
  <c r="H161" i="1"/>
  <c r="G185" i="1"/>
  <c r="G182" i="1"/>
  <c r="G186" i="1"/>
  <c r="G184" i="1"/>
  <c r="G76" i="1"/>
  <c r="G75" i="1"/>
  <c r="G39" i="1"/>
  <c r="G42" i="1"/>
  <c r="G29" i="1"/>
  <c r="G31" i="1"/>
  <c r="G23" i="1"/>
  <c r="G72" i="1" l="1"/>
  <c r="G43" i="1" l="1"/>
  <c r="G28" i="1"/>
  <c r="G26" i="1"/>
  <c r="G24" i="1"/>
  <c r="F188" i="1" l="1"/>
  <c r="G188" i="1"/>
  <c r="F179" i="1"/>
  <c r="G179" i="1"/>
  <c r="F176" i="1" l="1"/>
  <c r="F172" i="1"/>
  <c r="F171" i="1"/>
  <c r="G177" i="1"/>
  <c r="F168" i="1"/>
  <c r="G168" i="1"/>
  <c r="F166" i="1"/>
  <c r="G166" i="1"/>
  <c r="F164" i="1"/>
  <c r="G164" i="1"/>
  <c r="F162" i="1"/>
  <c r="G162" i="1"/>
  <c r="F158" i="1"/>
  <c r="G158" i="1"/>
  <c r="F140" i="1"/>
  <c r="F149" i="1" s="1"/>
  <c r="G149" i="1"/>
  <c r="F138" i="1"/>
  <c r="G138" i="1"/>
  <c r="F130" i="1"/>
  <c r="G130" i="1"/>
  <c r="H130" i="1"/>
  <c r="I130" i="1"/>
  <c r="J130" i="1"/>
  <c r="K130" i="1"/>
  <c r="L130" i="1"/>
  <c r="M130" i="1"/>
  <c r="E130" i="1"/>
  <c r="G128" i="1"/>
  <c r="F128" i="1"/>
  <c r="F119" i="1"/>
  <c r="G119" i="1"/>
  <c r="F122" i="1"/>
  <c r="G122" i="1"/>
  <c r="F99" i="1"/>
  <c r="F116" i="1" s="1"/>
  <c r="G116" i="1"/>
  <c r="F95" i="1"/>
  <c r="G95" i="1"/>
  <c r="F72" i="1"/>
  <c r="F43" i="1"/>
  <c r="F41" i="1"/>
  <c r="G41" i="1"/>
  <c r="F38" i="1"/>
  <c r="G38" i="1"/>
  <c r="F35" i="1"/>
  <c r="G35" i="1"/>
  <c r="F32" i="1"/>
  <c r="G32" i="1"/>
  <c r="F30" i="1"/>
  <c r="G30" i="1"/>
  <c r="F28" i="1"/>
  <c r="F26" i="1"/>
  <c r="F24" i="1"/>
  <c r="G19" i="1"/>
  <c r="F19" i="1"/>
  <c r="F177" i="1" l="1"/>
  <c r="F180" i="1" s="1"/>
  <c r="F44" i="1"/>
  <c r="F131" i="1"/>
  <c r="F156" i="1"/>
  <c r="G180" i="1"/>
  <c r="G156" i="1"/>
  <c r="G131" i="1"/>
  <c r="G44" i="1"/>
  <c r="N7" i="1"/>
  <c r="N8" i="1"/>
  <c r="N9" i="1"/>
  <c r="N10" i="1"/>
  <c r="N11" i="1"/>
  <c r="N12" i="1"/>
  <c r="N13" i="1"/>
  <c r="N14" i="1"/>
  <c r="N15" i="1"/>
  <c r="N16" i="1"/>
  <c r="N17" i="1"/>
  <c r="N18" i="1"/>
  <c r="N23" i="1"/>
  <c r="N24" i="1" s="1"/>
  <c r="N25" i="1"/>
  <c r="N26" i="1" s="1"/>
  <c r="N27" i="1"/>
  <c r="N28" i="1" s="1"/>
  <c r="N29" i="1"/>
  <c r="N30" i="1" s="1"/>
  <c r="N31" i="1"/>
  <c r="N32" i="1" s="1"/>
  <c r="N33" i="1"/>
  <c r="N34" i="1"/>
  <c r="N36" i="1"/>
  <c r="N37" i="1"/>
  <c r="N39" i="1"/>
  <c r="N40" i="1"/>
  <c r="N42" i="1"/>
  <c r="N43" i="1" s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6" i="1"/>
  <c r="N97" i="1"/>
  <c r="N98" i="1"/>
  <c r="N99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7" i="1"/>
  <c r="N118" i="1"/>
  <c r="N120" i="1"/>
  <c r="N121" i="1"/>
  <c r="N123" i="1"/>
  <c r="N124" i="1"/>
  <c r="N125" i="1"/>
  <c r="N127" i="1"/>
  <c r="N128" i="1" s="1"/>
  <c r="N132" i="1"/>
  <c r="N133" i="1"/>
  <c r="N134" i="1"/>
  <c r="N135" i="1"/>
  <c r="N136" i="1"/>
  <c r="N137" i="1"/>
  <c r="N139" i="1"/>
  <c r="N140" i="1"/>
  <c r="N141" i="1"/>
  <c r="N142" i="1"/>
  <c r="N143" i="1"/>
  <c r="N144" i="1"/>
  <c r="N145" i="1"/>
  <c r="N146" i="1"/>
  <c r="N147" i="1"/>
  <c r="N148" i="1"/>
  <c r="N150" i="1"/>
  <c r="N151" i="1"/>
  <c r="N152" i="1"/>
  <c r="N153" i="1"/>
  <c r="N154" i="1"/>
  <c r="N157" i="1"/>
  <c r="N158" i="1" s="1"/>
  <c r="N160" i="1"/>
  <c r="N161" i="1"/>
  <c r="N163" i="1"/>
  <c r="N164" i="1" s="1"/>
  <c r="N165" i="1"/>
  <c r="N166" i="1" s="1"/>
  <c r="N167" i="1"/>
  <c r="N168" i="1" s="1"/>
  <c r="N169" i="1"/>
  <c r="N170" i="1"/>
  <c r="N171" i="1"/>
  <c r="N172" i="1"/>
  <c r="N173" i="1"/>
  <c r="N174" i="1"/>
  <c r="N176" i="1"/>
  <c r="N178" i="1"/>
  <c r="N179" i="1" s="1"/>
  <c r="N182" i="1"/>
  <c r="N184" i="1"/>
  <c r="N185" i="1"/>
  <c r="N186" i="1"/>
  <c r="N187" i="1"/>
  <c r="H188" i="1"/>
  <c r="H179" i="1"/>
  <c r="H177" i="1"/>
  <c r="H168" i="1"/>
  <c r="H166" i="1"/>
  <c r="H164" i="1"/>
  <c r="H162" i="1"/>
  <c r="H158" i="1"/>
  <c r="H155" i="1"/>
  <c r="H149" i="1"/>
  <c r="H138" i="1"/>
  <c r="H128" i="1"/>
  <c r="H126" i="1"/>
  <c r="H122" i="1"/>
  <c r="H119" i="1"/>
  <c r="H116" i="1"/>
  <c r="F181" i="1" l="1"/>
  <c r="F189" i="1" s="1"/>
  <c r="N126" i="1"/>
  <c r="N35" i="1"/>
  <c r="N41" i="1"/>
  <c r="N177" i="1"/>
  <c r="N122" i="1"/>
  <c r="N119" i="1"/>
  <c r="G181" i="1"/>
  <c r="G189" i="1" s="1"/>
  <c r="N38" i="1"/>
  <c r="N155" i="1"/>
  <c r="N149" i="1"/>
  <c r="N138" i="1"/>
  <c r="N116" i="1"/>
  <c r="N19" i="1"/>
  <c r="H156" i="1"/>
  <c r="N159" i="1"/>
  <c r="N162" i="1" s="1"/>
  <c r="H180" i="1"/>
  <c r="H73" i="1"/>
  <c r="N73" i="1" s="1"/>
  <c r="H74" i="1"/>
  <c r="N74" i="1" s="1"/>
  <c r="H71" i="1"/>
  <c r="H95" i="1" l="1"/>
  <c r="N180" i="1"/>
  <c r="N156" i="1"/>
  <c r="N95" i="1"/>
  <c r="H72" i="1"/>
  <c r="H131" i="1" s="1"/>
  <c r="N71" i="1"/>
  <c r="N72" i="1" s="1"/>
  <c r="N131" i="1" l="1"/>
  <c r="H43" i="1" l="1"/>
  <c r="H41" i="1"/>
  <c r="H38" i="1"/>
  <c r="H35" i="1"/>
  <c r="H32" i="1"/>
  <c r="I32" i="1"/>
  <c r="J32" i="1"/>
  <c r="K32" i="1"/>
  <c r="L32" i="1"/>
  <c r="M32" i="1"/>
  <c r="E32" i="1"/>
  <c r="H30" i="1"/>
  <c r="H28" i="1"/>
  <c r="H26" i="1"/>
  <c r="H24" i="1"/>
  <c r="H22" i="1"/>
  <c r="H19" i="1"/>
  <c r="H44" i="1" l="1"/>
  <c r="H181" i="1" s="1"/>
  <c r="H189" i="1" s="1"/>
  <c r="E30" i="1" l="1"/>
  <c r="I30" i="1"/>
  <c r="J30" i="1"/>
  <c r="K30" i="1"/>
  <c r="L30" i="1"/>
  <c r="M30" i="1"/>
  <c r="L72" i="1" l="1"/>
  <c r="E19" i="1" l="1"/>
  <c r="I19" i="1"/>
  <c r="J19" i="1"/>
  <c r="K19" i="1"/>
  <c r="L19" i="1"/>
  <c r="M19" i="1"/>
  <c r="M20" i="1"/>
  <c r="N20" i="1" s="1"/>
  <c r="M21" i="1"/>
  <c r="N21" i="1" s="1"/>
  <c r="E22" i="1"/>
  <c r="J22" i="1"/>
  <c r="K22" i="1"/>
  <c r="L22" i="1"/>
  <c r="E24" i="1"/>
  <c r="I24" i="1"/>
  <c r="J24" i="1"/>
  <c r="K24" i="1"/>
  <c r="L24" i="1"/>
  <c r="M24" i="1"/>
  <c r="E26" i="1"/>
  <c r="I26" i="1"/>
  <c r="J26" i="1"/>
  <c r="K26" i="1"/>
  <c r="L26" i="1"/>
  <c r="M26" i="1"/>
  <c r="E28" i="1"/>
  <c r="I28" i="1"/>
  <c r="J28" i="1"/>
  <c r="K28" i="1"/>
  <c r="L28" i="1"/>
  <c r="M28" i="1"/>
  <c r="E35" i="1"/>
  <c r="I35" i="1"/>
  <c r="J35" i="1"/>
  <c r="K35" i="1"/>
  <c r="L35" i="1"/>
  <c r="M35" i="1"/>
  <c r="E38" i="1"/>
  <c r="I38" i="1"/>
  <c r="J38" i="1"/>
  <c r="K38" i="1"/>
  <c r="L38" i="1"/>
  <c r="M38" i="1"/>
  <c r="E41" i="1"/>
  <c r="I41" i="1"/>
  <c r="J41" i="1"/>
  <c r="K41" i="1"/>
  <c r="L41" i="1"/>
  <c r="M41" i="1"/>
  <c r="E43" i="1"/>
  <c r="I43" i="1"/>
  <c r="J43" i="1"/>
  <c r="K43" i="1"/>
  <c r="L43" i="1"/>
  <c r="M43" i="1"/>
  <c r="E72" i="1"/>
  <c r="I72" i="1"/>
  <c r="J72" i="1"/>
  <c r="K72" i="1"/>
  <c r="M72" i="1"/>
  <c r="E95" i="1"/>
  <c r="K95" i="1"/>
  <c r="L95" i="1"/>
  <c r="M95" i="1"/>
  <c r="E116" i="1"/>
  <c r="J116" i="1"/>
  <c r="K116" i="1"/>
  <c r="L116" i="1"/>
  <c r="M116" i="1"/>
  <c r="E119" i="1"/>
  <c r="I119" i="1"/>
  <c r="J119" i="1"/>
  <c r="K119" i="1"/>
  <c r="L119" i="1"/>
  <c r="M119" i="1"/>
  <c r="E122" i="1"/>
  <c r="I122" i="1"/>
  <c r="J122" i="1"/>
  <c r="K122" i="1"/>
  <c r="L122" i="1"/>
  <c r="M122" i="1"/>
  <c r="E126" i="1"/>
  <c r="I126" i="1"/>
  <c r="J126" i="1"/>
  <c r="K126" i="1"/>
  <c r="L126" i="1"/>
  <c r="M126" i="1"/>
  <c r="E128" i="1"/>
  <c r="I128" i="1"/>
  <c r="J128" i="1"/>
  <c r="K128" i="1"/>
  <c r="L128" i="1"/>
  <c r="M128" i="1"/>
  <c r="J138" i="1"/>
  <c r="I149" i="1"/>
  <c r="J149" i="1"/>
  <c r="K149" i="1"/>
  <c r="L149" i="1"/>
  <c r="M149" i="1"/>
  <c r="E155" i="1"/>
  <c r="J155" i="1"/>
  <c r="K155" i="1"/>
  <c r="L155" i="1"/>
  <c r="M155" i="1"/>
  <c r="E162" i="1"/>
  <c r="I162" i="1"/>
  <c r="J162" i="1"/>
  <c r="K162" i="1"/>
  <c r="L162" i="1"/>
  <c r="M162" i="1"/>
  <c r="J166" i="1"/>
  <c r="K166" i="1"/>
  <c r="L166" i="1"/>
  <c r="I177" i="1"/>
  <c r="E177" i="1"/>
  <c r="J177" i="1"/>
  <c r="K177" i="1"/>
  <c r="L177" i="1"/>
  <c r="M177" i="1"/>
  <c r="E179" i="1"/>
  <c r="I179" i="1"/>
  <c r="J179" i="1"/>
  <c r="K179" i="1"/>
  <c r="L179" i="1"/>
  <c r="M179" i="1"/>
  <c r="I183" i="1"/>
  <c r="M183" i="1"/>
  <c r="E131" i="1" l="1"/>
  <c r="L131" i="1"/>
  <c r="E44" i="1"/>
  <c r="M131" i="1"/>
  <c r="K131" i="1"/>
  <c r="N22" i="1"/>
  <c r="N44" i="1" s="1"/>
  <c r="N181" i="1" s="1"/>
  <c r="N183" i="1"/>
  <c r="N188" i="1" s="1"/>
  <c r="E149" i="1"/>
  <c r="M138" i="1"/>
  <c r="M156" i="1" s="1"/>
  <c r="L138" i="1"/>
  <c r="L156" i="1" s="1"/>
  <c r="I166" i="1"/>
  <c r="M158" i="1"/>
  <c r="I158" i="1"/>
  <c r="I95" i="1"/>
  <c r="E158" i="1"/>
  <c r="J168" i="1"/>
  <c r="K168" i="1"/>
  <c r="L164" i="1"/>
  <c r="L44" i="1"/>
  <c r="J164" i="1"/>
  <c r="E164" i="1"/>
  <c r="K138" i="1"/>
  <c r="K156" i="1" s="1"/>
  <c r="I22" i="1"/>
  <c r="L188" i="1"/>
  <c r="I138" i="1"/>
  <c r="K44" i="1"/>
  <c r="M22" i="1"/>
  <c r="M44" i="1" s="1"/>
  <c r="M188" i="1"/>
  <c r="M164" i="1"/>
  <c r="J158" i="1"/>
  <c r="J156" i="1"/>
  <c r="J188" i="1"/>
  <c r="I188" i="1"/>
  <c r="M168" i="1"/>
  <c r="I168" i="1"/>
  <c r="E166" i="1"/>
  <c r="I164" i="1"/>
  <c r="E138" i="1"/>
  <c r="L168" i="1"/>
  <c r="E168" i="1"/>
  <c r="K158" i="1"/>
  <c r="I116" i="1"/>
  <c r="I131" i="1" s="1"/>
  <c r="K188" i="1"/>
  <c r="L158" i="1"/>
  <c r="J95" i="1"/>
  <c r="J131" i="1" s="1"/>
  <c r="M166" i="1"/>
  <c r="K164" i="1"/>
  <c r="I155" i="1"/>
  <c r="J44" i="1"/>
  <c r="N189" i="1" l="1"/>
  <c r="E156" i="1"/>
  <c r="E188" i="1"/>
  <c r="K180" i="1"/>
  <c r="K181" i="1" s="1"/>
  <c r="K189" i="1" s="1"/>
  <c r="E180" i="1"/>
  <c r="J180" i="1"/>
  <c r="I44" i="1"/>
  <c r="I156" i="1"/>
  <c r="M180" i="1"/>
  <c r="M181" i="1" s="1"/>
  <c r="M189" i="1" s="1"/>
  <c r="I180" i="1"/>
  <c r="L180" i="1"/>
  <c r="J181" i="1" l="1"/>
  <c r="J189" i="1" s="1"/>
  <c r="E181" i="1"/>
  <c r="E189" i="1" s="1"/>
  <c r="I181" i="1"/>
  <c r="I189" i="1" s="1"/>
  <c r="L181" i="1"/>
  <c r="L189" i="1" s="1"/>
</calcChain>
</file>

<file path=xl/sharedStrings.xml><?xml version="1.0" encoding="utf-8"?>
<sst xmlns="http://schemas.openxmlformats.org/spreadsheetml/2006/main" count="331" uniqueCount="187">
  <si>
    <t>Business Unit</t>
  </si>
  <si>
    <t>Description</t>
  </si>
  <si>
    <t>TOTAL</t>
  </si>
  <si>
    <t>C0531 - Roads</t>
  </si>
  <si>
    <t>Other Non-Material Road Projects</t>
  </si>
  <si>
    <t>C0532 - LRT</t>
  </si>
  <si>
    <t>C0541 - New Subdivisions(OfferConnect)</t>
  </si>
  <si>
    <t>New Subdivisions</t>
  </si>
  <si>
    <t>C0542 - Ind/Comm Services</t>
  </si>
  <si>
    <t>Industrial/Commercial Services</t>
  </si>
  <si>
    <t>C0544 - Residential Service Upgrades</t>
  </si>
  <si>
    <t>Residential Service Upgrades</t>
  </si>
  <si>
    <t>C0597 - Grid Supply Point Metering</t>
  </si>
  <si>
    <t>Tomken Upgrade</t>
  </si>
  <si>
    <t>C0598 - Metering</t>
  </si>
  <si>
    <t>Program - Metering Renewal</t>
  </si>
  <si>
    <t>Program - New Metering Installations</t>
  </si>
  <si>
    <t>C0899 - Smart Meters - New Condos</t>
  </si>
  <si>
    <t>Program - New IMS</t>
  </si>
  <si>
    <t>Program - Retrofit IMS</t>
  </si>
  <si>
    <t>C0900 - Green Energy - FIT/MicroFIT</t>
  </si>
  <si>
    <t>FIT &amp; MicroFIT Projects</t>
  </si>
  <si>
    <t>SYSTEM ACCESS</t>
  </si>
  <si>
    <t>C0505 - Subdivision Rebuild</t>
  </si>
  <si>
    <t>C0561 - Overhead Rebuilds</t>
  </si>
  <si>
    <t>C0562 - Subtransmission Renewal</t>
  </si>
  <si>
    <t>C0563 - U/G TX/Replace/Overhaul</t>
  </si>
  <si>
    <t>PCB &amp; Leaking Transformer Replacement Project - Underground</t>
  </si>
  <si>
    <t>C0564 - O/H TX/Replace/Overhaul</t>
  </si>
  <si>
    <t>PCB &amp; Leaking Transformer Replacement Project - Overhead</t>
  </si>
  <si>
    <t>C0565 - U/G Cable Replace</t>
  </si>
  <si>
    <t>C0567 - Emergency Replacements</t>
  </si>
  <si>
    <t>SYSTEM RENEWAL</t>
  </si>
  <si>
    <t>C0504 - Substation Upgrade</t>
  </si>
  <si>
    <t>Summerville MS</t>
  </si>
  <si>
    <t>Mini Britannia</t>
  </si>
  <si>
    <t>C0507 - Subtransmission Expansion</t>
  </si>
  <si>
    <t>C0576 - Auto Switches/SCADA</t>
  </si>
  <si>
    <t>SYSTEM SERVICE</t>
  </si>
  <si>
    <t>C0581 - Engineering &amp;  Asset Systems</t>
  </si>
  <si>
    <t>C0584 - Rolling Stock</t>
  </si>
  <si>
    <t>C0585 - Computer Equip</t>
  </si>
  <si>
    <t>C0588 - ERP System</t>
  </si>
  <si>
    <t>C0589 - Meter to Cash</t>
  </si>
  <si>
    <t>C0591 - Grounds &amp; Building</t>
  </si>
  <si>
    <t>C0595 - Major Tools Constr</t>
  </si>
  <si>
    <t>Major Tools</t>
  </si>
  <si>
    <t>GENERAL PLANT</t>
  </si>
  <si>
    <t>GROSS CAPITAL EXPENDITURES</t>
  </si>
  <si>
    <t>C0531C - CIAC - Roads</t>
  </si>
  <si>
    <t>C0532C - CIAC - LRT</t>
  </si>
  <si>
    <t>C0541C - CIAC - New Subdivisions (OTC)</t>
  </si>
  <si>
    <t>C0542C - CIAC Ind/Comm Services</t>
  </si>
  <si>
    <t>C0544C - CIAC Residential Service Upgrades</t>
  </si>
  <si>
    <t>C0900C - CIAC -Green Energy-FIT/MicrFIT</t>
  </si>
  <si>
    <t>CUSTOMER CONTRIBUTIONS</t>
  </si>
  <si>
    <t>NET CAPITAL EXPENDITURES FOR DSP (EXCLUDING ALLOCATED SYNERGIES)</t>
  </si>
  <si>
    <t>Program - Equipment Replacement</t>
  </si>
  <si>
    <t>Program - Pole Installations</t>
  </si>
  <si>
    <t>Project - Other Renewal</t>
  </si>
  <si>
    <t>Other Non-Material Projects</t>
  </si>
  <si>
    <t>Station Upgrades</t>
  </si>
  <si>
    <t xml:space="preserve">Webb MS </t>
  </si>
  <si>
    <t xml:space="preserve">York MS </t>
  </si>
  <si>
    <t>Rockwood MS</t>
  </si>
  <si>
    <t xml:space="preserve">Project Southdown – South of Royal Windsor </t>
  </si>
  <si>
    <t>Project - Churchill Meadows Feeder Egress - TS to Winston Churchill</t>
  </si>
  <si>
    <t xml:space="preserve">Project - Derry – WCB to Argentia </t>
  </si>
  <si>
    <t>Project - Centreview -  Mavis to Duke</t>
  </si>
  <si>
    <t>Project - Webb MS - Feeder Egress</t>
  </si>
  <si>
    <t>Project - Derry - Airport to Goreway</t>
  </si>
  <si>
    <t>Project - Lakeshore - Clarkson to Bexhill</t>
  </si>
  <si>
    <t xml:space="preserve">Project - Mini-Britannia TS Feeder Egress </t>
  </si>
  <si>
    <t>Project - Feeder Egress</t>
  </si>
  <si>
    <t>Program - U/G installation of SCADA/Automation switches</t>
  </si>
  <si>
    <t>Program - O/H installation of SCADA/Automation switches</t>
  </si>
  <si>
    <t>Program - RTU System Enhancements &amp; Equipment Upgrades</t>
  </si>
  <si>
    <t>Program - SCADA Master Upgrade</t>
  </si>
  <si>
    <t>Project - WiMAX Wireless Network Project</t>
  </si>
  <si>
    <t>Program - Hardware/Software Renewal</t>
  </si>
  <si>
    <t>Program - Cars/Light Trucks/Vans</t>
  </si>
  <si>
    <t>Program - Heavy Trucks/RBDs/Buckets</t>
  </si>
  <si>
    <t>Program - Other/Trailers/Lifters</t>
  </si>
  <si>
    <t>Various Hardware Renewal/Upgrades</t>
  </si>
  <si>
    <t>Program - Additional software licenses/Upgrades</t>
  </si>
  <si>
    <t xml:space="preserve">Project - Mavis building envelope </t>
  </si>
  <si>
    <t>Project - Mavis Building Generator replacement</t>
  </si>
  <si>
    <t>Program -  Building Upgrades - Mavis</t>
  </si>
  <si>
    <t>Project - Derry HVAC Upgrades</t>
  </si>
  <si>
    <t>Project - Derry Windows</t>
  </si>
  <si>
    <t>Project - Creditview - Britannia To Argentia</t>
  </si>
  <si>
    <t>Project - QEW - Various Bridge Rehabilitations</t>
  </si>
  <si>
    <t>Project - QEW - Evans to Cawthra</t>
  </si>
  <si>
    <t>Project - Mavis - Courtney Park to City Limits</t>
  </si>
  <si>
    <t>Project - Drew - Dixie to Tomken</t>
  </si>
  <si>
    <t>Project - Courtney Park - Kennedy to Tomken</t>
  </si>
  <si>
    <t>Project - Creekbank - Matheson To Shawson</t>
  </si>
  <si>
    <t>Project Hwy 401 - Credit River To Hwy10</t>
  </si>
  <si>
    <t>Project - Ninth Line -Eglinton to Britannia</t>
  </si>
  <si>
    <t>Project - Ninth Line - Britannia to Derry</t>
  </si>
  <si>
    <t>Project - Hwy 401 - WCB to Credit River</t>
  </si>
  <si>
    <t>LRT - Underground</t>
  </si>
  <si>
    <t>LRT - Overhead</t>
  </si>
  <si>
    <t>Program - TCP/IP GSP Conversion &amp; Reseal</t>
  </si>
  <si>
    <t xml:space="preserve">Project - Clarkson </t>
  </si>
  <si>
    <t>Project - Malton</t>
  </si>
  <si>
    <t>Project - Truscott Plaza Area</t>
  </si>
  <si>
    <t>Project - Burningoak Cres</t>
  </si>
  <si>
    <t>Project - Beechhollow Section 3</t>
  </si>
  <si>
    <t>Project - Ellengale</t>
  </si>
  <si>
    <t>Project - Maple Ridge</t>
  </si>
  <si>
    <t>Project - Gananoque - Section 1</t>
  </si>
  <si>
    <t>Project - Boughbeeches - Section 1</t>
  </si>
  <si>
    <t>Project - Copenhagen - Section 1</t>
  </si>
  <si>
    <t>Project - Appledore - Section 1</t>
  </si>
  <si>
    <t>Project - Credit Woodlands Crt/Wiltshire (design complete)</t>
  </si>
  <si>
    <t>Project - Glen Erin &amp; Montevideo - Section 1</t>
  </si>
  <si>
    <t>Project -Tenth Line Main Feeder</t>
  </si>
  <si>
    <t>Project - Folkway &amp; Erin Mills Main Feeder - L6259 to L6263</t>
  </si>
  <si>
    <t>Project - Glen Erin &amp; Battleford</t>
  </si>
  <si>
    <t>Project - City Centre Drive Cable Renewal</t>
  </si>
  <si>
    <t>Project - Baldwin Rd/ ROW</t>
  </si>
  <si>
    <t>Project - Golden Orchard/ Grassfire</t>
  </si>
  <si>
    <t>Project - Cedarglen Gate - Section 1</t>
  </si>
  <si>
    <t>Project - Main Feeder renewal at Folkway Dr. from L6177 to L6405</t>
  </si>
  <si>
    <t>Project - Traders - Section 3</t>
  </si>
  <si>
    <t xml:space="preserve">Project -Tamar &amp; Copenhagen main feeder </t>
  </si>
  <si>
    <t>Project - Forestwood/Stainton</t>
  </si>
  <si>
    <t xml:space="preserve">Project - Tenth Line West main feeder </t>
  </si>
  <si>
    <t>Project - Paisley Blvd</t>
  </si>
  <si>
    <t>Project - Etude/Justine</t>
  </si>
  <si>
    <t>Project - Credit Woodlands</t>
  </si>
  <si>
    <t>Project - Capricorn/Michaud</t>
  </si>
  <si>
    <t xml:space="preserve">Project - Munden/Pear Tree </t>
  </si>
  <si>
    <t>Project - Holburne/Ogden</t>
  </si>
  <si>
    <t>Project - Lake/John</t>
  </si>
  <si>
    <t>Project - Church</t>
  </si>
  <si>
    <t>Project - Rometown</t>
  </si>
  <si>
    <t>Project - Northmount/Alexandra/Meredeth</t>
  </si>
  <si>
    <t>Project - Greaves/East/Westmount</t>
  </si>
  <si>
    <t>Project - Cliff/Burslem</t>
  </si>
  <si>
    <t>Project - Redstone/Bonaventure</t>
  </si>
  <si>
    <t>Project - Dejong/Wareham/Turney</t>
  </si>
  <si>
    <t>Project - Donnelly/Glenburnie</t>
  </si>
  <si>
    <t>Project - Alexandra/Halliday</t>
  </si>
  <si>
    <t>Project - Blanefield</t>
  </si>
  <si>
    <t>Project - Truscott</t>
  </si>
  <si>
    <t>Project - Lornewood/Glenhill</t>
  </si>
  <si>
    <t>Project - Stavebank/Kenolie</t>
  </si>
  <si>
    <t>Project - North Sheridan Way</t>
  </si>
  <si>
    <t xml:space="preserve">Project - Park – Section 1 - Ann to Stavebank  [Formerly: Park – Hurontario to Kane] </t>
  </si>
  <si>
    <t xml:space="preserve">Project - Summerville MS - Feeder Egress &amp; rebuild </t>
  </si>
  <si>
    <t>Project - Courtney Park - Dixie To Ordan</t>
  </si>
  <si>
    <t>Project - Stanfield - North Service to Queensway</t>
  </si>
  <si>
    <t>Project - Hydro One ROW - Fieldgate/Audubon</t>
  </si>
  <si>
    <t>Project - Southdown - ROW to Lakeshore</t>
  </si>
  <si>
    <t>Project - Dixie - Londonderry to CN Tracks</t>
  </si>
  <si>
    <t>Project - Shawson - Dixie to Luke</t>
  </si>
  <si>
    <t>Project - Dixie - Dundas to QEW</t>
  </si>
  <si>
    <t>Project - Stanfield - Queensway to Dundas - Section 2</t>
  </si>
  <si>
    <t>Project - Hydro One ROW - Cawthra to Stanfield</t>
  </si>
  <si>
    <t>Project - Hydro One ROW - Southdown to Lorne Park</t>
  </si>
  <si>
    <t>Project - Hydro One ROW - Lorne Park to QEW</t>
  </si>
  <si>
    <t>Project - Hydro One ROW - Hurontario to Cawthra</t>
  </si>
  <si>
    <t>Project - Goreway - Derry to CP Rail</t>
  </si>
  <si>
    <t>Project -Tomken - Britannia to Courtney Park</t>
  </si>
  <si>
    <t>Project - Hydro One ROW - Erindale TS to Mavis</t>
  </si>
  <si>
    <t>Program - Underground Transformer and Equipment Renewal</t>
  </si>
  <si>
    <t>Program - Overhead Transformer and Equipment Renewal</t>
  </si>
  <si>
    <t>Program - Pad Mounted Switchgear Replacement</t>
  </si>
  <si>
    <t>Program - Primary Distribution Equipment Replacement</t>
  </si>
  <si>
    <t>Program - Underground Cable and Splice Replacement</t>
  </si>
  <si>
    <t>Program - Emergency Replacements</t>
  </si>
  <si>
    <t>Ref: Attachment #50 Page 265 Table 55</t>
  </si>
  <si>
    <t>2017 Q3 Forecast</t>
  </si>
  <si>
    <t>C0568 - Major Spares - Meters</t>
  </si>
  <si>
    <t>C0594 - Smart Meters Large Users</t>
  </si>
  <si>
    <t>Project - Other Immaterial</t>
  </si>
  <si>
    <t>Project - Lakeshore to Cawthra</t>
  </si>
  <si>
    <t>Program -  Building Upgrades  - Derry</t>
  </si>
  <si>
    <t>Project - Derry Renovations</t>
  </si>
  <si>
    <t>Actual YTD Sep</t>
  </si>
  <si>
    <t>Actual YTD Oct</t>
  </si>
  <si>
    <t xml:space="preserve">C0569 - Major Spares </t>
  </si>
  <si>
    <t>Major Spares from Inventory</t>
  </si>
  <si>
    <t>a)      Please update table to include YTD and forecast for 2017</t>
  </si>
  <si>
    <t>Undertaking JT2.19 referencing 2-AMPCO-13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</si>
</sst>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(&quot;$&quot;* #,##0_);_(&quot;$&quot;* \(#,##0\);_(&quot;$&quot;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indexed="8"/>
      <name val="Times New Roman"/>
      <family val="1"/>
    </font>
    <font>
      <sz val="10"/>
      <name val="Arial"/>
      <family val="2"/>
    </font>
    <font>
      <b/>
      <sz val="12"/>
      <color indexed="8"/>
      <name val="Times New Roman"/>
      <family val="1"/>
    </font>
    <font>
      <b/>
      <sz val="12"/>
      <name val="Times New Roman"/>
      <family val="1"/>
    </font>
    <font>
      <i/>
      <sz val="12"/>
      <color indexed="8"/>
      <name val="Times New Roman"/>
      <family val="1"/>
    </font>
    <font>
      <b/>
      <i/>
      <sz val="12"/>
      <color indexed="8"/>
      <name val="Times New Roman"/>
      <family val="1"/>
    </font>
    <font>
      <b/>
      <i/>
      <sz val="12"/>
      <name val="Times New Roman"/>
      <family val="1"/>
    </font>
    <font>
      <b/>
      <i/>
      <sz val="14"/>
      <name val="Times New Roman"/>
      <family val="1"/>
    </font>
    <font>
      <b/>
      <sz val="14"/>
      <color indexed="8"/>
      <name val="Times New Roman"/>
      <family val="1"/>
    </font>
    <font>
      <sz val="14"/>
      <color theme="1"/>
      <name val="Calibri"/>
      <family val="2"/>
      <scheme val="minor"/>
    </font>
    <font>
      <b/>
      <sz val="12"/>
      <color rgb="FF000000"/>
      <name val="Times New Roman"/>
      <family val="1"/>
    </font>
    <font>
      <b/>
      <sz val="12"/>
      <color theme="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1" tint="0.14999847407452621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0"/>
      </top>
      <bottom style="double">
        <color indexed="0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" fillId="0" borderId="0"/>
  </cellStyleXfs>
  <cellXfs count="32">
    <xf numFmtId="0" fontId="0" fillId="0" borderId="0" xfId="0"/>
    <xf numFmtId="0" fontId="1" fillId="0" borderId="0" xfId="1" applyAlignment="1">
      <alignment vertical="top"/>
    </xf>
    <xf numFmtId="0" fontId="6" fillId="0" borderId="0" xfId="1" applyFont="1" applyAlignment="1">
      <alignment vertical="top"/>
    </xf>
    <xf numFmtId="164" fontId="2" fillId="0" borderId="0" xfId="3" applyNumberFormat="1" applyFont="1" applyAlignment="1">
      <alignment vertical="top"/>
    </xf>
    <xf numFmtId="0" fontId="1" fillId="0" borderId="0" xfId="1" applyAlignment="1">
      <alignment horizontal="center" vertical="top"/>
    </xf>
    <xf numFmtId="0" fontId="7" fillId="2" borderId="2" xfId="1" applyFont="1" applyFill="1" applyBorder="1" applyAlignment="1">
      <alignment vertical="top"/>
    </xf>
    <xf numFmtId="164" fontId="2" fillId="2" borderId="2" xfId="3" applyNumberFormat="1" applyFont="1" applyFill="1" applyBorder="1" applyAlignment="1">
      <alignment vertical="top"/>
    </xf>
    <xf numFmtId="164" fontId="4" fillId="2" borderId="2" xfId="3" applyNumberFormat="1" applyFont="1" applyFill="1" applyBorder="1" applyAlignment="1">
      <alignment vertical="top"/>
    </xf>
    <xf numFmtId="164" fontId="2" fillId="0" borderId="0" xfId="3" applyNumberFormat="1" applyFont="1" applyFill="1" applyAlignment="1">
      <alignment vertical="top"/>
    </xf>
    <xf numFmtId="0" fontId="8" fillId="3" borderId="2" xfId="1" applyFont="1" applyFill="1" applyBorder="1"/>
    <xf numFmtId="164" fontId="4" fillId="3" borderId="2" xfId="3" applyNumberFormat="1" applyFont="1" applyFill="1" applyBorder="1" applyAlignment="1">
      <alignment vertical="top"/>
    </xf>
    <xf numFmtId="0" fontId="1" fillId="0" borderId="0" xfId="1" applyAlignment="1">
      <alignment vertical="top" wrapText="1"/>
    </xf>
    <xf numFmtId="0" fontId="6" fillId="0" borderId="0" xfId="1" applyFont="1" applyFill="1" applyAlignment="1">
      <alignment vertical="top"/>
    </xf>
    <xf numFmtId="0" fontId="8" fillId="4" borderId="2" xfId="1" applyFont="1" applyFill="1" applyBorder="1"/>
    <xf numFmtId="164" fontId="4" fillId="4" borderId="2" xfId="3" applyNumberFormat="1" applyFont="1" applyFill="1" applyBorder="1" applyAlignment="1">
      <alignment vertical="top"/>
    </xf>
    <xf numFmtId="0" fontId="9" fillId="4" borderId="2" xfId="1" applyFont="1" applyFill="1" applyBorder="1"/>
    <xf numFmtId="164" fontId="10" fillId="4" borderId="2" xfId="3" applyNumberFormat="1" applyFont="1" applyFill="1" applyBorder="1" applyAlignment="1">
      <alignment vertical="top"/>
    </xf>
    <xf numFmtId="0" fontId="11" fillId="0" borderId="0" xfId="1" applyFont="1" applyAlignment="1">
      <alignment vertical="top" wrapText="1"/>
    </xf>
    <xf numFmtId="0" fontId="1" fillId="5" borderId="0" xfId="2" applyFill="1" applyAlignment="1">
      <alignment vertical="top"/>
    </xf>
    <xf numFmtId="0" fontId="6" fillId="5" borderId="0" xfId="2" applyFont="1" applyFill="1" applyAlignment="1">
      <alignment vertical="top"/>
    </xf>
    <xf numFmtId="164" fontId="2" fillId="5" borderId="0" xfId="3" applyNumberFormat="1" applyFont="1" applyFill="1" applyAlignment="1">
      <alignment vertical="top"/>
    </xf>
    <xf numFmtId="0" fontId="1" fillId="5" borderId="0" xfId="1" applyFill="1" applyAlignment="1">
      <alignment vertical="top"/>
    </xf>
    <xf numFmtId="0" fontId="5" fillId="6" borderId="1" xfId="1" applyFont="1" applyFill="1" applyBorder="1" applyAlignment="1">
      <alignment horizontal="center" vertical="top" wrapText="1"/>
    </xf>
    <xf numFmtId="0" fontId="6" fillId="5" borderId="0" xfId="1" applyFont="1" applyFill="1" applyAlignment="1">
      <alignment vertical="top"/>
    </xf>
    <xf numFmtId="0" fontId="1" fillId="5" borderId="0" xfId="1" applyFill="1" applyAlignment="1">
      <alignment vertical="top" wrapText="1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left" vertical="center" indent="2"/>
    </xf>
    <xf numFmtId="0" fontId="13" fillId="7" borderId="1" xfId="1" applyFont="1" applyFill="1" applyBorder="1" applyAlignment="1">
      <alignment horizontal="center" vertical="top" wrapText="1"/>
    </xf>
    <xf numFmtId="0" fontId="4" fillId="0" borderId="0" xfId="1" applyFont="1" applyAlignment="1">
      <alignment vertical="top" wrapText="1"/>
    </xf>
    <xf numFmtId="164" fontId="1" fillId="0" borderId="0" xfId="1" applyNumberFormat="1" applyAlignment="1">
      <alignment vertical="top"/>
    </xf>
    <xf numFmtId="0" fontId="1" fillId="0" borderId="0" xfId="1" applyBorder="1" applyAlignment="1">
      <alignment vertical="top"/>
    </xf>
    <xf numFmtId="0" fontId="1" fillId="0" borderId="0" xfId="1" applyBorder="1" applyAlignment="1">
      <alignment vertical="top" wrapText="1"/>
    </xf>
  </cellXfs>
  <cellStyles count="5">
    <cellStyle name="Comma 18 3" xfId="3"/>
    <cellStyle name="Normal" xfId="0" builtinId="0"/>
    <cellStyle name="Normal 2 2 2" xfId="4"/>
    <cellStyle name="Normal 3" xfId="1"/>
    <cellStyle name="Normal 3 8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Q189"/>
  <sheetViews>
    <sheetView showGridLines="0" tabSelected="1" topLeftCell="A181" zoomScale="80" zoomScaleNormal="80" workbookViewId="0">
      <selection activeCell="A6" sqref="A6:XFD6"/>
    </sheetView>
  </sheetViews>
  <sheetFormatPr defaultColWidth="8.88671875" defaultRowHeight="14.4" x14ac:dyDescent="0.3"/>
  <cols>
    <col min="1" max="1" width="1.33203125" style="1" customWidth="1"/>
    <col min="2" max="2" width="32.33203125" style="1" customWidth="1"/>
    <col min="3" max="3" width="1.6640625" style="1" customWidth="1"/>
    <col min="4" max="4" width="71.33203125" style="1" customWidth="1"/>
    <col min="5" max="5" width="20" style="1" customWidth="1"/>
    <col min="6" max="6" width="20" style="1" hidden="1" customWidth="1"/>
    <col min="7" max="7" width="18.109375" style="1" customWidth="1"/>
    <col min="8" max="8" width="17.33203125" style="1" customWidth="1"/>
    <col min="9" max="13" width="20" style="1" customWidth="1"/>
    <col min="14" max="14" width="20" style="1" hidden="1" customWidth="1"/>
    <col min="15" max="15" width="2.6640625" style="1" customWidth="1"/>
    <col min="16" max="17" width="10.6640625" style="1" bestFit="1" customWidth="1"/>
    <col min="18" max="16384" width="8.88671875" style="1"/>
  </cols>
  <sheetData>
    <row r="1" spans="1:17" ht="15.75" x14ac:dyDescent="0.25">
      <c r="B1" s="25" t="s">
        <v>186</v>
      </c>
    </row>
    <row r="2" spans="1:17" ht="15.75" x14ac:dyDescent="0.25">
      <c r="B2" s="25" t="s">
        <v>173</v>
      </c>
    </row>
    <row r="3" spans="1:17" ht="15.75" x14ac:dyDescent="0.25">
      <c r="B3" s="25"/>
    </row>
    <row r="4" spans="1:17" ht="15.6" x14ac:dyDescent="0.3">
      <c r="B4" s="26" t="s">
        <v>185</v>
      </c>
    </row>
    <row r="6" spans="1:17" s="11" customFormat="1" ht="41.25" customHeight="1" thickBot="1" x14ac:dyDescent="0.35">
      <c r="A6" s="28"/>
      <c r="B6" s="27" t="s">
        <v>0</v>
      </c>
      <c r="C6" s="27"/>
      <c r="D6" s="27" t="s">
        <v>1</v>
      </c>
      <c r="E6" s="27">
        <v>2017</v>
      </c>
      <c r="F6" s="27" t="s">
        <v>182</v>
      </c>
      <c r="G6" s="27" t="s">
        <v>181</v>
      </c>
      <c r="H6" s="27" t="s">
        <v>174</v>
      </c>
      <c r="I6" s="27">
        <v>2018</v>
      </c>
      <c r="J6" s="27">
        <v>2019</v>
      </c>
      <c r="K6" s="27">
        <v>2020</v>
      </c>
      <c r="L6" s="27">
        <v>2021</v>
      </c>
      <c r="M6" s="27">
        <v>2022</v>
      </c>
      <c r="N6" s="22" t="s">
        <v>2</v>
      </c>
    </row>
    <row r="7" spans="1:17" ht="15.6" customHeight="1" thickTop="1" x14ac:dyDescent="0.25">
      <c r="B7" s="2" t="s">
        <v>3</v>
      </c>
      <c r="C7" s="3"/>
      <c r="D7" s="3" t="s">
        <v>4</v>
      </c>
      <c r="E7" s="3">
        <v>1446215</v>
      </c>
      <c r="F7" s="3">
        <v>323480</v>
      </c>
      <c r="G7" s="3">
        <v>284603</v>
      </c>
      <c r="H7" s="3">
        <v>460577</v>
      </c>
      <c r="I7" s="3">
        <v>323555</v>
      </c>
      <c r="J7" s="3">
        <v>661243</v>
      </c>
      <c r="K7" s="3">
        <v>327838</v>
      </c>
      <c r="L7" s="3">
        <v>330622</v>
      </c>
      <c r="M7" s="3">
        <v>351036</v>
      </c>
      <c r="N7" s="3">
        <f t="shared" ref="N7:N18" si="0">SUM(E7:M7)</f>
        <v>4509169</v>
      </c>
    </row>
    <row r="8" spans="1:17" ht="15.6" customHeight="1" x14ac:dyDescent="0.25">
      <c r="B8" s="2" t="s">
        <v>3</v>
      </c>
      <c r="C8" s="3"/>
      <c r="D8" s="3" t="s">
        <v>90</v>
      </c>
      <c r="E8" s="3">
        <v>0</v>
      </c>
      <c r="F8" s="3">
        <v>0</v>
      </c>
      <c r="G8" s="3">
        <v>0</v>
      </c>
      <c r="H8" s="3">
        <v>0</v>
      </c>
      <c r="I8" s="3">
        <v>1294220.0084717046</v>
      </c>
      <c r="J8" s="3">
        <v>0</v>
      </c>
      <c r="K8" s="3">
        <v>0</v>
      </c>
      <c r="L8" s="3">
        <v>0</v>
      </c>
      <c r="M8" s="3">
        <v>0</v>
      </c>
      <c r="N8" s="3">
        <f t="shared" si="0"/>
        <v>1294220.0084717046</v>
      </c>
    </row>
    <row r="9" spans="1:17" ht="15.6" customHeight="1" x14ac:dyDescent="0.25">
      <c r="B9" s="2" t="s">
        <v>3</v>
      </c>
      <c r="C9" s="3"/>
      <c r="D9" s="3" t="s">
        <v>91</v>
      </c>
      <c r="E9" s="3">
        <v>0</v>
      </c>
      <c r="F9" s="3">
        <v>0</v>
      </c>
      <c r="G9" s="3">
        <v>0</v>
      </c>
      <c r="H9" s="3">
        <v>0</v>
      </c>
      <c r="I9" s="3">
        <v>970665.00635377842</v>
      </c>
      <c r="J9" s="3">
        <v>0</v>
      </c>
      <c r="K9" s="3">
        <v>0</v>
      </c>
      <c r="L9" s="3">
        <v>0</v>
      </c>
      <c r="M9" s="3">
        <v>0</v>
      </c>
      <c r="N9" s="3">
        <f t="shared" si="0"/>
        <v>970665.00635377842</v>
      </c>
    </row>
    <row r="10" spans="1:17" s="21" customFormat="1" ht="15.6" customHeight="1" x14ac:dyDescent="0.25">
      <c r="A10" s="18"/>
      <c r="B10" s="19" t="s">
        <v>3</v>
      </c>
      <c r="C10" s="20"/>
      <c r="D10" s="20" t="s">
        <v>92</v>
      </c>
      <c r="E10" s="20">
        <v>0</v>
      </c>
      <c r="F10" s="20">
        <v>0</v>
      </c>
      <c r="G10" s="20">
        <v>0</v>
      </c>
      <c r="H10" s="20">
        <v>0</v>
      </c>
      <c r="I10" s="20">
        <v>1617775.0105896306</v>
      </c>
      <c r="J10" s="20">
        <v>0</v>
      </c>
      <c r="K10" s="20">
        <v>0</v>
      </c>
      <c r="L10" s="20">
        <v>0</v>
      </c>
      <c r="M10" s="20">
        <v>0</v>
      </c>
      <c r="N10" s="20">
        <f t="shared" si="0"/>
        <v>1617775.0105896306</v>
      </c>
    </row>
    <row r="11" spans="1:17" ht="15.6" customHeight="1" x14ac:dyDescent="0.25">
      <c r="B11" s="2" t="s">
        <v>3</v>
      </c>
      <c r="C11" s="3"/>
      <c r="D11" s="3" t="s">
        <v>93</v>
      </c>
      <c r="E11" s="3">
        <v>0</v>
      </c>
      <c r="F11" s="3">
        <v>0</v>
      </c>
      <c r="G11" s="3">
        <v>0</v>
      </c>
      <c r="H11" s="3">
        <v>0</v>
      </c>
      <c r="I11" s="3">
        <v>0</v>
      </c>
      <c r="J11" s="3">
        <v>1322486.0110132159</v>
      </c>
      <c r="K11" s="3">
        <v>0</v>
      </c>
      <c r="L11" s="3">
        <v>0</v>
      </c>
      <c r="M11" s="3">
        <v>0</v>
      </c>
      <c r="N11" s="3">
        <f t="shared" si="0"/>
        <v>1322486.0110132159</v>
      </c>
    </row>
    <row r="12" spans="1:17" ht="15.6" customHeight="1" x14ac:dyDescent="0.25">
      <c r="B12" s="2" t="s">
        <v>3</v>
      </c>
      <c r="C12" s="3"/>
      <c r="D12" s="3" t="s">
        <v>94</v>
      </c>
      <c r="E12" s="3">
        <v>0</v>
      </c>
      <c r="F12" s="3">
        <v>0</v>
      </c>
      <c r="G12" s="3">
        <v>0</v>
      </c>
      <c r="H12" s="3">
        <v>0</v>
      </c>
      <c r="I12" s="3">
        <v>0</v>
      </c>
      <c r="J12" s="3">
        <v>661243.00550660794</v>
      </c>
      <c r="K12" s="3">
        <v>0</v>
      </c>
      <c r="L12" s="3">
        <v>0</v>
      </c>
      <c r="M12" s="3">
        <v>0</v>
      </c>
      <c r="N12" s="3">
        <f t="shared" si="0"/>
        <v>661243.00550660794</v>
      </c>
    </row>
    <row r="13" spans="1:17" ht="15.6" customHeight="1" x14ac:dyDescent="0.25">
      <c r="B13" s="2" t="s">
        <v>3</v>
      </c>
      <c r="C13" s="3"/>
      <c r="D13" s="3" t="s">
        <v>95</v>
      </c>
      <c r="E13" s="3">
        <v>0</v>
      </c>
      <c r="F13" s="3">
        <v>0</v>
      </c>
      <c r="G13" s="3">
        <v>0</v>
      </c>
      <c r="H13" s="3">
        <v>0</v>
      </c>
      <c r="I13" s="3">
        <v>0</v>
      </c>
      <c r="J13" s="3">
        <v>661243.00550660794</v>
      </c>
      <c r="K13" s="3">
        <v>0</v>
      </c>
      <c r="L13" s="3">
        <v>0</v>
      </c>
      <c r="M13" s="3">
        <v>0</v>
      </c>
      <c r="N13" s="3">
        <f t="shared" si="0"/>
        <v>661243.00550660794</v>
      </c>
    </row>
    <row r="14" spans="1:17" ht="15.6" customHeight="1" x14ac:dyDescent="0.25">
      <c r="B14" s="2" t="s">
        <v>3</v>
      </c>
      <c r="C14" s="3"/>
      <c r="D14" s="3" t="s">
        <v>96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  <c r="K14" s="3">
        <v>1311350.9191029235</v>
      </c>
      <c r="L14" s="3">
        <v>0</v>
      </c>
      <c r="M14" s="3">
        <v>0</v>
      </c>
      <c r="N14" s="3">
        <f t="shared" si="0"/>
        <v>1311350.9191029235</v>
      </c>
      <c r="Q14" s="29"/>
    </row>
    <row r="15" spans="1:17" ht="15.6" customHeight="1" x14ac:dyDescent="0.25">
      <c r="B15" s="2" t="s">
        <v>3</v>
      </c>
      <c r="C15" s="3"/>
      <c r="D15" s="3" t="s">
        <v>97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  <c r="K15" s="3">
        <v>1967026.3786543852</v>
      </c>
      <c r="L15" s="3">
        <v>0</v>
      </c>
      <c r="M15" s="3">
        <v>0</v>
      </c>
      <c r="N15" s="3">
        <f t="shared" si="0"/>
        <v>1967026.3786543852</v>
      </c>
    </row>
    <row r="16" spans="1:17" ht="15.6" customHeight="1" x14ac:dyDescent="0.25">
      <c r="B16" s="2" t="s">
        <v>3</v>
      </c>
      <c r="C16" s="3"/>
      <c r="D16" s="3" t="s">
        <v>98</v>
      </c>
      <c r="E16" s="3">
        <v>0</v>
      </c>
      <c r="F16" s="3">
        <v>0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  <c r="L16" s="3">
        <v>1322486.0110132159</v>
      </c>
      <c r="M16" s="3">
        <v>0</v>
      </c>
      <c r="N16" s="3">
        <f t="shared" si="0"/>
        <v>1322486.0110132159</v>
      </c>
    </row>
    <row r="17" spans="2:14" ht="15.6" customHeight="1" x14ac:dyDescent="0.25">
      <c r="B17" s="2" t="s">
        <v>3</v>
      </c>
      <c r="C17" s="3"/>
      <c r="D17" s="3" t="s">
        <v>99</v>
      </c>
      <c r="E17" s="3">
        <v>0</v>
      </c>
      <c r="F17" s="3">
        <v>0</v>
      </c>
      <c r="G17" s="3">
        <v>0</v>
      </c>
      <c r="H17" s="3">
        <v>0</v>
      </c>
      <c r="I17" s="3">
        <v>0</v>
      </c>
      <c r="J17" s="3">
        <v>0</v>
      </c>
      <c r="K17" s="3">
        <v>0</v>
      </c>
      <c r="L17" s="3">
        <v>1653107.5137665197</v>
      </c>
      <c r="M17" s="3">
        <v>0</v>
      </c>
      <c r="N17" s="3">
        <f t="shared" si="0"/>
        <v>1653107.5137665197</v>
      </c>
    </row>
    <row r="18" spans="2:14" ht="15.6" customHeight="1" x14ac:dyDescent="0.25">
      <c r="B18" s="2" t="s">
        <v>3</v>
      </c>
      <c r="C18" s="3"/>
      <c r="D18" s="3" t="s">
        <v>100</v>
      </c>
      <c r="E18" s="3">
        <v>0</v>
      </c>
      <c r="F18" s="3">
        <v>0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  <c r="L18" s="3">
        <v>0</v>
      </c>
      <c r="M18" s="3">
        <v>1755179.1896108664</v>
      </c>
      <c r="N18" s="3">
        <f t="shared" si="0"/>
        <v>1755179.1896108664</v>
      </c>
    </row>
    <row r="19" spans="2:14" ht="16.2" customHeight="1" x14ac:dyDescent="0.25">
      <c r="B19" s="5" t="s">
        <v>3</v>
      </c>
      <c r="C19" s="6"/>
      <c r="D19" s="6"/>
      <c r="E19" s="7">
        <f t="shared" ref="E19:N19" si="1">SUBTOTAL(9,E7:E18)</f>
        <v>1446215</v>
      </c>
      <c r="F19" s="7">
        <f t="shared" si="1"/>
        <v>323480</v>
      </c>
      <c r="G19" s="7">
        <f t="shared" si="1"/>
        <v>284603</v>
      </c>
      <c r="H19" s="7">
        <f t="shared" ref="H19" si="2">SUBTOTAL(9,H7:H18)</f>
        <v>460577</v>
      </c>
      <c r="I19" s="7">
        <f t="shared" si="1"/>
        <v>4206215.0254151132</v>
      </c>
      <c r="J19" s="7">
        <f t="shared" si="1"/>
        <v>3306215.0220264317</v>
      </c>
      <c r="K19" s="7">
        <f t="shared" si="1"/>
        <v>3606215.2977573089</v>
      </c>
      <c r="L19" s="7">
        <f t="shared" si="1"/>
        <v>3306215.5247797356</v>
      </c>
      <c r="M19" s="7">
        <f t="shared" si="1"/>
        <v>2106215.1896108664</v>
      </c>
      <c r="N19" s="7">
        <f t="shared" si="1"/>
        <v>19045951.059589457</v>
      </c>
    </row>
    <row r="20" spans="2:14" ht="15.6" customHeight="1" x14ac:dyDescent="0.25">
      <c r="B20" s="2" t="s">
        <v>5</v>
      </c>
      <c r="C20" s="3"/>
      <c r="D20" s="8" t="s">
        <v>101</v>
      </c>
      <c r="E20" s="8">
        <v>200000</v>
      </c>
      <c r="F20" s="8"/>
      <c r="G20" s="20">
        <v>46000</v>
      </c>
      <c r="H20" s="8">
        <v>200000</v>
      </c>
      <c r="I20" s="8">
        <v>2200000</v>
      </c>
      <c r="J20" s="8">
        <v>4600000</v>
      </c>
      <c r="K20" s="8">
        <v>4525000</v>
      </c>
      <c r="L20" s="8">
        <v>4300000</v>
      </c>
      <c r="M20" s="8">
        <f>700000+2000000</f>
        <v>2700000</v>
      </c>
      <c r="N20" s="8">
        <f>SUM(E20:M20)</f>
        <v>18771000</v>
      </c>
    </row>
    <row r="21" spans="2:14" ht="15.6" customHeight="1" x14ac:dyDescent="0.25">
      <c r="B21" s="2" t="s">
        <v>5</v>
      </c>
      <c r="C21" s="3"/>
      <c r="D21" s="8" t="s">
        <v>102</v>
      </c>
      <c r="E21" s="8">
        <v>200000</v>
      </c>
      <c r="F21" s="8"/>
      <c r="G21" s="20">
        <v>136620</v>
      </c>
      <c r="H21" s="8">
        <v>200000</v>
      </c>
      <c r="I21" s="8">
        <v>2200000</v>
      </c>
      <c r="J21" s="8">
        <v>4200000</v>
      </c>
      <c r="K21" s="8">
        <v>4025000</v>
      </c>
      <c r="L21" s="8">
        <v>3500000</v>
      </c>
      <c r="M21" s="8">
        <f>500000+2000000</f>
        <v>2500000</v>
      </c>
      <c r="N21" s="8">
        <f>SUM(E21:M21)</f>
        <v>16961620</v>
      </c>
    </row>
    <row r="22" spans="2:14" ht="16.2" customHeight="1" x14ac:dyDescent="0.25">
      <c r="B22" s="5" t="s">
        <v>5</v>
      </c>
      <c r="C22" s="6"/>
      <c r="D22" s="6"/>
      <c r="E22" s="7">
        <f t="shared" ref="E22:N22" si="3">SUBTOTAL(9,E20:E21)</f>
        <v>400000</v>
      </c>
      <c r="F22" s="7">
        <v>182620</v>
      </c>
      <c r="G22" s="7">
        <v>182620</v>
      </c>
      <c r="H22" s="7">
        <f t="shared" ref="H22" si="4">SUBTOTAL(9,H20:H21)</f>
        <v>400000</v>
      </c>
      <c r="I22" s="7">
        <f t="shared" si="3"/>
        <v>4400000</v>
      </c>
      <c r="J22" s="7">
        <f t="shared" si="3"/>
        <v>8800000</v>
      </c>
      <c r="K22" s="7">
        <f t="shared" si="3"/>
        <v>8550000</v>
      </c>
      <c r="L22" s="7">
        <f t="shared" si="3"/>
        <v>7800000</v>
      </c>
      <c r="M22" s="7">
        <f t="shared" si="3"/>
        <v>5200000</v>
      </c>
      <c r="N22" s="7">
        <f t="shared" si="3"/>
        <v>35732620</v>
      </c>
    </row>
    <row r="23" spans="2:14" ht="21.75" customHeight="1" x14ac:dyDescent="0.25">
      <c r="B23" s="2" t="s">
        <v>6</v>
      </c>
      <c r="C23" s="3"/>
      <c r="D23" s="3" t="s">
        <v>7</v>
      </c>
      <c r="E23" s="3">
        <v>2171524</v>
      </c>
      <c r="F23" s="3">
        <v>788448</v>
      </c>
      <c r="G23" s="3">
        <f>995808.37-345000</f>
        <v>650808.37</v>
      </c>
      <c r="H23" s="3">
        <v>671524</v>
      </c>
      <c r="I23" s="3">
        <v>2171524</v>
      </c>
      <c r="J23" s="3">
        <v>2171524</v>
      </c>
      <c r="K23" s="3">
        <v>2171524</v>
      </c>
      <c r="L23" s="3">
        <v>2171524</v>
      </c>
      <c r="M23" s="3">
        <v>2171524</v>
      </c>
      <c r="N23" s="3">
        <f>SUM(E23:M23)</f>
        <v>15139924.370000001</v>
      </c>
    </row>
    <row r="24" spans="2:14" ht="16.2" customHeight="1" x14ac:dyDescent="0.25">
      <c r="B24" s="5" t="s">
        <v>6</v>
      </c>
      <c r="C24" s="6"/>
      <c r="D24" s="6"/>
      <c r="E24" s="7">
        <f t="shared" ref="E24:N24" si="5">SUBTOTAL(9,E23:E23)</f>
        <v>2171524</v>
      </c>
      <c r="F24" s="7">
        <f t="shared" si="5"/>
        <v>788448</v>
      </c>
      <c r="G24" s="7">
        <f t="shared" si="5"/>
        <v>650808.37</v>
      </c>
      <c r="H24" s="7">
        <f t="shared" si="5"/>
        <v>671524</v>
      </c>
      <c r="I24" s="7">
        <f t="shared" si="5"/>
        <v>2171524</v>
      </c>
      <c r="J24" s="7">
        <f t="shared" si="5"/>
        <v>2171524</v>
      </c>
      <c r="K24" s="7">
        <f t="shared" si="5"/>
        <v>2171524</v>
      </c>
      <c r="L24" s="7">
        <f t="shared" si="5"/>
        <v>2171524</v>
      </c>
      <c r="M24" s="7">
        <f t="shared" si="5"/>
        <v>2171524</v>
      </c>
      <c r="N24" s="7">
        <f t="shared" si="5"/>
        <v>15139924.370000001</v>
      </c>
    </row>
    <row r="25" spans="2:14" ht="21" customHeight="1" x14ac:dyDescent="0.25">
      <c r="B25" s="2" t="s">
        <v>8</v>
      </c>
      <c r="C25" s="3"/>
      <c r="D25" s="3" t="s">
        <v>9</v>
      </c>
      <c r="E25" s="3">
        <v>4345963</v>
      </c>
      <c r="F25" s="3">
        <v>4325425.6100000031</v>
      </c>
      <c r="G25" s="3">
        <v>3995327.75</v>
      </c>
      <c r="H25" s="3">
        <v>4345964</v>
      </c>
      <c r="I25" s="3">
        <v>4345963</v>
      </c>
      <c r="J25" s="3">
        <v>4345963</v>
      </c>
      <c r="K25" s="3">
        <v>4345963</v>
      </c>
      <c r="L25" s="3">
        <v>4345963</v>
      </c>
      <c r="M25" s="3">
        <v>4345963</v>
      </c>
      <c r="N25" s="3">
        <f>SUM(E25:M25)</f>
        <v>38742495.359999999</v>
      </c>
    </row>
    <row r="26" spans="2:14" ht="16.2" customHeight="1" x14ac:dyDescent="0.25">
      <c r="B26" s="5" t="s">
        <v>8</v>
      </c>
      <c r="C26" s="6"/>
      <c r="D26" s="6"/>
      <c r="E26" s="7">
        <f t="shared" ref="E26:N26" si="6">SUBTOTAL(9,E25:E25)</f>
        <v>4345963</v>
      </c>
      <c r="F26" s="7">
        <f t="shared" si="6"/>
        <v>4325425.6100000031</v>
      </c>
      <c r="G26" s="7">
        <f t="shared" si="6"/>
        <v>3995327.75</v>
      </c>
      <c r="H26" s="7">
        <f t="shared" ref="H26" si="7">SUBTOTAL(9,H25:H25)</f>
        <v>4345964</v>
      </c>
      <c r="I26" s="7">
        <f t="shared" si="6"/>
        <v>4345963</v>
      </c>
      <c r="J26" s="7">
        <f t="shared" si="6"/>
        <v>4345963</v>
      </c>
      <c r="K26" s="7">
        <f t="shared" si="6"/>
        <v>4345963</v>
      </c>
      <c r="L26" s="7">
        <f t="shared" si="6"/>
        <v>4345963</v>
      </c>
      <c r="M26" s="7">
        <f t="shared" si="6"/>
        <v>4345963</v>
      </c>
      <c r="N26" s="7">
        <f t="shared" si="6"/>
        <v>38742495.359999999</v>
      </c>
    </row>
    <row r="27" spans="2:14" ht="22.5" customHeight="1" x14ac:dyDescent="0.25">
      <c r="B27" s="2" t="s">
        <v>10</v>
      </c>
      <c r="C27" s="3"/>
      <c r="D27" s="3" t="s">
        <v>11</v>
      </c>
      <c r="E27" s="3">
        <v>763068.8</v>
      </c>
      <c r="F27" s="3">
        <v>478151.8499999998</v>
      </c>
      <c r="G27" s="3">
        <v>412275.36999999994</v>
      </c>
      <c r="H27" s="3">
        <v>763068.8</v>
      </c>
      <c r="I27" s="3">
        <v>763068.8</v>
      </c>
      <c r="J27" s="3">
        <v>763068.8</v>
      </c>
      <c r="K27" s="3">
        <v>763068.8</v>
      </c>
      <c r="L27" s="3">
        <v>763068.8</v>
      </c>
      <c r="M27" s="3">
        <v>763068.8</v>
      </c>
      <c r="N27" s="3">
        <f>SUM(E27:M27)</f>
        <v>6231908.8199999994</v>
      </c>
    </row>
    <row r="28" spans="2:14" ht="16.2" customHeight="1" x14ac:dyDescent="0.25">
      <c r="B28" s="5" t="s">
        <v>10</v>
      </c>
      <c r="C28" s="6"/>
      <c r="D28" s="6"/>
      <c r="E28" s="7">
        <f t="shared" ref="E28:N28" si="8">SUBTOTAL(9,E27:E27)</f>
        <v>763068.8</v>
      </c>
      <c r="F28" s="7">
        <f t="shared" si="8"/>
        <v>478151.8499999998</v>
      </c>
      <c r="G28" s="7">
        <f t="shared" si="8"/>
        <v>412275.36999999994</v>
      </c>
      <c r="H28" s="7">
        <f t="shared" ref="H28" si="9">SUBTOTAL(9,H27:H27)</f>
        <v>763068.8</v>
      </c>
      <c r="I28" s="7">
        <f t="shared" si="8"/>
        <v>763068.8</v>
      </c>
      <c r="J28" s="7">
        <f t="shared" si="8"/>
        <v>763068.8</v>
      </c>
      <c r="K28" s="7">
        <f t="shared" si="8"/>
        <v>763068.8</v>
      </c>
      <c r="L28" s="7">
        <f t="shared" si="8"/>
        <v>763068.8</v>
      </c>
      <c r="M28" s="7">
        <f t="shared" si="8"/>
        <v>763068.8</v>
      </c>
      <c r="N28" s="7">
        <f t="shared" si="8"/>
        <v>6231908.8199999994</v>
      </c>
    </row>
    <row r="29" spans="2:14" ht="24.75" customHeight="1" x14ac:dyDescent="0.25">
      <c r="B29" s="2" t="s">
        <v>175</v>
      </c>
      <c r="C29" s="3"/>
      <c r="D29" s="3"/>
      <c r="E29" s="3">
        <v>0</v>
      </c>
      <c r="F29" s="3">
        <v>29976.95</v>
      </c>
      <c r="G29" s="3">
        <f>29976.95+50000</f>
        <v>79976.95</v>
      </c>
      <c r="H29" s="3">
        <v>309624</v>
      </c>
      <c r="I29" s="3">
        <v>0</v>
      </c>
      <c r="J29" s="3">
        <v>0</v>
      </c>
      <c r="K29" s="3">
        <v>0</v>
      </c>
      <c r="L29" s="3">
        <v>0</v>
      </c>
      <c r="M29" s="3">
        <v>0</v>
      </c>
      <c r="N29" s="3">
        <f>SUM(E29:M29)</f>
        <v>419577.9</v>
      </c>
    </row>
    <row r="30" spans="2:14" ht="16.2" customHeight="1" x14ac:dyDescent="0.25">
      <c r="B30" s="5" t="s">
        <v>175</v>
      </c>
      <c r="C30" s="6"/>
      <c r="D30" s="6"/>
      <c r="E30" s="7">
        <f>SUBTOTAL(9,E29:E29)</f>
        <v>0</v>
      </c>
      <c r="F30" s="7">
        <f t="shared" ref="F30:G30" si="10">SUBTOTAL(9,F29:F29)</f>
        <v>29976.95</v>
      </c>
      <c r="G30" s="7">
        <f t="shared" si="10"/>
        <v>79976.95</v>
      </c>
      <c r="H30" s="7">
        <f t="shared" ref="H30:N30" si="11">SUBTOTAL(9,H29:H29)</f>
        <v>309624</v>
      </c>
      <c r="I30" s="7">
        <f t="shared" si="11"/>
        <v>0</v>
      </c>
      <c r="J30" s="7">
        <f t="shared" si="11"/>
        <v>0</v>
      </c>
      <c r="K30" s="7">
        <f t="shared" si="11"/>
        <v>0</v>
      </c>
      <c r="L30" s="7">
        <f t="shared" si="11"/>
        <v>0</v>
      </c>
      <c r="M30" s="7">
        <f t="shared" si="11"/>
        <v>0</v>
      </c>
      <c r="N30" s="7">
        <f t="shared" si="11"/>
        <v>419577.9</v>
      </c>
    </row>
    <row r="31" spans="2:14" ht="21.75" customHeight="1" x14ac:dyDescent="0.3">
      <c r="B31" s="2" t="s">
        <v>176</v>
      </c>
      <c r="C31" s="3"/>
      <c r="D31" s="3"/>
      <c r="E31" s="3">
        <v>0</v>
      </c>
      <c r="F31" s="3">
        <v>774522.29000000015</v>
      </c>
      <c r="G31" s="3">
        <f>699351.09-50000</f>
        <v>649351.09</v>
      </c>
      <c r="H31" s="3">
        <v>650000</v>
      </c>
      <c r="I31" s="3">
        <v>0</v>
      </c>
      <c r="J31" s="3">
        <v>0</v>
      </c>
      <c r="K31" s="3">
        <v>0</v>
      </c>
      <c r="L31" s="3">
        <v>0</v>
      </c>
      <c r="M31" s="3">
        <v>0</v>
      </c>
      <c r="N31" s="3">
        <f>SUM(E31:M31)</f>
        <v>2073873.3800000001</v>
      </c>
    </row>
    <row r="32" spans="2:14" ht="16.2" customHeight="1" x14ac:dyDescent="0.25">
      <c r="B32" s="5" t="s">
        <v>176</v>
      </c>
      <c r="C32" s="6"/>
      <c r="D32" s="6"/>
      <c r="E32" s="7">
        <f>SUBTOTAL(9,E31:E31)</f>
        <v>0</v>
      </c>
      <c r="F32" s="7">
        <f t="shared" ref="F32:G32" si="12">SUBTOTAL(9,F31:F31)</f>
        <v>774522.29000000015</v>
      </c>
      <c r="G32" s="7">
        <f t="shared" si="12"/>
        <v>649351.09</v>
      </c>
      <c r="H32" s="7">
        <f t="shared" ref="H32:M32" si="13">SUBTOTAL(9,H31:H31)</f>
        <v>650000</v>
      </c>
      <c r="I32" s="7">
        <f t="shared" si="13"/>
        <v>0</v>
      </c>
      <c r="J32" s="7">
        <f t="shared" si="13"/>
        <v>0</v>
      </c>
      <c r="K32" s="7">
        <f t="shared" si="13"/>
        <v>0</v>
      </c>
      <c r="L32" s="7">
        <f t="shared" si="13"/>
        <v>0</v>
      </c>
      <c r="M32" s="7">
        <f t="shared" si="13"/>
        <v>0</v>
      </c>
      <c r="N32" s="7">
        <f>SUBTOTAL(9,N31:N31)</f>
        <v>2073873.3800000001</v>
      </c>
    </row>
    <row r="33" spans="2:17" ht="15.6" customHeight="1" x14ac:dyDescent="0.3">
      <c r="B33" s="2" t="s">
        <v>12</v>
      </c>
      <c r="C33" s="3"/>
      <c r="D33" s="3" t="s">
        <v>103</v>
      </c>
      <c r="E33" s="3">
        <v>35000</v>
      </c>
      <c r="F33" s="3">
        <v>0</v>
      </c>
      <c r="G33" s="3">
        <v>0</v>
      </c>
      <c r="H33" s="3">
        <v>35000</v>
      </c>
      <c r="I33" s="3">
        <v>45000</v>
      </c>
      <c r="J33" s="3">
        <v>35000</v>
      </c>
      <c r="K33" s="3">
        <v>65000</v>
      </c>
      <c r="L33" s="3">
        <v>10000</v>
      </c>
      <c r="M33" s="3">
        <v>280000</v>
      </c>
      <c r="N33" s="3">
        <f>SUM(E33:M33)</f>
        <v>505000</v>
      </c>
    </row>
    <row r="34" spans="2:17" ht="15.6" customHeight="1" x14ac:dyDescent="0.25">
      <c r="B34" s="2" t="s">
        <v>12</v>
      </c>
      <c r="C34" s="3"/>
      <c r="D34" s="8" t="s">
        <v>13</v>
      </c>
      <c r="E34" s="8">
        <v>1100000</v>
      </c>
      <c r="F34" s="8">
        <v>332526.99</v>
      </c>
      <c r="G34" s="8">
        <v>278831.99</v>
      </c>
      <c r="H34" s="8">
        <v>550000</v>
      </c>
      <c r="I34" s="3">
        <v>0</v>
      </c>
      <c r="J34" s="3">
        <v>0</v>
      </c>
      <c r="K34" s="3">
        <v>0</v>
      </c>
      <c r="L34" s="3">
        <v>0</v>
      </c>
      <c r="M34" s="3">
        <v>0</v>
      </c>
      <c r="N34" s="3">
        <f>SUM(E34:M34)</f>
        <v>2261358.98</v>
      </c>
    </row>
    <row r="35" spans="2:17" ht="16.2" customHeight="1" x14ac:dyDescent="0.25">
      <c r="B35" s="5" t="s">
        <v>12</v>
      </c>
      <c r="C35" s="6"/>
      <c r="D35" s="6"/>
      <c r="E35" s="7">
        <f t="shared" ref="E35:N35" si="14">SUBTOTAL(9,E33:E34)</f>
        <v>1135000</v>
      </c>
      <c r="F35" s="7">
        <f t="shared" si="14"/>
        <v>332526.99</v>
      </c>
      <c r="G35" s="7">
        <f t="shared" si="14"/>
        <v>278831.99</v>
      </c>
      <c r="H35" s="7">
        <f t="shared" si="14"/>
        <v>585000</v>
      </c>
      <c r="I35" s="7">
        <f t="shared" si="14"/>
        <v>45000</v>
      </c>
      <c r="J35" s="7">
        <f t="shared" si="14"/>
        <v>35000</v>
      </c>
      <c r="K35" s="7">
        <f t="shared" si="14"/>
        <v>65000</v>
      </c>
      <c r="L35" s="7">
        <f t="shared" si="14"/>
        <v>10000</v>
      </c>
      <c r="M35" s="7">
        <f t="shared" si="14"/>
        <v>280000</v>
      </c>
      <c r="N35" s="7">
        <f t="shared" si="14"/>
        <v>2766358.98</v>
      </c>
    </row>
    <row r="36" spans="2:17" ht="15.6" customHeight="1" x14ac:dyDescent="0.3">
      <c r="B36" s="2" t="s">
        <v>14</v>
      </c>
      <c r="C36" s="3"/>
      <c r="D36" s="3" t="s">
        <v>15</v>
      </c>
      <c r="E36" s="3">
        <v>806775</v>
      </c>
      <c r="F36" s="3">
        <v>942405</v>
      </c>
      <c r="G36" s="3">
        <v>726472</v>
      </c>
      <c r="H36" s="3">
        <v>870245</v>
      </c>
      <c r="I36" s="3">
        <v>764000</v>
      </c>
      <c r="J36" s="3">
        <v>717200</v>
      </c>
      <c r="K36" s="3">
        <v>717200</v>
      </c>
      <c r="L36" s="3">
        <v>717200</v>
      </c>
      <c r="M36" s="3">
        <v>817200</v>
      </c>
      <c r="N36" s="3">
        <f t="shared" ref="N36:N37" si="15">SUM(E36:M36)</f>
        <v>7078697</v>
      </c>
    </row>
    <row r="37" spans="2:17" ht="15.6" customHeight="1" x14ac:dyDescent="0.3">
      <c r="B37" s="2" t="s">
        <v>14</v>
      </c>
      <c r="C37" s="3"/>
      <c r="D37" s="3" t="s">
        <v>16</v>
      </c>
      <c r="E37" s="3">
        <v>620000</v>
      </c>
      <c r="F37" s="3">
        <v>721112</v>
      </c>
      <c r="G37" s="3">
        <v>698290</v>
      </c>
      <c r="H37" s="3">
        <v>724733</v>
      </c>
      <c r="I37" s="3">
        <v>620000</v>
      </c>
      <c r="J37" s="3">
        <v>620000</v>
      </c>
      <c r="K37" s="3">
        <v>620000</v>
      </c>
      <c r="L37" s="3">
        <v>620000</v>
      </c>
      <c r="M37" s="3">
        <v>620000</v>
      </c>
      <c r="N37" s="3">
        <f t="shared" si="15"/>
        <v>5864135</v>
      </c>
    </row>
    <row r="38" spans="2:17" ht="16.2" customHeight="1" x14ac:dyDescent="0.3">
      <c r="B38" s="5" t="s">
        <v>14</v>
      </c>
      <c r="C38" s="6"/>
      <c r="D38" s="6"/>
      <c r="E38" s="7">
        <f t="shared" ref="E38:N38" si="16">SUBTOTAL(9,E36:E37)</f>
        <v>1426775</v>
      </c>
      <c r="F38" s="7">
        <f t="shared" si="16"/>
        <v>1663517</v>
      </c>
      <c r="G38" s="7">
        <f t="shared" si="16"/>
        <v>1424762</v>
      </c>
      <c r="H38" s="7">
        <f t="shared" si="16"/>
        <v>1594978</v>
      </c>
      <c r="I38" s="7">
        <f t="shared" si="16"/>
        <v>1384000</v>
      </c>
      <c r="J38" s="7">
        <f t="shared" si="16"/>
        <v>1337200</v>
      </c>
      <c r="K38" s="7">
        <f t="shared" si="16"/>
        <v>1337200</v>
      </c>
      <c r="L38" s="7">
        <f t="shared" si="16"/>
        <v>1337200</v>
      </c>
      <c r="M38" s="7">
        <f t="shared" si="16"/>
        <v>1437200</v>
      </c>
      <c r="N38" s="7">
        <f t="shared" si="16"/>
        <v>12942832</v>
      </c>
    </row>
    <row r="39" spans="2:17" ht="18.75" customHeight="1" x14ac:dyDescent="0.3">
      <c r="B39" s="2" t="s">
        <v>17</v>
      </c>
      <c r="C39" s="3"/>
      <c r="D39" s="3" t="s">
        <v>18</v>
      </c>
      <c r="E39" s="3">
        <v>1038500</v>
      </c>
      <c r="F39" s="3">
        <v>143600</v>
      </c>
      <c r="G39" s="3">
        <f>98930.59+345000+35000</f>
        <v>478930.58999999997</v>
      </c>
      <c r="H39" s="3">
        <v>1038500</v>
      </c>
      <c r="I39" s="3">
        <v>1054000</v>
      </c>
      <c r="J39" s="3">
        <v>1069500</v>
      </c>
      <c r="K39" s="3">
        <v>1069500</v>
      </c>
      <c r="L39" s="3">
        <v>1069500</v>
      </c>
      <c r="M39" s="3">
        <v>1069500</v>
      </c>
      <c r="N39" s="3">
        <f>SUM(E39:M39)</f>
        <v>8031530.5899999999</v>
      </c>
    </row>
    <row r="40" spans="2:17" ht="18" customHeight="1" x14ac:dyDescent="0.3">
      <c r="B40" s="2" t="s">
        <v>17</v>
      </c>
      <c r="C40" s="3"/>
      <c r="D40" s="3" t="s">
        <v>19</v>
      </c>
      <c r="E40" s="3">
        <v>368000</v>
      </c>
      <c r="F40" s="3">
        <v>0</v>
      </c>
      <c r="G40" s="3">
        <v>0</v>
      </c>
      <c r="H40" s="3">
        <v>368000</v>
      </c>
      <c r="I40" s="3">
        <v>372000</v>
      </c>
      <c r="J40" s="3">
        <v>376000</v>
      </c>
      <c r="K40" s="3">
        <v>376000</v>
      </c>
      <c r="L40" s="3">
        <v>376000</v>
      </c>
      <c r="M40" s="3">
        <v>376000</v>
      </c>
      <c r="N40" s="3">
        <f>SUM(E40:M40)</f>
        <v>2612000</v>
      </c>
    </row>
    <row r="41" spans="2:17" ht="16.5" customHeight="1" x14ac:dyDescent="0.3">
      <c r="B41" s="5" t="s">
        <v>17</v>
      </c>
      <c r="C41" s="6"/>
      <c r="D41" s="6"/>
      <c r="E41" s="7">
        <f t="shared" ref="E41:N41" si="17">SUBTOTAL(9,E39:E40)</f>
        <v>1406500</v>
      </c>
      <c r="F41" s="7">
        <f t="shared" si="17"/>
        <v>143600</v>
      </c>
      <c r="G41" s="7">
        <f t="shared" si="17"/>
        <v>478930.58999999997</v>
      </c>
      <c r="H41" s="7">
        <f t="shared" ref="H41" si="18">SUBTOTAL(9,H39:H40)</f>
        <v>1406500</v>
      </c>
      <c r="I41" s="7">
        <f t="shared" si="17"/>
        <v>1426000</v>
      </c>
      <c r="J41" s="7">
        <f t="shared" si="17"/>
        <v>1445500</v>
      </c>
      <c r="K41" s="7">
        <f t="shared" si="17"/>
        <v>1445500</v>
      </c>
      <c r="L41" s="7">
        <f t="shared" si="17"/>
        <v>1445500</v>
      </c>
      <c r="M41" s="7">
        <f t="shared" si="17"/>
        <v>1445500</v>
      </c>
      <c r="N41" s="7">
        <f t="shared" si="17"/>
        <v>10643530.59</v>
      </c>
    </row>
    <row r="42" spans="2:17" ht="18" customHeight="1" x14ac:dyDescent="0.3">
      <c r="B42" s="2" t="s">
        <v>20</v>
      </c>
      <c r="C42" s="3"/>
      <c r="D42" s="3" t="s">
        <v>21</v>
      </c>
      <c r="E42" s="3">
        <v>125000</v>
      </c>
      <c r="F42" s="3">
        <v>204226</v>
      </c>
      <c r="G42" s="3">
        <f>181782.6-35000</f>
        <v>146782.6</v>
      </c>
      <c r="H42" s="3">
        <v>150827</v>
      </c>
      <c r="I42" s="3">
        <v>95000</v>
      </c>
      <c r="J42" s="3">
        <v>70000</v>
      </c>
      <c r="K42" s="3">
        <v>65000</v>
      </c>
      <c r="L42" s="3">
        <v>50000</v>
      </c>
      <c r="M42" s="3">
        <v>0</v>
      </c>
      <c r="N42" s="3">
        <f>SUM(E42:M42)</f>
        <v>906835.6</v>
      </c>
    </row>
    <row r="43" spans="2:17" ht="19.5" customHeight="1" x14ac:dyDescent="0.3">
      <c r="B43" s="5" t="s">
        <v>20</v>
      </c>
      <c r="C43" s="6"/>
      <c r="D43" s="6"/>
      <c r="E43" s="7">
        <f t="shared" ref="E43:N43" si="19">SUBTOTAL(9,E42:E42)</f>
        <v>125000</v>
      </c>
      <c r="F43" s="7">
        <f t="shared" si="19"/>
        <v>204226</v>
      </c>
      <c r="G43" s="7">
        <f t="shared" si="19"/>
        <v>146782.6</v>
      </c>
      <c r="H43" s="7">
        <f t="shared" si="19"/>
        <v>150827</v>
      </c>
      <c r="I43" s="7">
        <f t="shared" si="19"/>
        <v>95000</v>
      </c>
      <c r="J43" s="7">
        <f t="shared" si="19"/>
        <v>70000</v>
      </c>
      <c r="K43" s="7">
        <f t="shared" si="19"/>
        <v>65000</v>
      </c>
      <c r="L43" s="7">
        <f t="shared" si="19"/>
        <v>50000</v>
      </c>
      <c r="M43" s="7">
        <f t="shared" si="19"/>
        <v>0</v>
      </c>
      <c r="N43" s="7">
        <f t="shared" si="19"/>
        <v>906835.6</v>
      </c>
    </row>
    <row r="44" spans="2:17" ht="21.75" customHeight="1" x14ac:dyDescent="0.35">
      <c r="B44" s="9" t="s">
        <v>22</v>
      </c>
      <c r="C44" s="10"/>
      <c r="D44" s="10"/>
      <c r="E44" s="10">
        <f t="shared" ref="E44:G44" si="20">SUM(E43,E41,E38,E35,E32,E30,E28,E26,E24,E22,E19)</f>
        <v>13220045.800000001</v>
      </c>
      <c r="F44" s="10">
        <f t="shared" si="20"/>
        <v>9246494.6900000032</v>
      </c>
      <c r="G44" s="10">
        <f t="shared" si="20"/>
        <v>8584269.7100000009</v>
      </c>
      <c r="H44" s="10">
        <f>SUM(H43,H41,H38,H35,H32,H30,H28,H26,H24,H22,H19)</f>
        <v>11338062.800000001</v>
      </c>
      <c r="I44" s="10">
        <f t="shared" ref="I44:N44" si="21">SUM(I43,I41,I38,I35,I30,I28,I26,I24,I22,I19)</f>
        <v>18836770.825415112</v>
      </c>
      <c r="J44" s="10">
        <f t="shared" si="21"/>
        <v>22274470.822026432</v>
      </c>
      <c r="K44" s="10">
        <f t="shared" si="21"/>
        <v>22349471.09775731</v>
      </c>
      <c r="L44" s="10">
        <f t="shared" si="21"/>
        <v>21229471.324779738</v>
      </c>
      <c r="M44" s="10">
        <f t="shared" si="21"/>
        <v>17749470.989610866</v>
      </c>
      <c r="N44" s="10">
        <f t="shared" si="21"/>
        <v>142572034.67958945</v>
      </c>
      <c r="Q44" s="30"/>
    </row>
    <row r="45" spans="2:17" ht="15.6" customHeight="1" x14ac:dyDescent="0.3">
      <c r="B45" s="2" t="s">
        <v>23</v>
      </c>
      <c r="C45" s="3"/>
      <c r="D45" s="3" t="s">
        <v>107</v>
      </c>
      <c r="E45" s="3">
        <v>2490588</v>
      </c>
      <c r="F45" s="3">
        <v>1896069.7</v>
      </c>
      <c r="G45" s="3">
        <v>1740153.3599999999</v>
      </c>
      <c r="H45" s="3">
        <v>2490588</v>
      </c>
      <c r="I45" s="3">
        <v>0</v>
      </c>
      <c r="J45" s="3">
        <v>0</v>
      </c>
      <c r="K45" s="3">
        <v>0</v>
      </c>
      <c r="L45" s="3">
        <v>0</v>
      </c>
      <c r="M45" s="3">
        <v>0</v>
      </c>
      <c r="N45" s="3">
        <f t="shared" ref="N45:N69" si="22">SUM(E45:M45)</f>
        <v>8617399.0600000005</v>
      </c>
    </row>
    <row r="46" spans="2:17" ht="15.6" customHeight="1" x14ac:dyDescent="0.3">
      <c r="B46" s="2" t="s">
        <v>23</v>
      </c>
      <c r="C46" s="3"/>
      <c r="D46" s="3" t="s">
        <v>108</v>
      </c>
      <c r="E46" s="3">
        <v>2490588</v>
      </c>
      <c r="F46" s="3">
        <v>396436.09</v>
      </c>
      <c r="G46" s="3">
        <v>391144.81</v>
      </c>
      <c r="H46" s="3">
        <v>2490588</v>
      </c>
      <c r="I46" s="3">
        <v>0</v>
      </c>
      <c r="J46" s="3">
        <v>0</v>
      </c>
      <c r="K46" s="3">
        <v>0</v>
      </c>
      <c r="L46" s="3">
        <v>0</v>
      </c>
      <c r="M46" s="3">
        <v>0</v>
      </c>
      <c r="N46" s="3">
        <f t="shared" si="22"/>
        <v>5768756.9000000004</v>
      </c>
    </row>
    <row r="47" spans="2:17" ht="15.6" customHeight="1" x14ac:dyDescent="0.3">
      <c r="B47" s="2" t="s">
        <v>23</v>
      </c>
      <c r="C47" s="3"/>
      <c r="D47" s="3" t="s">
        <v>109</v>
      </c>
      <c r="E47" s="3">
        <v>1556617</v>
      </c>
      <c r="F47" s="3">
        <v>1298702.05</v>
      </c>
      <c r="G47" s="3">
        <v>1298282.48</v>
      </c>
      <c r="H47" s="3">
        <v>1556617</v>
      </c>
      <c r="I47" s="3">
        <v>0</v>
      </c>
      <c r="J47" s="3">
        <v>2059941</v>
      </c>
      <c r="K47" s="3">
        <v>2055778</v>
      </c>
      <c r="L47" s="3">
        <v>1541834</v>
      </c>
      <c r="M47" s="3">
        <v>2055778</v>
      </c>
      <c r="N47" s="3">
        <f t="shared" si="22"/>
        <v>13423549.529999999</v>
      </c>
    </row>
    <row r="48" spans="2:17" ht="15.6" customHeight="1" x14ac:dyDescent="0.3">
      <c r="B48" s="2" t="s">
        <v>23</v>
      </c>
      <c r="C48" s="3"/>
      <c r="D48" s="3" t="s">
        <v>104</v>
      </c>
      <c r="E48" s="3">
        <v>2334926</v>
      </c>
      <c r="F48" s="3">
        <v>1915342.06</v>
      </c>
      <c r="G48" s="3">
        <v>1758602</v>
      </c>
      <c r="H48" s="3">
        <v>2334926</v>
      </c>
      <c r="I48" s="3">
        <v>0</v>
      </c>
      <c r="J48" s="3">
        <v>2059941</v>
      </c>
      <c r="K48" s="3">
        <v>2312751</v>
      </c>
      <c r="L48" s="3">
        <v>2055778</v>
      </c>
      <c r="M48" s="3">
        <v>2312751</v>
      </c>
      <c r="N48" s="3">
        <f>SUM(E48:M48)</f>
        <v>17085017.060000002</v>
      </c>
    </row>
    <row r="49" spans="1:15" ht="15.6" customHeight="1" x14ac:dyDescent="0.3">
      <c r="B49" s="2" t="s">
        <v>23</v>
      </c>
      <c r="C49" s="3"/>
      <c r="D49" s="3" t="s">
        <v>105</v>
      </c>
      <c r="E49" s="3">
        <v>1556617</v>
      </c>
      <c r="F49" s="3">
        <v>1474929.27</v>
      </c>
      <c r="G49" s="3">
        <v>1463190.71</v>
      </c>
      <c r="H49" s="3">
        <v>1556617</v>
      </c>
      <c r="I49" s="3">
        <v>0</v>
      </c>
      <c r="J49" s="3">
        <v>2317434</v>
      </c>
      <c r="K49" s="3">
        <v>1541834</v>
      </c>
      <c r="L49" s="3">
        <v>2055778</v>
      </c>
      <c r="M49" s="3">
        <v>1798806</v>
      </c>
      <c r="N49" s="3">
        <f t="shared" si="22"/>
        <v>13765205.98</v>
      </c>
    </row>
    <row r="50" spans="1:15" ht="15.6" customHeight="1" x14ac:dyDescent="0.3">
      <c r="B50" s="2" t="s">
        <v>23</v>
      </c>
      <c r="C50" s="3"/>
      <c r="D50" s="3" t="s">
        <v>106</v>
      </c>
      <c r="E50" s="3">
        <v>1816053</v>
      </c>
      <c r="F50" s="3">
        <v>644490.10000000009</v>
      </c>
      <c r="G50" s="3">
        <v>605940.49</v>
      </c>
      <c r="H50" s="3">
        <v>1816053</v>
      </c>
      <c r="I50" s="3">
        <v>0</v>
      </c>
      <c r="J50" s="3">
        <v>0</v>
      </c>
      <c r="K50" s="3">
        <v>0</v>
      </c>
      <c r="L50" s="3">
        <v>0</v>
      </c>
      <c r="M50" s="3">
        <v>0</v>
      </c>
      <c r="N50" s="3">
        <f t="shared" si="22"/>
        <v>4882536.59</v>
      </c>
    </row>
    <row r="51" spans="1:15" ht="15.6" customHeight="1" x14ac:dyDescent="0.3">
      <c r="B51" s="2" t="s">
        <v>23</v>
      </c>
      <c r="C51" s="3"/>
      <c r="D51" s="3" t="s">
        <v>110</v>
      </c>
      <c r="E51" s="3">
        <v>1556617</v>
      </c>
      <c r="F51" s="3">
        <v>1480437.82</v>
      </c>
      <c r="G51" s="3">
        <v>1480437.82</v>
      </c>
      <c r="H51" s="3">
        <v>1556617</v>
      </c>
      <c r="I51" s="3">
        <v>0</v>
      </c>
      <c r="J51" s="3">
        <v>0</v>
      </c>
      <c r="K51" s="3">
        <v>0</v>
      </c>
      <c r="L51" s="3">
        <v>0</v>
      </c>
      <c r="M51" s="3">
        <v>0</v>
      </c>
      <c r="N51" s="3">
        <f t="shared" si="22"/>
        <v>6074109.6400000006</v>
      </c>
    </row>
    <row r="52" spans="1:15" ht="15.6" customHeight="1" x14ac:dyDescent="0.3">
      <c r="B52" s="2" t="s">
        <v>23</v>
      </c>
      <c r="C52" s="3"/>
      <c r="D52" s="8" t="s">
        <v>111</v>
      </c>
      <c r="E52" s="8">
        <v>0</v>
      </c>
      <c r="F52" s="8">
        <v>0</v>
      </c>
      <c r="G52" s="8">
        <v>0</v>
      </c>
      <c r="H52" s="8">
        <v>0</v>
      </c>
      <c r="I52" s="8">
        <v>1961142</v>
      </c>
      <c r="J52" s="3">
        <v>0</v>
      </c>
      <c r="K52" s="3">
        <v>0</v>
      </c>
      <c r="L52" s="3">
        <v>0</v>
      </c>
      <c r="M52" s="3">
        <v>0</v>
      </c>
      <c r="N52" s="3">
        <f t="shared" si="22"/>
        <v>1961142</v>
      </c>
    </row>
    <row r="53" spans="1:15" ht="15.6" customHeight="1" x14ac:dyDescent="0.3">
      <c r="B53" s="2" t="s">
        <v>23</v>
      </c>
      <c r="C53" s="3"/>
      <c r="D53" s="8" t="s">
        <v>112</v>
      </c>
      <c r="E53" s="8">
        <v>0</v>
      </c>
      <c r="F53" s="8">
        <v>0</v>
      </c>
      <c r="G53" s="8">
        <v>0</v>
      </c>
      <c r="H53" s="8">
        <v>0</v>
      </c>
      <c r="I53" s="8">
        <v>1238616</v>
      </c>
      <c r="J53" s="3">
        <v>0</v>
      </c>
      <c r="K53" s="3">
        <v>0</v>
      </c>
      <c r="L53" s="3">
        <v>0</v>
      </c>
      <c r="M53" s="3">
        <v>0</v>
      </c>
      <c r="N53" s="3">
        <f t="shared" si="22"/>
        <v>1238616</v>
      </c>
    </row>
    <row r="54" spans="1:15" ht="15.6" customHeight="1" x14ac:dyDescent="0.3">
      <c r="B54" s="2" t="s">
        <v>23</v>
      </c>
      <c r="C54" s="3"/>
      <c r="D54" s="8" t="s">
        <v>113</v>
      </c>
      <c r="E54" s="8">
        <v>0</v>
      </c>
      <c r="F54" s="8">
        <v>0</v>
      </c>
      <c r="G54" s="8">
        <v>0</v>
      </c>
      <c r="H54" s="8">
        <v>0</v>
      </c>
      <c r="I54" s="8">
        <v>2374014</v>
      </c>
      <c r="J54" s="3">
        <v>0</v>
      </c>
      <c r="K54" s="3">
        <v>0</v>
      </c>
      <c r="L54" s="3">
        <v>0</v>
      </c>
      <c r="M54" s="3">
        <v>0</v>
      </c>
      <c r="N54" s="3">
        <f t="shared" si="22"/>
        <v>2374014</v>
      </c>
    </row>
    <row r="55" spans="1:15" ht="15.6" customHeight="1" x14ac:dyDescent="0.3">
      <c r="B55" s="2" t="s">
        <v>23</v>
      </c>
      <c r="C55" s="3"/>
      <c r="D55" s="8" t="s">
        <v>114</v>
      </c>
      <c r="E55" s="8">
        <v>0</v>
      </c>
      <c r="F55" s="8">
        <v>0</v>
      </c>
      <c r="G55" s="8">
        <v>0</v>
      </c>
      <c r="H55" s="8">
        <v>0</v>
      </c>
      <c r="I55" s="8">
        <v>1238615.5</v>
      </c>
      <c r="J55" s="3">
        <v>0</v>
      </c>
      <c r="K55" s="3">
        <v>0</v>
      </c>
      <c r="L55" s="3">
        <v>0</v>
      </c>
      <c r="M55" s="3">
        <v>0</v>
      </c>
      <c r="N55" s="3">
        <f t="shared" ref="N55" si="23">SUM(E55:M55)</f>
        <v>1238615.5</v>
      </c>
    </row>
    <row r="56" spans="1:15" ht="15.6" customHeight="1" x14ac:dyDescent="0.3">
      <c r="A56" s="18"/>
      <c r="B56" s="23" t="s">
        <v>23</v>
      </c>
      <c r="C56" s="3"/>
      <c r="D56" s="20" t="s">
        <v>115</v>
      </c>
      <c r="E56" s="8">
        <v>0</v>
      </c>
      <c r="F56" s="8">
        <v>0</v>
      </c>
      <c r="G56" s="8">
        <v>0</v>
      </c>
      <c r="H56" s="8">
        <v>0</v>
      </c>
      <c r="I56" s="8">
        <v>1548270</v>
      </c>
      <c r="J56" s="3">
        <v>0</v>
      </c>
      <c r="K56" s="3">
        <v>0</v>
      </c>
      <c r="L56" s="3">
        <v>0</v>
      </c>
      <c r="M56" s="3">
        <v>0</v>
      </c>
      <c r="N56" s="3">
        <f t="shared" si="22"/>
        <v>1548270</v>
      </c>
    </row>
    <row r="57" spans="1:15" ht="15.6" customHeight="1" x14ac:dyDescent="0.3">
      <c r="A57" s="18"/>
      <c r="B57" s="23" t="s">
        <v>23</v>
      </c>
      <c r="C57" s="3"/>
      <c r="D57" s="20" t="s">
        <v>116</v>
      </c>
      <c r="E57" s="8">
        <v>0</v>
      </c>
      <c r="F57" s="8">
        <v>0</v>
      </c>
      <c r="G57" s="8">
        <v>0</v>
      </c>
      <c r="H57" s="8">
        <v>0</v>
      </c>
      <c r="I57" s="8">
        <v>1961141.5</v>
      </c>
      <c r="J57" s="3">
        <v>0</v>
      </c>
      <c r="K57" s="3">
        <v>0</v>
      </c>
      <c r="L57" s="3">
        <v>0</v>
      </c>
      <c r="M57" s="3">
        <v>0</v>
      </c>
      <c r="N57" s="3">
        <f t="shared" si="22"/>
        <v>1961141.5</v>
      </c>
    </row>
    <row r="58" spans="1:15" ht="15.6" customHeight="1" x14ac:dyDescent="0.3">
      <c r="A58" s="18"/>
      <c r="B58" s="23" t="s">
        <v>23</v>
      </c>
      <c r="C58" s="3"/>
      <c r="D58" s="20" t="s">
        <v>117</v>
      </c>
      <c r="E58" s="8">
        <v>0</v>
      </c>
      <c r="F58" s="8">
        <v>0</v>
      </c>
      <c r="G58" s="8">
        <v>0</v>
      </c>
      <c r="H58" s="8">
        <v>0</v>
      </c>
      <c r="I58" s="8">
        <v>1135397</v>
      </c>
      <c r="J58" s="3">
        <v>0</v>
      </c>
      <c r="K58" s="3">
        <v>0</v>
      </c>
      <c r="L58" s="3">
        <v>0</v>
      </c>
      <c r="M58" s="3">
        <v>0</v>
      </c>
      <c r="N58" s="3">
        <f t="shared" si="22"/>
        <v>1135397</v>
      </c>
    </row>
    <row r="59" spans="1:15" ht="15.6" customHeight="1" x14ac:dyDescent="0.3">
      <c r="A59" s="18"/>
      <c r="B59" s="23" t="s">
        <v>23</v>
      </c>
      <c r="C59" s="3"/>
      <c r="D59" s="20" t="s">
        <v>118</v>
      </c>
      <c r="E59" s="8">
        <v>0</v>
      </c>
      <c r="F59" s="8">
        <v>0</v>
      </c>
      <c r="G59" s="8">
        <v>0</v>
      </c>
      <c r="H59" s="8">
        <v>0</v>
      </c>
      <c r="I59" s="8">
        <v>1032180</v>
      </c>
      <c r="J59" s="3">
        <v>0</v>
      </c>
      <c r="K59" s="3">
        <v>0</v>
      </c>
      <c r="L59" s="3">
        <v>0</v>
      </c>
      <c r="M59" s="3">
        <v>0</v>
      </c>
      <c r="N59" s="3">
        <f t="shared" si="22"/>
        <v>1032180</v>
      </c>
    </row>
    <row r="60" spans="1:15" ht="15.6" customHeight="1" x14ac:dyDescent="0.3">
      <c r="A60" s="18"/>
      <c r="B60" s="23" t="s">
        <v>23</v>
      </c>
      <c r="C60" s="3"/>
      <c r="D60" s="20" t="s">
        <v>119</v>
      </c>
      <c r="E60" s="8">
        <v>0</v>
      </c>
      <c r="F60" s="8">
        <v>0</v>
      </c>
      <c r="G60" s="8">
        <v>0</v>
      </c>
      <c r="H60" s="8">
        <v>0</v>
      </c>
      <c r="I60" s="8">
        <v>2064360</v>
      </c>
      <c r="J60" s="3">
        <v>0</v>
      </c>
      <c r="K60" s="8">
        <v>2055778</v>
      </c>
      <c r="L60" s="3">
        <v>1798806</v>
      </c>
      <c r="M60" s="3">
        <v>1798806</v>
      </c>
      <c r="N60" s="3">
        <f t="shared" si="22"/>
        <v>7717750</v>
      </c>
    </row>
    <row r="61" spans="1:15" s="11" customFormat="1" ht="15.6" customHeight="1" x14ac:dyDescent="0.3">
      <c r="A61" s="18"/>
      <c r="B61" s="23" t="s">
        <v>23</v>
      </c>
      <c r="C61" s="3"/>
      <c r="D61" s="20" t="s">
        <v>120</v>
      </c>
      <c r="E61" s="8">
        <v>0</v>
      </c>
      <c r="F61" s="8">
        <v>0</v>
      </c>
      <c r="G61" s="8">
        <v>0</v>
      </c>
      <c r="H61" s="8">
        <v>0</v>
      </c>
      <c r="I61" s="8">
        <v>1548270</v>
      </c>
      <c r="J61" s="8">
        <v>0</v>
      </c>
      <c r="K61" s="8">
        <v>0</v>
      </c>
      <c r="L61" s="8">
        <v>0</v>
      </c>
      <c r="M61" s="8">
        <v>0</v>
      </c>
      <c r="N61" s="3">
        <f t="shared" si="22"/>
        <v>1548270</v>
      </c>
      <c r="O61" s="1"/>
    </row>
    <row r="62" spans="1:15" s="11" customFormat="1" ht="15.6" customHeight="1" x14ac:dyDescent="0.3">
      <c r="A62" s="1"/>
      <c r="B62" s="2" t="s">
        <v>23</v>
      </c>
      <c r="C62" s="3"/>
      <c r="D62" s="8" t="s">
        <v>121</v>
      </c>
      <c r="E62" s="8">
        <v>0</v>
      </c>
      <c r="F62" s="8">
        <v>0</v>
      </c>
      <c r="G62" s="8">
        <v>0</v>
      </c>
      <c r="H62" s="8">
        <v>0</v>
      </c>
      <c r="I62" s="8">
        <v>0</v>
      </c>
      <c r="J62" s="8">
        <v>1544956</v>
      </c>
      <c r="K62" s="8">
        <v>0</v>
      </c>
      <c r="L62" s="8">
        <v>0</v>
      </c>
      <c r="M62" s="8">
        <v>0</v>
      </c>
      <c r="N62" s="3">
        <f t="shared" si="22"/>
        <v>1544956</v>
      </c>
      <c r="O62" s="1"/>
    </row>
    <row r="63" spans="1:15" s="11" customFormat="1" ht="15.6" customHeight="1" x14ac:dyDescent="0.3">
      <c r="A63" s="1"/>
      <c r="B63" s="2" t="s">
        <v>23</v>
      </c>
      <c r="C63" s="3"/>
      <c r="D63" s="8" t="s">
        <v>122</v>
      </c>
      <c r="E63" s="8">
        <v>0</v>
      </c>
      <c r="F63" s="8">
        <v>0</v>
      </c>
      <c r="G63" s="8">
        <v>0</v>
      </c>
      <c r="H63" s="8">
        <v>0</v>
      </c>
      <c r="I63" s="8">
        <v>0</v>
      </c>
      <c r="J63" s="8">
        <v>1544956</v>
      </c>
      <c r="K63" s="8">
        <v>0</v>
      </c>
      <c r="L63" s="8">
        <v>0</v>
      </c>
      <c r="M63" s="8">
        <v>0</v>
      </c>
      <c r="N63" s="3">
        <f t="shared" si="22"/>
        <v>1544956</v>
      </c>
      <c r="O63" s="1"/>
    </row>
    <row r="64" spans="1:15" s="11" customFormat="1" ht="15.6" customHeight="1" x14ac:dyDescent="0.3">
      <c r="A64" s="1"/>
      <c r="B64" s="2" t="s">
        <v>23</v>
      </c>
      <c r="C64" s="3"/>
      <c r="D64" s="3" t="s">
        <v>123</v>
      </c>
      <c r="E64" s="8">
        <v>0</v>
      </c>
      <c r="F64" s="8">
        <v>0</v>
      </c>
      <c r="G64" s="8">
        <v>0</v>
      </c>
      <c r="H64" s="8">
        <v>0</v>
      </c>
      <c r="I64" s="8">
        <v>0</v>
      </c>
      <c r="J64" s="3">
        <v>2059940.5</v>
      </c>
      <c r="K64" s="3">
        <v>2312751</v>
      </c>
      <c r="L64" s="3">
        <v>2055778</v>
      </c>
      <c r="M64" s="3">
        <v>2055778</v>
      </c>
      <c r="N64" s="3">
        <f t="shared" si="22"/>
        <v>8484247.5</v>
      </c>
      <c r="O64" s="1"/>
    </row>
    <row r="65" spans="1:15" s="11" customFormat="1" ht="15.6" customHeight="1" x14ac:dyDescent="0.3">
      <c r="A65" s="1"/>
      <c r="B65" s="2" t="s">
        <v>23</v>
      </c>
      <c r="C65" s="3"/>
      <c r="D65" s="3" t="s">
        <v>124</v>
      </c>
      <c r="E65" s="8">
        <v>0</v>
      </c>
      <c r="F65" s="8">
        <v>0</v>
      </c>
      <c r="G65" s="8">
        <v>0</v>
      </c>
      <c r="H65" s="8">
        <v>0</v>
      </c>
      <c r="I65" s="8">
        <v>0</v>
      </c>
      <c r="J65" s="3">
        <v>2059940.5</v>
      </c>
      <c r="K65" s="3">
        <v>2312751</v>
      </c>
      <c r="L65" s="3">
        <v>0</v>
      </c>
      <c r="M65" s="3">
        <v>0</v>
      </c>
      <c r="N65" s="3">
        <f t="shared" si="22"/>
        <v>4372691.5</v>
      </c>
      <c r="O65" s="1"/>
    </row>
    <row r="66" spans="1:15" s="11" customFormat="1" ht="15.6" customHeight="1" x14ac:dyDescent="0.3">
      <c r="A66" s="1"/>
      <c r="B66" s="2" t="s">
        <v>23</v>
      </c>
      <c r="C66" s="3"/>
      <c r="D66" s="3" t="s">
        <v>125</v>
      </c>
      <c r="E66" s="8">
        <v>0</v>
      </c>
      <c r="F66" s="8">
        <v>0</v>
      </c>
      <c r="G66" s="8">
        <v>0</v>
      </c>
      <c r="H66" s="8">
        <v>0</v>
      </c>
      <c r="I66" s="8">
        <v>0</v>
      </c>
      <c r="J66" s="3">
        <v>2059941</v>
      </c>
      <c r="K66" s="3">
        <v>2312751</v>
      </c>
      <c r="L66" s="3">
        <v>2312751</v>
      </c>
      <c r="M66" s="3">
        <v>2055778.4</v>
      </c>
      <c r="N66" s="3">
        <f t="shared" si="22"/>
        <v>8741221.4000000004</v>
      </c>
      <c r="O66" s="1"/>
    </row>
    <row r="67" spans="1:15" s="11" customFormat="1" ht="15.6" customHeight="1" x14ac:dyDescent="0.3">
      <c r="A67" s="1"/>
      <c r="B67" s="2" t="s">
        <v>23</v>
      </c>
      <c r="C67" s="3"/>
      <c r="D67" s="3" t="s">
        <v>126</v>
      </c>
      <c r="E67" s="8">
        <v>0</v>
      </c>
      <c r="F67" s="8">
        <v>0</v>
      </c>
      <c r="G67" s="8">
        <v>0</v>
      </c>
      <c r="H67" s="8">
        <v>0</v>
      </c>
      <c r="I67" s="8">
        <v>0</v>
      </c>
      <c r="J67" s="3">
        <v>1544956</v>
      </c>
      <c r="K67" s="3">
        <v>0</v>
      </c>
      <c r="L67" s="3">
        <v>0</v>
      </c>
      <c r="M67" s="3">
        <v>0</v>
      </c>
      <c r="N67" s="3">
        <f t="shared" si="22"/>
        <v>1544956</v>
      </c>
      <c r="O67" s="1"/>
    </row>
    <row r="68" spans="1:15" s="11" customFormat="1" ht="15.6" customHeight="1" x14ac:dyDescent="0.3">
      <c r="A68" s="1"/>
      <c r="B68" s="2" t="s">
        <v>23</v>
      </c>
      <c r="C68" s="3"/>
      <c r="D68" s="3" t="s">
        <v>127</v>
      </c>
      <c r="E68" s="8">
        <v>0</v>
      </c>
      <c r="F68" s="8">
        <v>0</v>
      </c>
      <c r="G68" s="8">
        <v>0</v>
      </c>
      <c r="H68" s="8">
        <v>0</v>
      </c>
      <c r="I68" s="8">
        <v>0</v>
      </c>
      <c r="J68" s="8">
        <v>0</v>
      </c>
      <c r="K68" s="3">
        <v>2055778</v>
      </c>
      <c r="L68" s="3">
        <v>2055778</v>
      </c>
      <c r="M68" s="3">
        <v>2055778.4</v>
      </c>
      <c r="N68" s="3">
        <f t="shared" si="22"/>
        <v>6167334.4000000004</v>
      </c>
      <c r="O68" s="1"/>
    </row>
    <row r="69" spans="1:15" s="11" customFormat="1" ht="15.6" customHeight="1" x14ac:dyDescent="0.3">
      <c r="A69" s="1"/>
      <c r="B69" s="2" t="s">
        <v>23</v>
      </c>
      <c r="C69" s="3"/>
      <c r="D69" s="8" t="s">
        <v>128</v>
      </c>
      <c r="E69" s="8">
        <v>0</v>
      </c>
      <c r="F69" s="8">
        <v>0</v>
      </c>
      <c r="G69" s="8">
        <v>0</v>
      </c>
      <c r="H69" s="8">
        <v>0</v>
      </c>
      <c r="I69" s="8">
        <v>0</v>
      </c>
      <c r="J69" s="8">
        <v>0</v>
      </c>
      <c r="K69" s="8">
        <v>1541834</v>
      </c>
      <c r="L69" s="8">
        <v>0</v>
      </c>
      <c r="M69" s="8">
        <v>0</v>
      </c>
      <c r="N69" s="3">
        <f t="shared" si="22"/>
        <v>1541834</v>
      </c>
      <c r="O69" s="1"/>
    </row>
    <row r="70" spans="1:15" s="11" customFormat="1" ht="15.6" customHeight="1" x14ac:dyDescent="0.3">
      <c r="A70" s="1"/>
      <c r="B70" s="2" t="s">
        <v>23</v>
      </c>
      <c r="C70" s="3"/>
      <c r="D70" s="8" t="s">
        <v>129</v>
      </c>
      <c r="E70" s="8">
        <v>0</v>
      </c>
      <c r="F70" s="8">
        <v>0</v>
      </c>
      <c r="G70" s="8">
        <v>0</v>
      </c>
      <c r="H70" s="8">
        <v>0</v>
      </c>
      <c r="I70" s="8">
        <v>0</v>
      </c>
      <c r="J70" s="8">
        <v>0</v>
      </c>
      <c r="K70" s="8">
        <v>0</v>
      </c>
      <c r="L70" s="8">
        <v>2312751.4</v>
      </c>
      <c r="M70" s="8">
        <v>2312751.4</v>
      </c>
      <c r="N70" s="3">
        <f t="shared" ref="N70:N71" si="24">SUM(E70:M70)</f>
        <v>4625502.8</v>
      </c>
      <c r="O70" s="1"/>
    </row>
    <row r="71" spans="1:15" s="11" customFormat="1" ht="15.6" customHeight="1" x14ac:dyDescent="0.3">
      <c r="A71" s="1"/>
      <c r="B71" s="2" t="s">
        <v>23</v>
      </c>
      <c r="C71" s="3"/>
      <c r="D71" s="8" t="s">
        <v>177</v>
      </c>
      <c r="E71" s="8">
        <v>0</v>
      </c>
      <c r="F71" s="8">
        <v>444165</v>
      </c>
      <c r="G71" s="8">
        <v>431659</v>
      </c>
      <c r="H71" s="8">
        <f>13849086-13802006</f>
        <v>47080</v>
      </c>
      <c r="I71" s="8">
        <v>0</v>
      </c>
      <c r="J71" s="8">
        <v>0</v>
      </c>
      <c r="K71" s="8">
        <v>0</v>
      </c>
      <c r="L71" s="8">
        <v>2312751.4</v>
      </c>
      <c r="M71" s="8">
        <v>2055778.4</v>
      </c>
      <c r="N71" s="3">
        <f t="shared" si="24"/>
        <v>5291433.8</v>
      </c>
      <c r="O71" s="1"/>
    </row>
    <row r="72" spans="1:15" ht="16.2" customHeight="1" x14ac:dyDescent="0.3">
      <c r="B72" s="5" t="s">
        <v>23</v>
      </c>
      <c r="C72" s="6"/>
      <c r="D72" s="6"/>
      <c r="E72" s="7">
        <f t="shared" ref="E72:N72" si="25">SUBTOTAL(9,E45:E71)</f>
        <v>13802006</v>
      </c>
      <c r="F72" s="7">
        <f t="shared" si="25"/>
        <v>9550572.0899999999</v>
      </c>
      <c r="G72" s="7">
        <f t="shared" si="25"/>
        <v>9169410.6699999999</v>
      </c>
      <c r="H72" s="7">
        <f t="shared" si="25"/>
        <v>13849086</v>
      </c>
      <c r="I72" s="7">
        <f t="shared" si="25"/>
        <v>16102006</v>
      </c>
      <c r="J72" s="7">
        <f t="shared" si="25"/>
        <v>17252006</v>
      </c>
      <c r="K72" s="7">
        <f t="shared" si="25"/>
        <v>18502006</v>
      </c>
      <c r="L72" s="7">
        <f t="shared" si="25"/>
        <v>18502005.800000001</v>
      </c>
      <c r="M72" s="7">
        <f t="shared" si="25"/>
        <v>18502005.600000001</v>
      </c>
      <c r="N72" s="7">
        <f t="shared" si="25"/>
        <v>135231104.16000003</v>
      </c>
    </row>
    <row r="73" spans="1:15" ht="15.6" customHeight="1" x14ac:dyDescent="0.3">
      <c r="B73" s="2" t="s">
        <v>24</v>
      </c>
      <c r="C73" s="3"/>
      <c r="D73" s="3" t="s">
        <v>57</v>
      </c>
      <c r="E73" s="3">
        <v>1556617</v>
      </c>
      <c r="F73" s="3">
        <v>1142168</v>
      </c>
      <c r="G73" s="3">
        <v>1108176</v>
      </c>
      <c r="H73" s="3">
        <f>5828776-4510632</f>
        <v>1318144</v>
      </c>
      <c r="I73" s="3">
        <v>1545617.3</v>
      </c>
      <c r="J73" s="3">
        <v>1542016</v>
      </c>
      <c r="K73" s="3">
        <v>1542016</v>
      </c>
      <c r="L73" s="3">
        <v>1542016</v>
      </c>
      <c r="M73" s="3">
        <v>1540939</v>
      </c>
      <c r="N73" s="3">
        <f t="shared" ref="N73:N94" si="26">SUM(E73:M73)</f>
        <v>12837709.300000001</v>
      </c>
    </row>
    <row r="74" spans="1:15" ht="15.6" customHeight="1" x14ac:dyDescent="0.3">
      <c r="B74" s="2" t="s">
        <v>24</v>
      </c>
      <c r="C74" s="3"/>
      <c r="D74" s="3" t="s">
        <v>58</v>
      </c>
      <c r="E74" s="3">
        <v>1245294.2</v>
      </c>
      <c r="F74" s="3">
        <v>2581917</v>
      </c>
      <c r="G74" s="3">
        <v>2224883</v>
      </c>
      <c r="H74" s="3">
        <f>1430196+62354+1302+31137+4825+3880+77328+125844+415098+311323</f>
        <v>2463287</v>
      </c>
      <c r="I74" s="3">
        <v>1236494.3999999999</v>
      </c>
      <c r="J74" s="3">
        <v>1233613</v>
      </c>
      <c r="K74" s="3">
        <v>1233613</v>
      </c>
      <c r="L74" s="3">
        <v>1233613</v>
      </c>
      <c r="M74" s="3">
        <v>1232750</v>
      </c>
      <c r="N74" s="3">
        <f t="shared" si="26"/>
        <v>14685464.6</v>
      </c>
    </row>
    <row r="75" spans="1:15" ht="15.6" customHeight="1" x14ac:dyDescent="0.3">
      <c r="B75" s="2" t="s">
        <v>24</v>
      </c>
      <c r="C75" s="3"/>
      <c r="D75" s="3" t="s">
        <v>130</v>
      </c>
      <c r="E75" s="3">
        <v>1120764.3999999999</v>
      </c>
      <c r="F75" s="3">
        <v>914385.94000000006</v>
      </c>
      <c r="G75" s="3">
        <f>910919.79-20000</f>
        <v>890919.79</v>
      </c>
      <c r="H75" s="3">
        <v>900000</v>
      </c>
      <c r="I75" s="3">
        <v>0</v>
      </c>
      <c r="J75" s="3">
        <v>0</v>
      </c>
      <c r="K75" s="3">
        <v>0</v>
      </c>
      <c r="L75" s="3">
        <v>0</v>
      </c>
      <c r="M75" s="3">
        <v>0</v>
      </c>
      <c r="N75" s="3">
        <f t="shared" si="26"/>
        <v>3826070.13</v>
      </c>
    </row>
    <row r="76" spans="1:15" ht="15.6" customHeight="1" x14ac:dyDescent="0.3">
      <c r="B76" s="2" t="s">
        <v>24</v>
      </c>
      <c r="C76" s="3"/>
      <c r="D76" s="3" t="s">
        <v>131</v>
      </c>
      <c r="E76" s="3">
        <v>635100</v>
      </c>
      <c r="F76" s="3">
        <v>9702.1</v>
      </c>
      <c r="G76" s="3">
        <f>5786+20000</f>
        <v>25786</v>
      </c>
      <c r="H76" s="3">
        <v>635100</v>
      </c>
      <c r="I76" s="3">
        <v>0</v>
      </c>
      <c r="J76" s="3">
        <v>2405545</v>
      </c>
      <c r="K76" s="3">
        <v>0</v>
      </c>
      <c r="L76" s="3">
        <v>0</v>
      </c>
      <c r="M76" s="3">
        <v>0</v>
      </c>
      <c r="N76" s="3">
        <f t="shared" si="26"/>
        <v>3711233.1</v>
      </c>
    </row>
    <row r="77" spans="1:15" ht="15.6" customHeight="1" x14ac:dyDescent="0.3">
      <c r="B77" s="2" t="s">
        <v>24</v>
      </c>
      <c r="C77" s="3"/>
      <c r="D77" s="3" t="s">
        <v>132</v>
      </c>
      <c r="E77" s="3">
        <v>709817</v>
      </c>
      <c r="F77" s="3">
        <v>483914.39</v>
      </c>
      <c r="G77" s="3">
        <v>427305.37</v>
      </c>
      <c r="H77" s="3">
        <v>512245</v>
      </c>
      <c r="I77" s="3">
        <v>0</v>
      </c>
      <c r="J77" s="3">
        <v>0</v>
      </c>
      <c r="K77" s="3">
        <v>0</v>
      </c>
      <c r="L77" s="3">
        <v>0</v>
      </c>
      <c r="M77" s="3">
        <v>0</v>
      </c>
      <c r="N77" s="3">
        <f t="shared" si="26"/>
        <v>2133281.7600000002</v>
      </c>
    </row>
    <row r="78" spans="1:15" ht="15.6" customHeight="1" x14ac:dyDescent="0.3">
      <c r="B78" s="12" t="s">
        <v>24</v>
      </c>
      <c r="C78" s="8"/>
      <c r="D78" s="8" t="s">
        <v>133</v>
      </c>
      <c r="E78" s="8">
        <v>0</v>
      </c>
      <c r="F78" s="8">
        <v>0</v>
      </c>
      <c r="G78" s="8">
        <v>0</v>
      </c>
      <c r="H78" s="8">
        <v>0</v>
      </c>
      <c r="I78" s="8">
        <v>741896.2</v>
      </c>
      <c r="J78" s="8">
        <v>0</v>
      </c>
      <c r="K78" s="3">
        <v>0</v>
      </c>
      <c r="L78" s="3">
        <v>0</v>
      </c>
      <c r="M78" s="3">
        <v>0</v>
      </c>
      <c r="N78" s="8">
        <f t="shared" si="26"/>
        <v>741896.2</v>
      </c>
    </row>
    <row r="79" spans="1:15" ht="15.6" customHeight="1" x14ac:dyDescent="0.3">
      <c r="B79" s="12" t="s">
        <v>24</v>
      </c>
      <c r="C79" s="8"/>
      <c r="D79" s="8" t="s">
        <v>134</v>
      </c>
      <c r="E79" s="8">
        <v>0</v>
      </c>
      <c r="F79" s="8">
        <v>0</v>
      </c>
      <c r="G79" s="8">
        <v>0</v>
      </c>
      <c r="H79" s="8">
        <v>0</v>
      </c>
      <c r="I79" s="8">
        <v>1020107.4</v>
      </c>
      <c r="J79" s="8">
        <v>0</v>
      </c>
      <c r="K79" s="3">
        <v>0</v>
      </c>
      <c r="L79" s="3">
        <v>0</v>
      </c>
      <c r="M79" s="3">
        <v>0</v>
      </c>
      <c r="N79" s="8">
        <f t="shared" si="26"/>
        <v>1020107.4</v>
      </c>
    </row>
    <row r="80" spans="1:15" s="21" customFormat="1" ht="15.6" customHeight="1" x14ac:dyDescent="0.3">
      <c r="A80" s="18"/>
      <c r="B80" s="23" t="s">
        <v>24</v>
      </c>
      <c r="C80" s="20"/>
      <c r="D80" s="20" t="s">
        <v>135</v>
      </c>
      <c r="E80" s="8">
        <v>0</v>
      </c>
      <c r="F80" s="8">
        <v>0</v>
      </c>
      <c r="G80" s="8">
        <v>0</v>
      </c>
      <c r="H80" s="8">
        <v>0</v>
      </c>
      <c r="I80" s="20">
        <v>927370</v>
      </c>
      <c r="J80" s="20">
        <v>0</v>
      </c>
      <c r="K80" s="3">
        <v>0</v>
      </c>
      <c r="L80" s="3">
        <v>0</v>
      </c>
      <c r="M80" s="3">
        <v>0</v>
      </c>
      <c r="N80" s="20">
        <f t="shared" ref="N80:N81" si="27">SUM(E80:M80)</f>
        <v>927370</v>
      </c>
    </row>
    <row r="81" spans="1:17" s="21" customFormat="1" ht="15.6" customHeight="1" x14ac:dyDescent="0.3">
      <c r="A81" s="18"/>
      <c r="B81" s="23" t="s">
        <v>24</v>
      </c>
      <c r="C81" s="20"/>
      <c r="D81" s="20" t="s">
        <v>136</v>
      </c>
      <c r="E81" s="8">
        <v>0</v>
      </c>
      <c r="F81" s="8">
        <v>0</v>
      </c>
      <c r="G81" s="8">
        <v>0</v>
      </c>
      <c r="H81" s="8">
        <v>0</v>
      </c>
      <c r="I81" s="20">
        <v>1020107.4</v>
      </c>
      <c r="J81" s="20">
        <v>0</v>
      </c>
      <c r="K81" s="3">
        <v>0</v>
      </c>
      <c r="L81" s="3">
        <v>0</v>
      </c>
      <c r="M81" s="3">
        <v>0</v>
      </c>
      <c r="N81" s="20">
        <f t="shared" si="27"/>
        <v>1020107.4</v>
      </c>
    </row>
    <row r="82" spans="1:17" ht="15.6" customHeight="1" x14ac:dyDescent="0.3">
      <c r="B82" s="2" t="s">
        <v>24</v>
      </c>
      <c r="C82" s="3"/>
      <c r="D82" s="8" t="s">
        <v>137</v>
      </c>
      <c r="E82" s="8">
        <v>0</v>
      </c>
      <c r="F82" s="8">
        <v>0</v>
      </c>
      <c r="G82" s="8">
        <v>0</v>
      </c>
      <c r="H82" s="8">
        <v>0</v>
      </c>
      <c r="I82" s="8">
        <v>0</v>
      </c>
      <c r="J82" s="8">
        <v>1850419</v>
      </c>
      <c r="K82" s="8">
        <v>1850419</v>
      </c>
      <c r="L82" s="3">
        <v>0</v>
      </c>
      <c r="M82" s="3">
        <v>0</v>
      </c>
      <c r="N82" s="8">
        <f t="shared" si="26"/>
        <v>3700838</v>
      </c>
    </row>
    <row r="83" spans="1:17" ht="15.6" customHeight="1" x14ac:dyDescent="0.3">
      <c r="B83" s="2" t="s">
        <v>24</v>
      </c>
      <c r="C83" s="3"/>
      <c r="D83" s="8" t="s">
        <v>138</v>
      </c>
      <c r="E83" s="8">
        <v>0</v>
      </c>
      <c r="F83" s="8">
        <v>0</v>
      </c>
      <c r="G83" s="8">
        <v>0</v>
      </c>
      <c r="H83" s="8">
        <v>0</v>
      </c>
      <c r="I83" s="8">
        <v>0</v>
      </c>
      <c r="J83" s="8">
        <v>0</v>
      </c>
      <c r="K83" s="8">
        <v>1665377</v>
      </c>
      <c r="L83" s="3">
        <v>0</v>
      </c>
      <c r="M83" s="3">
        <v>0</v>
      </c>
      <c r="N83" s="8">
        <f t="shared" si="26"/>
        <v>1665377</v>
      </c>
    </row>
    <row r="84" spans="1:17" ht="15.6" customHeight="1" x14ac:dyDescent="0.3">
      <c r="B84" s="2" t="s">
        <v>24</v>
      </c>
      <c r="C84" s="3"/>
      <c r="D84" s="8" t="s">
        <v>139</v>
      </c>
      <c r="E84" s="8">
        <v>0</v>
      </c>
      <c r="F84" s="8">
        <v>0</v>
      </c>
      <c r="G84" s="8">
        <v>0</v>
      </c>
      <c r="H84" s="8">
        <v>0</v>
      </c>
      <c r="I84" s="8">
        <v>0</v>
      </c>
      <c r="J84" s="8">
        <v>0</v>
      </c>
      <c r="K84" s="8">
        <v>740168</v>
      </c>
      <c r="L84" s="3">
        <v>0</v>
      </c>
      <c r="M84" s="3">
        <v>0</v>
      </c>
      <c r="N84" s="8">
        <f t="shared" si="26"/>
        <v>740168</v>
      </c>
    </row>
    <row r="85" spans="1:17" ht="15.6" customHeight="1" x14ac:dyDescent="0.3">
      <c r="B85" s="2" t="s">
        <v>24</v>
      </c>
      <c r="C85" s="3"/>
      <c r="D85" s="8" t="s">
        <v>140</v>
      </c>
      <c r="E85" s="8">
        <v>0</v>
      </c>
      <c r="F85" s="8">
        <v>0</v>
      </c>
      <c r="G85" s="8">
        <v>0</v>
      </c>
      <c r="H85" s="8">
        <v>0</v>
      </c>
      <c r="I85" s="8">
        <v>0</v>
      </c>
      <c r="J85" s="8">
        <v>0</v>
      </c>
      <c r="K85" s="8">
        <v>0</v>
      </c>
      <c r="L85" s="8">
        <v>832688.5</v>
      </c>
      <c r="M85" s="8">
        <v>0</v>
      </c>
      <c r="N85" s="8">
        <f t="shared" si="26"/>
        <v>832688.5</v>
      </c>
    </row>
    <row r="86" spans="1:17" ht="15.6" customHeight="1" x14ac:dyDescent="0.3">
      <c r="B86" s="2" t="s">
        <v>24</v>
      </c>
      <c r="C86" s="3"/>
      <c r="D86" s="8" t="s">
        <v>141</v>
      </c>
      <c r="E86" s="8">
        <v>0</v>
      </c>
      <c r="F86" s="8">
        <v>0</v>
      </c>
      <c r="G86" s="8">
        <v>0</v>
      </c>
      <c r="H86" s="8">
        <v>0</v>
      </c>
      <c r="I86" s="8">
        <v>0</v>
      </c>
      <c r="J86" s="8">
        <v>0</v>
      </c>
      <c r="K86" s="8">
        <v>0</v>
      </c>
      <c r="L86" s="8">
        <v>925210</v>
      </c>
      <c r="M86" s="8">
        <v>0</v>
      </c>
      <c r="N86" s="8">
        <f t="shared" si="26"/>
        <v>925210</v>
      </c>
    </row>
    <row r="87" spans="1:17" ht="15.6" customHeight="1" x14ac:dyDescent="0.3">
      <c r="B87" s="2" t="s">
        <v>24</v>
      </c>
      <c r="C87" s="3"/>
      <c r="D87" s="8" t="s">
        <v>59</v>
      </c>
      <c r="E87" s="8">
        <v>0</v>
      </c>
      <c r="F87" s="8">
        <v>0</v>
      </c>
      <c r="G87" s="8">
        <v>0</v>
      </c>
      <c r="H87" s="8">
        <v>0</v>
      </c>
      <c r="I87" s="8">
        <v>0</v>
      </c>
      <c r="J87" s="8">
        <v>0</v>
      </c>
      <c r="K87" s="8">
        <v>0</v>
      </c>
      <c r="L87" s="8">
        <v>370083.5</v>
      </c>
      <c r="M87" s="8">
        <v>1849126</v>
      </c>
      <c r="N87" s="8">
        <f t="shared" si="26"/>
        <v>2219209.5</v>
      </c>
    </row>
    <row r="88" spans="1:17" ht="15.6" customHeight="1" x14ac:dyDescent="0.3">
      <c r="B88" s="2" t="s">
        <v>24</v>
      </c>
      <c r="C88" s="3"/>
      <c r="D88" s="8" t="s">
        <v>143</v>
      </c>
      <c r="E88" s="8">
        <v>0</v>
      </c>
      <c r="F88" s="8">
        <v>0</v>
      </c>
      <c r="G88" s="8">
        <v>0</v>
      </c>
      <c r="H88" s="8">
        <v>0</v>
      </c>
      <c r="I88" s="8">
        <v>0</v>
      </c>
      <c r="J88" s="8">
        <v>0</v>
      </c>
      <c r="K88" s="8">
        <v>0</v>
      </c>
      <c r="L88" s="8">
        <v>555125.5</v>
      </c>
      <c r="M88" s="8">
        <v>0</v>
      </c>
      <c r="N88" s="8">
        <f t="shared" si="26"/>
        <v>555125.5</v>
      </c>
    </row>
    <row r="89" spans="1:17" ht="15.6" customHeight="1" x14ac:dyDescent="0.3">
      <c r="B89" s="2" t="s">
        <v>24</v>
      </c>
      <c r="C89" s="3"/>
      <c r="D89" s="8" t="s">
        <v>142</v>
      </c>
      <c r="E89" s="8">
        <v>0</v>
      </c>
      <c r="F89" s="8">
        <v>0</v>
      </c>
      <c r="G89" s="8">
        <v>0</v>
      </c>
      <c r="H89" s="8">
        <v>0</v>
      </c>
      <c r="I89" s="8">
        <v>0</v>
      </c>
      <c r="J89" s="8">
        <v>0</v>
      </c>
      <c r="K89" s="8">
        <v>0</v>
      </c>
      <c r="L89" s="8">
        <v>925210</v>
      </c>
      <c r="M89" s="8">
        <v>0</v>
      </c>
      <c r="N89" s="8">
        <f t="shared" si="26"/>
        <v>925210</v>
      </c>
    </row>
    <row r="90" spans="1:17" ht="15.6" customHeight="1" x14ac:dyDescent="0.3">
      <c r="B90" s="2" t="s">
        <v>24</v>
      </c>
      <c r="C90" s="3"/>
      <c r="D90" s="8" t="s">
        <v>144</v>
      </c>
      <c r="E90" s="8">
        <v>0</v>
      </c>
      <c r="F90" s="8">
        <v>0</v>
      </c>
      <c r="G90" s="8">
        <v>0</v>
      </c>
      <c r="H90" s="8">
        <v>0</v>
      </c>
      <c r="I90" s="8">
        <v>0</v>
      </c>
      <c r="J90" s="8">
        <v>0</v>
      </c>
      <c r="K90" s="8">
        <v>0</v>
      </c>
      <c r="L90" s="8">
        <v>647646.5</v>
      </c>
      <c r="M90" s="8">
        <v>0</v>
      </c>
      <c r="N90" s="8">
        <f t="shared" si="26"/>
        <v>647646.5</v>
      </c>
    </row>
    <row r="91" spans="1:17" ht="15.6" customHeight="1" x14ac:dyDescent="0.3">
      <c r="B91" s="2" t="s">
        <v>24</v>
      </c>
      <c r="C91" s="3"/>
      <c r="D91" s="8" t="s">
        <v>145</v>
      </c>
      <c r="E91" s="8">
        <v>0</v>
      </c>
      <c r="F91" s="8">
        <v>0</v>
      </c>
      <c r="G91" s="8">
        <v>0</v>
      </c>
      <c r="H91" s="8">
        <v>0</v>
      </c>
      <c r="I91" s="8">
        <v>0</v>
      </c>
      <c r="J91" s="8">
        <v>0</v>
      </c>
      <c r="K91" s="8">
        <v>0</v>
      </c>
      <c r="L91" s="8">
        <v>0</v>
      </c>
      <c r="M91" s="8">
        <v>647194</v>
      </c>
      <c r="N91" s="8">
        <f t="shared" si="26"/>
        <v>647194</v>
      </c>
    </row>
    <row r="92" spans="1:17" ht="15.6" customHeight="1" x14ac:dyDescent="0.3">
      <c r="B92" s="2" t="s">
        <v>24</v>
      </c>
      <c r="C92" s="3"/>
      <c r="D92" s="8" t="s">
        <v>146</v>
      </c>
      <c r="E92" s="8">
        <v>0</v>
      </c>
      <c r="F92" s="8">
        <v>0</v>
      </c>
      <c r="G92" s="8">
        <v>0</v>
      </c>
      <c r="H92" s="8">
        <v>0</v>
      </c>
      <c r="I92" s="8">
        <v>0</v>
      </c>
      <c r="J92" s="8">
        <v>0</v>
      </c>
      <c r="K92" s="8">
        <v>0</v>
      </c>
      <c r="L92" s="8">
        <v>0</v>
      </c>
      <c r="M92" s="8">
        <v>554738</v>
      </c>
      <c r="N92" s="8">
        <f t="shared" si="26"/>
        <v>554738</v>
      </c>
    </row>
    <row r="93" spans="1:17" ht="15.6" customHeight="1" x14ac:dyDescent="0.3">
      <c r="B93" s="2" t="s">
        <v>24</v>
      </c>
      <c r="C93" s="3"/>
      <c r="D93" s="8" t="s">
        <v>147</v>
      </c>
      <c r="E93" s="8">
        <v>0</v>
      </c>
      <c r="F93" s="8">
        <v>0</v>
      </c>
      <c r="G93" s="8">
        <v>0</v>
      </c>
      <c r="H93" s="8">
        <v>0</v>
      </c>
      <c r="I93" s="8">
        <v>0</v>
      </c>
      <c r="J93" s="8">
        <v>0</v>
      </c>
      <c r="K93" s="8">
        <v>0</v>
      </c>
      <c r="L93" s="8">
        <v>0</v>
      </c>
      <c r="M93" s="8">
        <v>647194</v>
      </c>
      <c r="N93" s="8">
        <f t="shared" si="26"/>
        <v>647194</v>
      </c>
    </row>
    <row r="94" spans="1:17" ht="15.6" customHeight="1" x14ac:dyDescent="0.3">
      <c r="B94" s="2" t="s">
        <v>24</v>
      </c>
      <c r="C94" s="3"/>
      <c r="D94" s="8" t="s">
        <v>148</v>
      </c>
      <c r="E94" s="8">
        <v>0</v>
      </c>
      <c r="F94" s="8">
        <v>0</v>
      </c>
      <c r="G94" s="8">
        <v>0</v>
      </c>
      <c r="H94" s="8">
        <v>0</v>
      </c>
      <c r="I94" s="8">
        <v>0</v>
      </c>
      <c r="J94" s="8">
        <v>0</v>
      </c>
      <c r="K94" s="8">
        <v>0</v>
      </c>
      <c r="L94" s="8">
        <v>0</v>
      </c>
      <c r="M94" s="8">
        <v>739651</v>
      </c>
      <c r="N94" s="8">
        <f t="shared" si="26"/>
        <v>739651</v>
      </c>
    </row>
    <row r="95" spans="1:17" ht="16.2" customHeight="1" x14ac:dyDescent="0.3">
      <c r="B95" s="5" t="s">
        <v>24</v>
      </c>
      <c r="C95" s="6"/>
      <c r="D95" s="6"/>
      <c r="E95" s="7">
        <f t="shared" ref="E95:N95" si="28">SUBTOTAL(9,E73:E94)</f>
        <v>5267592.5999999996</v>
      </c>
      <c r="F95" s="7">
        <f t="shared" si="28"/>
        <v>5132087.43</v>
      </c>
      <c r="G95" s="7">
        <f t="shared" si="28"/>
        <v>4677070.16</v>
      </c>
      <c r="H95" s="7">
        <f t="shared" si="28"/>
        <v>5828776</v>
      </c>
      <c r="I95" s="7">
        <f t="shared" si="28"/>
        <v>6491592.7000000011</v>
      </c>
      <c r="J95" s="7">
        <f t="shared" si="28"/>
        <v>7031593</v>
      </c>
      <c r="K95" s="7">
        <f t="shared" si="28"/>
        <v>7031593</v>
      </c>
      <c r="L95" s="7">
        <f t="shared" si="28"/>
        <v>7031593</v>
      </c>
      <c r="M95" s="7">
        <f t="shared" si="28"/>
        <v>7211592</v>
      </c>
      <c r="N95" s="7">
        <f t="shared" si="28"/>
        <v>55703489.889999993</v>
      </c>
      <c r="Q95" s="30"/>
    </row>
    <row r="96" spans="1:17" ht="15.6" customHeight="1" x14ac:dyDescent="0.3">
      <c r="B96" s="2" t="s">
        <v>25</v>
      </c>
      <c r="C96" s="3"/>
      <c r="D96" s="3" t="s">
        <v>149</v>
      </c>
      <c r="E96" s="3">
        <v>933970</v>
      </c>
      <c r="F96" s="3">
        <v>782044</v>
      </c>
      <c r="G96" s="3">
        <v>731012</v>
      </c>
      <c r="H96" s="3">
        <v>933970</v>
      </c>
      <c r="I96" s="3">
        <v>0</v>
      </c>
      <c r="J96" s="3">
        <v>0</v>
      </c>
      <c r="K96" s="3">
        <v>0</v>
      </c>
      <c r="L96" s="3">
        <v>0</v>
      </c>
      <c r="M96" s="3">
        <v>0</v>
      </c>
      <c r="N96" s="3">
        <f t="shared" ref="N96:N115" si="29">SUM(E96:M96)</f>
        <v>3380996</v>
      </c>
    </row>
    <row r="97" spans="1:16" ht="15.6" customHeight="1" x14ac:dyDescent="0.3">
      <c r="B97" s="2" t="s">
        <v>25</v>
      </c>
      <c r="C97" s="3"/>
      <c r="D97" s="3" t="s">
        <v>150</v>
      </c>
      <c r="E97" s="3">
        <v>996235.3</v>
      </c>
      <c r="F97" s="3">
        <v>9564</v>
      </c>
      <c r="G97" s="3">
        <v>0</v>
      </c>
      <c r="H97" s="3">
        <v>596235</v>
      </c>
      <c r="I97" s="3">
        <v>0</v>
      </c>
      <c r="J97" s="3">
        <v>0</v>
      </c>
      <c r="K97" s="3">
        <v>0</v>
      </c>
      <c r="L97" s="3">
        <v>0</v>
      </c>
      <c r="M97" s="3">
        <v>0</v>
      </c>
      <c r="N97" s="3">
        <f t="shared" si="29"/>
        <v>1602034.3</v>
      </c>
    </row>
    <row r="98" spans="1:16" ht="15.6" customHeight="1" x14ac:dyDescent="0.3">
      <c r="B98" s="2" t="s">
        <v>25</v>
      </c>
      <c r="C98" s="3"/>
      <c r="D98" s="3" t="s">
        <v>151</v>
      </c>
      <c r="E98" s="3">
        <v>1400955</v>
      </c>
      <c r="F98" s="3">
        <v>1077369</v>
      </c>
      <c r="G98" s="3">
        <v>1047159.8700000001</v>
      </c>
      <c r="H98" s="3">
        <v>1300955</v>
      </c>
      <c r="I98" s="3">
        <v>0</v>
      </c>
      <c r="J98" s="3">
        <v>0</v>
      </c>
      <c r="K98" s="3">
        <v>0</v>
      </c>
      <c r="L98" s="3">
        <v>0</v>
      </c>
      <c r="M98" s="3">
        <v>0</v>
      </c>
      <c r="N98" s="3">
        <f t="shared" si="29"/>
        <v>4826438.87</v>
      </c>
    </row>
    <row r="99" spans="1:16" ht="15.6" customHeight="1" x14ac:dyDescent="0.3">
      <c r="B99" s="2" t="s">
        <v>25</v>
      </c>
      <c r="C99" s="3"/>
      <c r="D99" s="3" t="s">
        <v>60</v>
      </c>
      <c r="E99" s="3">
        <v>404720.4</v>
      </c>
      <c r="F99" s="3">
        <f>2576925-2394411</f>
        <v>182514</v>
      </c>
      <c r="G99" s="3">
        <v>165498</v>
      </c>
      <c r="H99" s="3">
        <v>386267</v>
      </c>
      <c r="I99" s="3">
        <v>0</v>
      </c>
      <c r="J99" s="3">
        <v>938823</v>
      </c>
      <c r="K99" s="3">
        <v>0</v>
      </c>
      <c r="L99" s="3">
        <v>0</v>
      </c>
      <c r="M99" s="3">
        <v>463150</v>
      </c>
      <c r="N99" s="3">
        <f t="shared" si="29"/>
        <v>2540972.4</v>
      </c>
    </row>
    <row r="100" spans="1:16" ht="15.6" customHeight="1" x14ac:dyDescent="0.3">
      <c r="B100" s="2" t="s">
        <v>25</v>
      </c>
      <c r="C100" s="3"/>
      <c r="D100" s="3" t="s">
        <v>178</v>
      </c>
      <c r="E100" s="3">
        <v>0</v>
      </c>
      <c r="F100" s="3">
        <v>525433.78</v>
      </c>
      <c r="G100" s="3">
        <v>510431.37999999995</v>
      </c>
      <c r="H100" s="3">
        <v>600000</v>
      </c>
      <c r="I100" s="3">
        <v>0</v>
      </c>
      <c r="J100" s="3">
        <v>0</v>
      </c>
      <c r="K100" s="3">
        <v>0</v>
      </c>
      <c r="L100" s="3">
        <v>0</v>
      </c>
      <c r="M100" s="3">
        <v>0</v>
      </c>
      <c r="N100" s="3">
        <v>0</v>
      </c>
    </row>
    <row r="101" spans="1:16" s="11" customFormat="1" ht="15.6" customHeight="1" x14ac:dyDescent="0.3">
      <c r="A101" s="1"/>
      <c r="B101" s="2" t="s">
        <v>25</v>
      </c>
      <c r="C101" s="3"/>
      <c r="D101" s="3" t="s">
        <v>152</v>
      </c>
      <c r="E101" s="3">
        <v>0</v>
      </c>
      <c r="F101" s="3">
        <v>0</v>
      </c>
      <c r="G101" s="3">
        <v>0</v>
      </c>
      <c r="H101" s="3">
        <v>0</v>
      </c>
      <c r="I101" s="20">
        <v>778308.5</v>
      </c>
      <c r="J101" s="3">
        <v>0</v>
      </c>
      <c r="K101" s="3">
        <v>0</v>
      </c>
      <c r="L101" s="3">
        <v>0</v>
      </c>
      <c r="M101" s="3">
        <v>0</v>
      </c>
      <c r="N101" s="3">
        <f t="shared" si="29"/>
        <v>778308.5</v>
      </c>
      <c r="O101" s="1"/>
    </row>
    <row r="102" spans="1:16" s="11" customFormat="1" ht="15.6" customHeight="1" x14ac:dyDescent="0.3">
      <c r="A102" s="1"/>
      <c r="B102" s="2" t="s">
        <v>25</v>
      </c>
      <c r="C102" s="3"/>
      <c r="D102" s="3" t="s">
        <v>153</v>
      </c>
      <c r="E102" s="3">
        <v>0</v>
      </c>
      <c r="F102" s="3">
        <v>0</v>
      </c>
      <c r="G102" s="3">
        <v>0</v>
      </c>
      <c r="H102" s="3">
        <v>0</v>
      </c>
      <c r="I102" s="20">
        <v>1245293.5</v>
      </c>
      <c r="J102" s="3">
        <v>0</v>
      </c>
      <c r="K102" s="3">
        <v>0</v>
      </c>
      <c r="L102" s="3">
        <v>0</v>
      </c>
      <c r="M102" s="3">
        <v>0</v>
      </c>
      <c r="N102" s="3">
        <f t="shared" si="29"/>
        <v>1245293.5</v>
      </c>
      <c r="O102" s="1"/>
      <c r="P102" s="4"/>
    </row>
    <row r="103" spans="1:16" s="24" customFormat="1" ht="15.6" customHeight="1" x14ac:dyDescent="0.3">
      <c r="A103" s="21"/>
      <c r="B103" s="23" t="s">
        <v>25</v>
      </c>
      <c r="C103" s="20"/>
      <c r="D103" s="20" t="s">
        <v>154</v>
      </c>
      <c r="E103" s="3">
        <v>0</v>
      </c>
      <c r="F103" s="3">
        <v>0</v>
      </c>
      <c r="G103" s="3">
        <v>0</v>
      </c>
      <c r="H103" s="3">
        <v>0</v>
      </c>
      <c r="I103" s="20">
        <v>541042</v>
      </c>
      <c r="J103" s="3">
        <v>0</v>
      </c>
      <c r="K103" s="3">
        <v>0</v>
      </c>
      <c r="L103" s="3">
        <v>0</v>
      </c>
      <c r="M103" s="3">
        <v>0</v>
      </c>
      <c r="N103" s="20">
        <f t="shared" ref="N103" si="30">SUM(E103:M103)</f>
        <v>541042</v>
      </c>
      <c r="O103" s="21"/>
    </row>
    <row r="104" spans="1:16" s="24" customFormat="1" ht="15.6" customHeight="1" x14ac:dyDescent="0.3">
      <c r="A104" s="21"/>
      <c r="B104" s="23" t="s">
        <v>25</v>
      </c>
      <c r="C104" s="20"/>
      <c r="D104" s="20" t="s">
        <v>155</v>
      </c>
      <c r="E104" s="3">
        <v>0</v>
      </c>
      <c r="F104" s="3">
        <v>0</v>
      </c>
      <c r="G104" s="3">
        <v>0</v>
      </c>
      <c r="H104" s="3">
        <v>0</v>
      </c>
      <c r="I104" s="20">
        <v>1171237</v>
      </c>
      <c r="J104" s="3">
        <v>0</v>
      </c>
      <c r="K104" s="3">
        <v>0</v>
      </c>
      <c r="L104" s="3">
        <v>0</v>
      </c>
      <c r="M104" s="3">
        <v>0</v>
      </c>
      <c r="N104" s="20">
        <f t="shared" si="29"/>
        <v>1171237</v>
      </c>
      <c r="O104" s="21"/>
    </row>
    <row r="105" spans="1:16" s="11" customFormat="1" ht="15.6" customHeight="1" x14ac:dyDescent="0.3">
      <c r="A105" s="1"/>
      <c r="B105" s="2" t="s">
        <v>25</v>
      </c>
      <c r="C105" s="3"/>
      <c r="D105" s="3" t="s">
        <v>156</v>
      </c>
      <c r="E105" s="3">
        <v>0</v>
      </c>
      <c r="F105" s="3">
        <v>0</v>
      </c>
      <c r="G105" s="3">
        <v>0</v>
      </c>
      <c r="H105" s="3">
        <v>0</v>
      </c>
      <c r="I105" s="3">
        <v>0</v>
      </c>
      <c r="J105" s="3">
        <v>1251764</v>
      </c>
      <c r="K105" s="3">
        <v>0</v>
      </c>
      <c r="L105" s="3">
        <v>0</v>
      </c>
      <c r="M105" s="3">
        <v>0</v>
      </c>
      <c r="N105" s="3">
        <f t="shared" si="29"/>
        <v>1251764</v>
      </c>
      <c r="O105" s="1"/>
    </row>
    <row r="106" spans="1:16" s="11" customFormat="1" ht="15.6" customHeight="1" x14ac:dyDescent="0.3">
      <c r="A106" s="1"/>
      <c r="B106" s="2" t="s">
        <v>25</v>
      </c>
      <c r="C106" s="3"/>
      <c r="D106" s="3" t="s">
        <v>157</v>
      </c>
      <c r="E106" s="3">
        <v>0</v>
      </c>
      <c r="F106" s="3">
        <v>0</v>
      </c>
      <c r="G106" s="3">
        <v>0</v>
      </c>
      <c r="H106" s="3">
        <v>0</v>
      </c>
      <c r="I106" s="3">
        <v>0</v>
      </c>
      <c r="J106" s="3">
        <v>1095294</v>
      </c>
      <c r="K106" s="3">
        <v>0</v>
      </c>
      <c r="L106" s="3">
        <v>0</v>
      </c>
      <c r="M106" s="3">
        <v>0</v>
      </c>
      <c r="N106" s="3">
        <f t="shared" si="29"/>
        <v>1095294</v>
      </c>
      <c r="O106" s="1"/>
    </row>
    <row r="107" spans="1:16" s="11" customFormat="1" ht="15.6" customHeight="1" x14ac:dyDescent="0.3">
      <c r="A107" s="1"/>
      <c r="B107" s="2" t="s">
        <v>25</v>
      </c>
      <c r="C107" s="3"/>
      <c r="D107" s="3" t="s">
        <v>158</v>
      </c>
      <c r="E107" s="3">
        <v>0</v>
      </c>
      <c r="F107" s="3">
        <v>0</v>
      </c>
      <c r="G107" s="3">
        <v>0</v>
      </c>
      <c r="H107" s="3">
        <v>0</v>
      </c>
      <c r="I107" s="3">
        <v>0</v>
      </c>
      <c r="J107" s="3">
        <v>0</v>
      </c>
      <c r="K107" s="3">
        <v>1561764</v>
      </c>
      <c r="L107" s="3">
        <v>0</v>
      </c>
      <c r="M107" s="3">
        <v>0</v>
      </c>
      <c r="N107" s="3">
        <f t="shared" si="29"/>
        <v>1561764</v>
      </c>
      <c r="O107" s="1"/>
    </row>
    <row r="108" spans="1:16" s="11" customFormat="1" ht="15.6" customHeight="1" x14ac:dyDescent="0.3">
      <c r="A108" s="1"/>
      <c r="B108" s="2" t="s">
        <v>25</v>
      </c>
      <c r="C108" s="3"/>
      <c r="D108" s="3" t="s">
        <v>159</v>
      </c>
      <c r="E108" s="3">
        <v>0</v>
      </c>
      <c r="F108" s="3">
        <v>0</v>
      </c>
      <c r="G108" s="3">
        <v>0</v>
      </c>
      <c r="H108" s="3">
        <v>0</v>
      </c>
      <c r="I108" s="3">
        <v>0</v>
      </c>
      <c r="J108" s="3">
        <v>0</v>
      </c>
      <c r="K108" s="3">
        <v>780882</v>
      </c>
      <c r="L108" s="3">
        <v>0</v>
      </c>
      <c r="M108" s="3">
        <v>0</v>
      </c>
      <c r="N108" s="3">
        <f t="shared" si="29"/>
        <v>780882</v>
      </c>
      <c r="O108" s="1"/>
    </row>
    <row r="109" spans="1:16" s="11" customFormat="1" ht="15.6" customHeight="1" x14ac:dyDescent="0.3">
      <c r="A109" s="1"/>
      <c r="B109" s="2" t="s">
        <v>25</v>
      </c>
      <c r="C109" s="3"/>
      <c r="D109" s="3" t="s">
        <v>160</v>
      </c>
      <c r="E109" s="3">
        <v>0</v>
      </c>
      <c r="F109" s="3">
        <v>0</v>
      </c>
      <c r="G109" s="3">
        <v>0</v>
      </c>
      <c r="H109" s="3">
        <v>0</v>
      </c>
      <c r="I109" s="3">
        <v>0</v>
      </c>
      <c r="J109" s="3">
        <v>0</v>
      </c>
      <c r="K109" s="3">
        <v>1093235</v>
      </c>
      <c r="L109" s="3">
        <v>0</v>
      </c>
      <c r="M109" s="3">
        <v>0</v>
      </c>
      <c r="N109" s="3">
        <f t="shared" si="29"/>
        <v>1093235</v>
      </c>
      <c r="O109" s="1"/>
    </row>
    <row r="110" spans="1:16" s="11" customFormat="1" ht="15.6" customHeight="1" x14ac:dyDescent="0.3">
      <c r="A110" s="1"/>
      <c r="B110" s="2" t="s">
        <v>25</v>
      </c>
      <c r="C110" s="3"/>
      <c r="D110" s="3" t="s">
        <v>161</v>
      </c>
      <c r="E110" s="3">
        <v>0</v>
      </c>
      <c r="F110" s="3">
        <v>0</v>
      </c>
      <c r="G110" s="3">
        <v>0</v>
      </c>
      <c r="H110" s="3">
        <v>0</v>
      </c>
      <c r="I110" s="3">
        <v>0</v>
      </c>
      <c r="J110" s="3">
        <v>0</v>
      </c>
      <c r="K110" s="3">
        <v>0</v>
      </c>
      <c r="L110" s="3">
        <v>1085228.3</v>
      </c>
      <c r="M110" s="3">
        <v>0</v>
      </c>
      <c r="N110" s="3">
        <f t="shared" si="29"/>
        <v>1085228.3</v>
      </c>
      <c r="O110" s="1"/>
    </row>
    <row r="111" spans="1:16" s="11" customFormat="1" ht="15.6" customHeight="1" x14ac:dyDescent="0.3">
      <c r="A111" s="1"/>
      <c r="B111" s="2" t="s">
        <v>25</v>
      </c>
      <c r="C111" s="3"/>
      <c r="D111" s="3" t="s">
        <v>162</v>
      </c>
      <c r="E111" s="3">
        <v>0</v>
      </c>
      <c r="F111" s="3">
        <v>0</v>
      </c>
      <c r="G111" s="3">
        <v>0</v>
      </c>
      <c r="H111" s="3">
        <v>0</v>
      </c>
      <c r="I111" s="3">
        <v>0</v>
      </c>
      <c r="J111" s="3">
        <v>0</v>
      </c>
      <c r="K111" s="3">
        <v>0</v>
      </c>
      <c r="L111" s="3">
        <v>1085228.2</v>
      </c>
      <c r="M111" s="3">
        <v>0</v>
      </c>
      <c r="N111" s="3">
        <f t="shared" si="29"/>
        <v>1085228.2</v>
      </c>
      <c r="O111" s="1"/>
    </row>
    <row r="112" spans="1:16" s="11" customFormat="1" ht="15.6" customHeight="1" x14ac:dyDescent="0.3">
      <c r="A112" s="1"/>
      <c r="B112" s="2" t="s">
        <v>25</v>
      </c>
      <c r="C112" s="3"/>
      <c r="D112" s="3" t="s">
        <v>163</v>
      </c>
      <c r="E112" s="3">
        <v>0</v>
      </c>
      <c r="F112" s="3">
        <v>0</v>
      </c>
      <c r="G112" s="3">
        <v>0</v>
      </c>
      <c r="H112" s="3">
        <v>0</v>
      </c>
      <c r="I112" s="3">
        <v>0</v>
      </c>
      <c r="J112" s="3">
        <v>0</v>
      </c>
      <c r="K112" s="3">
        <v>0</v>
      </c>
      <c r="L112" s="3">
        <v>2015424</v>
      </c>
      <c r="M112" s="3">
        <v>0</v>
      </c>
      <c r="N112" s="3">
        <f t="shared" si="29"/>
        <v>2015424</v>
      </c>
      <c r="O112" s="1"/>
    </row>
    <row r="113" spans="1:17" s="11" customFormat="1" ht="15.6" customHeight="1" x14ac:dyDescent="0.3">
      <c r="A113" s="1"/>
      <c r="B113" s="2" t="s">
        <v>25</v>
      </c>
      <c r="C113" s="3"/>
      <c r="D113" s="3" t="s">
        <v>164</v>
      </c>
      <c r="E113" s="3">
        <v>0</v>
      </c>
      <c r="F113" s="3">
        <v>0</v>
      </c>
      <c r="G113" s="3">
        <v>0</v>
      </c>
      <c r="H113" s="3">
        <v>0</v>
      </c>
      <c r="I113" s="3">
        <v>0</v>
      </c>
      <c r="J113" s="3">
        <v>0</v>
      </c>
      <c r="K113" s="3">
        <v>0</v>
      </c>
      <c r="L113" s="3">
        <v>0</v>
      </c>
      <c r="M113" s="3">
        <v>617532.5</v>
      </c>
      <c r="N113" s="3">
        <f t="shared" si="29"/>
        <v>617532.5</v>
      </c>
      <c r="O113" s="1"/>
    </row>
    <row r="114" spans="1:17" ht="15.6" customHeight="1" x14ac:dyDescent="0.3">
      <c r="B114" s="2" t="s">
        <v>25</v>
      </c>
      <c r="C114" s="3"/>
      <c r="D114" s="3" t="s">
        <v>165</v>
      </c>
      <c r="E114" s="3">
        <v>0</v>
      </c>
      <c r="F114" s="3">
        <v>0</v>
      </c>
      <c r="G114" s="3">
        <v>0</v>
      </c>
      <c r="H114" s="3">
        <v>0</v>
      </c>
      <c r="I114" s="3">
        <v>0</v>
      </c>
      <c r="J114" s="3">
        <v>0</v>
      </c>
      <c r="K114" s="3">
        <v>0</v>
      </c>
      <c r="L114" s="3">
        <v>0</v>
      </c>
      <c r="M114" s="3">
        <v>1543832.6</v>
      </c>
      <c r="N114" s="3">
        <f t="shared" si="29"/>
        <v>1543832.6</v>
      </c>
    </row>
    <row r="115" spans="1:17" ht="15.6" customHeight="1" x14ac:dyDescent="0.3">
      <c r="B115" s="2" t="s">
        <v>25</v>
      </c>
      <c r="C115" s="3"/>
      <c r="D115" s="3" t="s">
        <v>166</v>
      </c>
      <c r="E115" s="3">
        <v>0</v>
      </c>
      <c r="F115" s="3">
        <v>0</v>
      </c>
      <c r="G115" s="3">
        <v>0</v>
      </c>
      <c r="H115" s="3">
        <v>0</v>
      </c>
      <c r="I115" s="3">
        <v>0</v>
      </c>
      <c r="J115" s="3">
        <v>0</v>
      </c>
      <c r="K115" s="3">
        <v>0</v>
      </c>
      <c r="L115" s="3">
        <v>0</v>
      </c>
      <c r="M115" s="3">
        <v>2161366</v>
      </c>
      <c r="N115" s="3">
        <f t="shared" si="29"/>
        <v>2161366</v>
      </c>
    </row>
    <row r="116" spans="1:17" ht="16.2" customHeight="1" x14ac:dyDescent="0.3">
      <c r="B116" s="5" t="s">
        <v>25</v>
      </c>
      <c r="C116" s="6"/>
      <c r="D116" s="6"/>
      <c r="E116" s="7">
        <f t="shared" ref="E116:N116" si="31">SUBTOTAL(9,E96:E115)</f>
        <v>3735880.6999999997</v>
      </c>
      <c r="F116" s="7">
        <f t="shared" si="31"/>
        <v>2576924.7800000003</v>
      </c>
      <c r="G116" s="7">
        <f t="shared" si="31"/>
        <v>2454101.25</v>
      </c>
      <c r="H116" s="7">
        <f t="shared" si="31"/>
        <v>3817427</v>
      </c>
      <c r="I116" s="7">
        <f t="shared" si="31"/>
        <v>3735881</v>
      </c>
      <c r="J116" s="7">
        <f t="shared" si="31"/>
        <v>3285881</v>
      </c>
      <c r="K116" s="7">
        <f t="shared" si="31"/>
        <v>3435881</v>
      </c>
      <c r="L116" s="7">
        <f t="shared" si="31"/>
        <v>4185880.5</v>
      </c>
      <c r="M116" s="7">
        <f t="shared" si="31"/>
        <v>4785881.0999999996</v>
      </c>
      <c r="N116" s="7">
        <f t="shared" si="31"/>
        <v>30377873.170000002</v>
      </c>
    </row>
    <row r="117" spans="1:17" ht="15.6" customHeight="1" x14ac:dyDescent="0.3">
      <c r="B117" s="2" t="s">
        <v>26</v>
      </c>
      <c r="C117" s="3"/>
      <c r="D117" s="3" t="s">
        <v>167</v>
      </c>
      <c r="E117" s="3">
        <v>716044</v>
      </c>
      <c r="F117" s="3">
        <v>688703</v>
      </c>
      <c r="G117" s="3">
        <v>688579</v>
      </c>
      <c r="H117" s="3">
        <v>1216044</v>
      </c>
      <c r="I117" s="3">
        <v>716044</v>
      </c>
      <c r="J117" s="3">
        <v>716044</v>
      </c>
      <c r="K117" s="3">
        <v>716044</v>
      </c>
      <c r="L117" s="3">
        <v>727407</v>
      </c>
      <c r="M117" s="3">
        <v>890047.3</v>
      </c>
      <c r="N117" s="3">
        <f>SUM(E117:M117)</f>
        <v>7074956.2999999998</v>
      </c>
    </row>
    <row r="118" spans="1:17" s="21" customFormat="1" ht="15.6" customHeight="1" x14ac:dyDescent="0.3">
      <c r="A118" s="18"/>
      <c r="B118" s="19" t="s">
        <v>26</v>
      </c>
      <c r="C118" s="20"/>
      <c r="D118" s="20" t="s">
        <v>27</v>
      </c>
      <c r="E118" s="20">
        <v>4784003.5</v>
      </c>
      <c r="F118" s="20">
        <v>4825510</v>
      </c>
      <c r="G118" s="20">
        <v>4089924</v>
      </c>
      <c r="H118" s="20">
        <v>6784004</v>
      </c>
      <c r="I118" s="20">
        <v>4784003.5</v>
      </c>
      <c r="J118" s="20">
        <v>4784003.5</v>
      </c>
      <c r="K118" s="20">
        <v>4784003.5</v>
      </c>
      <c r="L118" s="20">
        <v>3162640.3</v>
      </c>
      <c r="M118" s="20">
        <v>0</v>
      </c>
      <c r="N118" s="20">
        <f>SUM(E118:M118)</f>
        <v>37998092.299999997</v>
      </c>
    </row>
    <row r="119" spans="1:17" ht="16.2" customHeight="1" x14ac:dyDescent="0.3">
      <c r="B119" s="5" t="s">
        <v>26</v>
      </c>
      <c r="C119" s="6"/>
      <c r="D119" s="6"/>
      <c r="E119" s="7">
        <f t="shared" ref="E119:N119" si="32">SUBTOTAL(9,E117:E118)</f>
        <v>5500047.5</v>
      </c>
      <c r="F119" s="7">
        <f t="shared" si="32"/>
        <v>5514213</v>
      </c>
      <c r="G119" s="7">
        <f t="shared" si="32"/>
        <v>4778503</v>
      </c>
      <c r="H119" s="7">
        <f t="shared" si="32"/>
        <v>8000048</v>
      </c>
      <c r="I119" s="7">
        <f t="shared" si="32"/>
        <v>5500047.5</v>
      </c>
      <c r="J119" s="7">
        <f t="shared" si="32"/>
        <v>5500047.5</v>
      </c>
      <c r="K119" s="7">
        <f t="shared" si="32"/>
        <v>5500047.5</v>
      </c>
      <c r="L119" s="7">
        <f t="shared" si="32"/>
        <v>3890047.3</v>
      </c>
      <c r="M119" s="7">
        <f t="shared" si="32"/>
        <v>890047.3</v>
      </c>
      <c r="N119" s="7">
        <f t="shared" si="32"/>
        <v>45073048.599999994</v>
      </c>
    </row>
    <row r="120" spans="1:17" ht="15.6" customHeight="1" x14ac:dyDescent="0.3">
      <c r="B120" s="2" t="s">
        <v>28</v>
      </c>
      <c r="C120" s="3"/>
      <c r="D120" s="3" t="s">
        <v>168</v>
      </c>
      <c r="E120" s="3">
        <v>415098</v>
      </c>
      <c r="F120" s="3">
        <v>221354</v>
      </c>
      <c r="G120" s="3">
        <v>185868</v>
      </c>
      <c r="H120" s="3">
        <v>415098</v>
      </c>
      <c r="I120" s="3">
        <v>415098</v>
      </c>
      <c r="J120" s="3">
        <v>415098</v>
      </c>
      <c r="K120" s="3">
        <v>431229</v>
      </c>
      <c r="L120" s="3">
        <v>442382</v>
      </c>
      <c r="M120" s="3">
        <v>548337</v>
      </c>
      <c r="N120" s="3">
        <f>SUM(E120:M120)</f>
        <v>3489562</v>
      </c>
    </row>
    <row r="121" spans="1:17" s="21" customFormat="1" ht="15.6" customHeight="1" x14ac:dyDescent="0.3">
      <c r="A121" s="18"/>
      <c r="B121" s="19" t="s">
        <v>28</v>
      </c>
      <c r="C121" s="20"/>
      <c r="D121" s="20" t="s">
        <v>29</v>
      </c>
      <c r="E121" s="20">
        <v>3663239</v>
      </c>
      <c r="F121" s="20">
        <v>669950</v>
      </c>
      <c r="G121" s="20">
        <v>650071</v>
      </c>
      <c r="H121" s="20">
        <v>1663239</v>
      </c>
      <c r="I121" s="20">
        <v>3663239</v>
      </c>
      <c r="J121" s="20">
        <v>3663239</v>
      </c>
      <c r="K121" s="20">
        <v>1617108</v>
      </c>
      <c r="L121" s="20">
        <v>1105955</v>
      </c>
      <c r="M121" s="20">
        <v>0</v>
      </c>
      <c r="N121" s="20">
        <f>SUM(E121:M121)</f>
        <v>16696040</v>
      </c>
    </row>
    <row r="122" spans="1:17" ht="16.2" customHeight="1" x14ac:dyDescent="0.3">
      <c r="B122" s="5" t="s">
        <v>28</v>
      </c>
      <c r="C122" s="6"/>
      <c r="D122" s="6"/>
      <c r="E122" s="7">
        <f t="shared" ref="E122:N122" si="33">SUBTOTAL(9,E120:E121)</f>
        <v>4078337</v>
      </c>
      <c r="F122" s="7">
        <f t="shared" si="33"/>
        <v>891304</v>
      </c>
      <c r="G122" s="7">
        <f t="shared" si="33"/>
        <v>835939</v>
      </c>
      <c r="H122" s="7">
        <f t="shared" si="33"/>
        <v>2078337</v>
      </c>
      <c r="I122" s="7">
        <f t="shared" si="33"/>
        <v>4078337</v>
      </c>
      <c r="J122" s="7">
        <f t="shared" si="33"/>
        <v>4078337</v>
      </c>
      <c r="K122" s="7">
        <f t="shared" si="33"/>
        <v>2048337</v>
      </c>
      <c r="L122" s="7">
        <f t="shared" si="33"/>
        <v>1548337</v>
      </c>
      <c r="M122" s="7">
        <f t="shared" si="33"/>
        <v>548337</v>
      </c>
      <c r="N122" s="7">
        <f t="shared" si="33"/>
        <v>20185602</v>
      </c>
    </row>
    <row r="123" spans="1:17" ht="15.6" customHeight="1" x14ac:dyDescent="0.3">
      <c r="B123" s="2" t="s">
        <v>30</v>
      </c>
      <c r="C123" s="3"/>
      <c r="D123" s="3" t="s">
        <v>169</v>
      </c>
      <c r="E123" s="3">
        <v>1686335.4</v>
      </c>
      <c r="F123" s="3"/>
      <c r="G123" s="20">
        <f>1024076+500000</f>
        <v>1524076</v>
      </c>
      <c r="H123" s="3">
        <v>1686335.4</v>
      </c>
      <c r="I123" s="3">
        <v>1686335.4</v>
      </c>
      <c r="J123" s="3">
        <v>1686335.4</v>
      </c>
      <c r="K123" s="3">
        <v>1686335.4</v>
      </c>
      <c r="L123" s="3">
        <v>1686335.4</v>
      </c>
      <c r="M123" s="3">
        <v>1686335.4</v>
      </c>
      <c r="N123" s="3">
        <f>SUM(E123:M123)</f>
        <v>13328423.800000001</v>
      </c>
    </row>
    <row r="124" spans="1:17" ht="15.6" customHeight="1" x14ac:dyDescent="0.3">
      <c r="B124" s="2" t="s">
        <v>30</v>
      </c>
      <c r="C124" s="3"/>
      <c r="D124" s="3" t="s">
        <v>170</v>
      </c>
      <c r="E124" s="3">
        <v>498117.5</v>
      </c>
      <c r="F124" s="3"/>
      <c r="G124" s="20">
        <v>335349</v>
      </c>
      <c r="H124" s="3">
        <v>498117.5</v>
      </c>
      <c r="I124" s="3">
        <v>498117.5</v>
      </c>
      <c r="J124" s="3">
        <v>498117.5</v>
      </c>
      <c r="K124" s="3">
        <v>498117.5</v>
      </c>
      <c r="L124" s="3">
        <v>498117.5</v>
      </c>
      <c r="M124" s="3">
        <v>498117.5</v>
      </c>
      <c r="N124" s="3">
        <f>SUM(E124:M124)</f>
        <v>3822171.5</v>
      </c>
    </row>
    <row r="125" spans="1:17" ht="15.6" customHeight="1" x14ac:dyDescent="0.3">
      <c r="B125" s="2" t="s">
        <v>30</v>
      </c>
      <c r="C125" s="3"/>
      <c r="D125" s="3" t="s">
        <v>171</v>
      </c>
      <c r="E125" s="3">
        <v>2485398.7999999998</v>
      </c>
      <c r="F125" s="3"/>
      <c r="G125" s="20">
        <f>1580469+850000</f>
        <v>2430469</v>
      </c>
      <c r="H125" s="3">
        <v>2485398.7999999998</v>
      </c>
      <c r="I125" s="3">
        <v>2485398.7999999998</v>
      </c>
      <c r="J125" s="3">
        <v>2485398.7999999998</v>
      </c>
      <c r="K125" s="3">
        <v>2485398.7999999998</v>
      </c>
      <c r="L125" s="3">
        <v>2485398.7999999998</v>
      </c>
      <c r="M125" s="3">
        <v>2485398.7999999998</v>
      </c>
      <c r="N125" s="3">
        <f>SUM(E125:M125)</f>
        <v>19828260.600000001</v>
      </c>
    </row>
    <row r="126" spans="1:17" ht="16.2" customHeight="1" x14ac:dyDescent="0.3">
      <c r="B126" s="5" t="s">
        <v>30</v>
      </c>
      <c r="C126" s="6"/>
      <c r="D126" s="6"/>
      <c r="E126" s="7">
        <f t="shared" ref="E126:N126" si="34">SUBTOTAL(9,E123:E125)</f>
        <v>4669851.6999999993</v>
      </c>
      <c r="F126" s="7">
        <v>4525063.9200000009</v>
      </c>
      <c r="G126" s="7">
        <v>4289894.29</v>
      </c>
      <c r="H126" s="7">
        <f t="shared" si="34"/>
        <v>4669851.6999999993</v>
      </c>
      <c r="I126" s="7">
        <f t="shared" si="34"/>
        <v>4669851.6999999993</v>
      </c>
      <c r="J126" s="7">
        <f t="shared" si="34"/>
        <v>4669851.6999999993</v>
      </c>
      <c r="K126" s="7">
        <f t="shared" si="34"/>
        <v>4669851.6999999993</v>
      </c>
      <c r="L126" s="7">
        <f t="shared" si="34"/>
        <v>4669851.6999999993</v>
      </c>
      <c r="M126" s="7">
        <f t="shared" si="34"/>
        <v>4669851.6999999993</v>
      </c>
      <c r="N126" s="7">
        <f t="shared" si="34"/>
        <v>36978855.900000006</v>
      </c>
      <c r="Q126" s="29"/>
    </row>
    <row r="127" spans="1:17" ht="15.6" customHeight="1" x14ac:dyDescent="0.3">
      <c r="B127" s="2" t="s">
        <v>31</v>
      </c>
      <c r="C127" s="3"/>
      <c r="D127" s="3" t="s">
        <v>172</v>
      </c>
      <c r="E127" s="3">
        <v>332078.3</v>
      </c>
      <c r="F127" s="3">
        <v>291885.90999999997</v>
      </c>
      <c r="G127" s="3">
        <v>199092.36000000002</v>
      </c>
      <c r="H127" s="3">
        <v>332079.3</v>
      </c>
      <c r="I127" s="3">
        <v>332078.3</v>
      </c>
      <c r="J127" s="3">
        <v>332078.3</v>
      </c>
      <c r="K127" s="3">
        <v>332078.3</v>
      </c>
      <c r="L127" s="3">
        <v>332078.3</v>
      </c>
      <c r="M127" s="3">
        <v>332078.3</v>
      </c>
      <c r="N127" s="3">
        <f>SUM(E127:M127)</f>
        <v>2815527.3699999996</v>
      </c>
    </row>
    <row r="128" spans="1:17" ht="16.2" customHeight="1" x14ac:dyDescent="0.3">
      <c r="B128" s="5" t="s">
        <v>31</v>
      </c>
      <c r="C128" s="6"/>
      <c r="D128" s="6"/>
      <c r="E128" s="7">
        <f t="shared" ref="E128:N130" si="35">SUBTOTAL(9,E127:E127)</f>
        <v>332078.3</v>
      </c>
      <c r="F128" s="7">
        <f t="shared" si="35"/>
        <v>291885.90999999997</v>
      </c>
      <c r="G128" s="7">
        <f t="shared" si="35"/>
        <v>199092.36000000002</v>
      </c>
      <c r="H128" s="7">
        <f t="shared" ref="H128" si="36">SUBTOTAL(9,H127:H127)</f>
        <v>332079.3</v>
      </c>
      <c r="I128" s="7">
        <f t="shared" si="35"/>
        <v>332078.3</v>
      </c>
      <c r="J128" s="7">
        <f t="shared" si="35"/>
        <v>332078.3</v>
      </c>
      <c r="K128" s="7">
        <f t="shared" si="35"/>
        <v>332078.3</v>
      </c>
      <c r="L128" s="7">
        <f t="shared" si="35"/>
        <v>332078.3</v>
      </c>
      <c r="M128" s="7">
        <f t="shared" si="35"/>
        <v>332078.3</v>
      </c>
      <c r="N128" s="7">
        <f t="shared" si="35"/>
        <v>2815527.3699999996</v>
      </c>
    </row>
    <row r="129" spans="2:14" ht="15.6" customHeight="1" x14ac:dyDescent="0.3">
      <c r="B129" s="2" t="s">
        <v>183</v>
      </c>
      <c r="C129" s="3"/>
      <c r="D129" s="3" t="s">
        <v>184</v>
      </c>
      <c r="E129" s="3">
        <v>0</v>
      </c>
      <c r="F129" s="3">
        <v>349321</v>
      </c>
      <c r="G129" s="3">
        <v>349321.38</v>
      </c>
      <c r="H129" s="3">
        <v>0</v>
      </c>
      <c r="I129" s="3">
        <v>0</v>
      </c>
      <c r="J129" s="3">
        <v>0</v>
      </c>
      <c r="K129" s="3">
        <v>0</v>
      </c>
      <c r="L129" s="3">
        <v>0</v>
      </c>
      <c r="M129" s="3">
        <v>0</v>
      </c>
      <c r="N129" s="3"/>
    </row>
    <row r="130" spans="2:14" ht="16.2" customHeight="1" x14ac:dyDescent="0.3">
      <c r="B130" s="5" t="s">
        <v>183</v>
      </c>
      <c r="C130" s="6"/>
      <c r="D130" s="6"/>
      <c r="E130" s="7">
        <f t="shared" si="35"/>
        <v>0</v>
      </c>
      <c r="F130" s="7">
        <f t="shared" si="35"/>
        <v>349321</v>
      </c>
      <c r="G130" s="7">
        <f t="shared" si="35"/>
        <v>349321.38</v>
      </c>
      <c r="H130" s="7">
        <f t="shared" si="35"/>
        <v>0</v>
      </c>
      <c r="I130" s="7">
        <f t="shared" si="35"/>
        <v>0</v>
      </c>
      <c r="J130" s="7">
        <f t="shared" si="35"/>
        <v>0</v>
      </c>
      <c r="K130" s="7">
        <f t="shared" si="35"/>
        <v>0</v>
      </c>
      <c r="L130" s="7">
        <f t="shared" si="35"/>
        <v>0</v>
      </c>
      <c r="M130" s="7">
        <f t="shared" si="35"/>
        <v>0</v>
      </c>
      <c r="N130" s="7"/>
    </row>
    <row r="131" spans="2:14" ht="16.2" x14ac:dyDescent="0.35">
      <c r="B131" s="9" t="s">
        <v>32</v>
      </c>
      <c r="C131" s="10"/>
      <c r="D131" s="10"/>
      <c r="E131" s="10">
        <f>SUM(E130,E128,E126,E122,E119,E116,E95,E72)</f>
        <v>37385793.799999997</v>
      </c>
      <c r="F131" s="10">
        <f>SUM(F130,F128,F126,F122,F119,F116,F95,F72)</f>
        <v>28831372.130000003</v>
      </c>
      <c r="G131" s="10">
        <f t="shared" ref="G131:M131" si="37">SUM(G130,G128,G126,G122,G119,G116,G95,G72)</f>
        <v>26753332.109999999</v>
      </c>
      <c r="H131" s="10">
        <f t="shared" si="37"/>
        <v>38575605</v>
      </c>
      <c r="I131" s="10">
        <f t="shared" si="37"/>
        <v>40909794.200000003</v>
      </c>
      <c r="J131" s="10">
        <f t="shared" si="37"/>
        <v>42149794.5</v>
      </c>
      <c r="K131" s="10">
        <f t="shared" si="37"/>
        <v>41519794.5</v>
      </c>
      <c r="L131" s="10">
        <f t="shared" si="37"/>
        <v>40159793.599999994</v>
      </c>
      <c r="M131" s="10">
        <f t="shared" si="37"/>
        <v>36939793</v>
      </c>
      <c r="N131" s="10">
        <f t="shared" ref="N131" si="38">SUM(N128,N126,N122,N119,N116,N95,N72)</f>
        <v>326365501.09000003</v>
      </c>
    </row>
    <row r="132" spans="2:14" ht="15.6" customHeight="1" x14ac:dyDescent="0.3">
      <c r="B132" s="2" t="s">
        <v>33</v>
      </c>
      <c r="C132" s="3"/>
      <c r="D132" s="3" t="s">
        <v>61</v>
      </c>
      <c r="E132" s="3">
        <v>5109244</v>
      </c>
      <c r="F132" s="3">
        <v>4609394</v>
      </c>
      <c r="G132" s="3">
        <f>3920523.78-14800</f>
        <v>3905723.78</v>
      </c>
      <c r="H132" s="3">
        <v>5862814</v>
      </c>
      <c r="I132" s="3">
        <v>5176186.3</v>
      </c>
      <c r="J132" s="3">
        <v>1965575</v>
      </c>
      <c r="K132" s="3">
        <v>5324164</v>
      </c>
      <c r="L132" s="3">
        <v>4031012.2</v>
      </c>
      <c r="M132" s="3">
        <v>3459471.3</v>
      </c>
      <c r="N132" s="3">
        <f t="shared" ref="N132:N137" si="39">SUM(E132:M132)</f>
        <v>39443584.579999998</v>
      </c>
    </row>
    <row r="133" spans="2:14" ht="15.6" customHeight="1" x14ac:dyDescent="0.3">
      <c r="B133" s="2" t="s">
        <v>33</v>
      </c>
      <c r="C133" s="3"/>
      <c r="D133" s="3" t="s">
        <v>62</v>
      </c>
      <c r="E133" s="3">
        <v>0</v>
      </c>
      <c r="F133" s="3">
        <v>0</v>
      </c>
      <c r="G133" s="3">
        <v>0</v>
      </c>
      <c r="H133" s="3">
        <v>0</v>
      </c>
      <c r="I133" s="3">
        <v>0</v>
      </c>
      <c r="J133" s="3">
        <v>2069026</v>
      </c>
      <c r="K133" s="3">
        <v>2377782</v>
      </c>
      <c r="L133" s="3">
        <v>0</v>
      </c>
      <c r="M133" s="3">
        <v>0</v>
      </c>
      <c r="N133" s="3">
        <f t="shared" si="39"/>
        <v>4446808</v>
      </c>
    </row>
    <row r="134" spans="2:14" ht="15.6" customHeight="1" x14ac:dyDescent="0.3">
      <c r="B134" s="2" t="s">
        <v>33</v>
      </c>
      <c r="C134" s="3"/>
      <c r="D134" s="3" t="s">
        <v>63</v>
      </c>
      <c r="E134" s="3">
        <v>1042703</v>
      </c>
      <c r="F134" s="3">
        <v>0</v>
      </c>
      <c r="G134" s="20">
        <v>14800</v>
      </c>
      <c r="H134" s="3">
        <v>186000</v>
      </c>
      <c r="I134" s="3">
        <v>2225760.2000000002</v>
      </c>
      <c r="J134" s="3">
        <v>0</v>
      </c>
      <c r="K134" s="3">
        <v>0</v>
      </c>
      <c r="L134" s="3">
        <v>0</v>
      </c>
      <c r="M134" s="3">
        <v>0</v>
      </c>
      <c r="N134" s="3">
        <f t="shared" si="39"/>
        <v>3469263.2</v>
      </c>
    </row>
    <row r="135" spans="2:14" ht="15.6" customHeight="1" x14ac:dyDescent="0.3">
      <c r="B135" s="2" t="s">
        <v>33</v>
      </c>
      <c r="C135" s="3"/>
      <c r="D135" s="3" t="s">
        <v>64</v>
      </c>
      <c r="E135" s="3">
        <v>0</v>
      </c>
      <c r="F135" s="3">
        <v>0</v>
      </c>
      <c r="G135" s="3">
        <v>0</v>
      </c>
      <c r="H135" s="3">
        <v>0</v>
      </c>
      <c r="I135" s="3">
        <v>0</v>
      </c>
      <c r="J135" s="3">
        <v>3517345</v>
      </c>
      <c r="K135" s="3">
        <v>0</v>
      </c>
      <c r="L135" s="3">
        <v>0</v>
      </c>
      <c r="M135" s="3">
        <v>0</v>
      </c>
      <c r="N135" s="3">
        <f t="shared" si="39"/>
        <v>3517345</v>
      </c>
    </row>
    <row r="136" spans="2:14" ht="15.6" customHeight="1" x14ac:dyDescent="0.3">
      <c r="B136" s="2" t="s">
        <v>33</v>
      </c>
      <c r="C136" s="3"/>
      <c r="D136" s="3" t="s">
        <v>35</v>
      </c>
      <c r="E136" s="3">
        <v>0</v>
      </c>
      <c r="F136" s="3">
        <v>0</v>
      </c>
      <c r="G136" s="3">
        <v>0</v>
      </c>
      <c r="H136" s="3">
        <v>0</v>
      </c>
      <c r="I136" s="3">
        <v>0</v>
      </c>
      <c r="J136" s="3">
        <v>0</v>
      </c>
      <c r="K136" s="3">
        <v>0</v>
      </c>
      <c r="L136" s="3">
        <v>2583982</v>
      </c>
      <c r="M136" s="3">
        <v>2581695.2000000002</v>
      </c>
      <c r="N136" s="3">
        <f t="shared" si="39"/>
        <v>5165677.2</v>
      </c>
    </row>
    <row r="137" spans="2:14" ht="15.6" customHeight="1" x14ac:dyDescent="0.3">
      <c r="B137" s="2" t="s">
        <v>33</v>
      </c>
      <c r="C137" s="3"/>
      <c r="D137" s="3" t="s">
        <v>34</v>
      </c>
      <c r="E137" s="3">
        <v>0</v>
      </c>
      <c r="F137" s="3">
        <v>0</v>
      </c>
      <c r="G137" s="3">
        <v>0</v>
      </c>
      <c r="H137" s="3">
        <v>0</v>
      </c>
      <c r="I137" s="3">
        <v>0</v>
      </c>
      <c r="J137" s="3">
        <v>0</v>
      </c>
      <c r="K137" s="3">
        <v>0</v>
      </c>
      <c r="L137" s="3">
        <v>1136952</v>
      </c>
      <c r="M137" s="3">
        <v>1920781</v>
      </c>
      <c r="N137" s="3">
        <f t="shared" si="39"/>
        <v>3057733</v>
      </c>
    </row>
    <row r="138" spans="2:14" ht="16.2" customHeight="1" collapsed="1" x14ac:dyDescent="0.3">
      <c r="B138" s="5" t="s">
        <v>33</v>
      </c>
      <c r="C138" s="6"/>
      <c r="D138" s="6"/>
      <c r="E138" s="7">
        <f t="shared" ref="E138:N138" si="40">SUBTOTAL(9,E132:E137)</f>
        <v>6151947</v>
      </c>
      <c r="F138" s="7">
        <f t="shared" si="40"/>
        <v>4609394</v>
      </c>
      <c r="G138" s="7">
        <f t="shared" si="40"/>
        <v>3920523.78</v>
      </c>
      <c r="H138" s="7">
        <f t="shared" si="40"/>
        <v>6048814</v>
      </c>
      <c r="I138" s="7">
        <f t="shared" si="40"/>
        <v>7401946.5</v>
      </c>
      <c r="J138" s="7">
        <f t="shared" si="40"/>
        <v>7551946</v>
      </c>
      <c r="K138" s="7">
        <f t="shared" si="40"/>
        <v>7701946</v>
      </c>
      <c r="L138" s="7">
        <f t="shared" si="40"/>
        <v>7751946.2000000002</v>
      </c>
      <c r="M138" s="7">
        <f t="shared" si="40"/>
        <v>7961947.5</v>
      </c>
      <c r="N138" s="7">
        <f t="shared" si="40"/>
        <v>59100410.980000004</v>
      </c>
    </row>
    <row r="139" spans="2:14" ht="15.6" customHeight="1" x14ac:dyDescent="0.3">
      <c r="B139" s="2" t="s">
        <v>36</v>
      </c>
      <c r="C139" s="3"/>
      <c r="D139" s="3" t="s">
        <v>65</v>
      </c>
      <c r="E139" s="3">
        <v>1763198</v>
      </c>
      <c r="F139" s="3">
        <v>495191.76000000007</v>
      </c>
      <c r="G139" s="3">
        <v>312786.20999999996</v>
      </c>
      <c r="H139" s="3">
        <v>1721455</v>
      </c>
      <c r="I139" s="3">
        <v>0</v>
      </c>
      <c r="J139" s="3">
        <v>0</v>
      </c>
      <c r="K139" s="3">
        <v>0</v>
      </c>
      <c r="L139" s="3">
        <v>0</v>
      </c>
      <c r="M139" s="3">
        <v>0</v>
      </c>
      <c r="N139" s="3">
        <f t="shared" ref="N139:N140" si="41">SUM(E139:M139)</f>
        <v>4292630.9700000007</v>
      </c>
    </row>
    <row r="140" spans="2:14" ht="15.6" customHeight="1" x14ac:dyDescent="0.3">
      <c r="B140" s="2" t="s">
        <v>36</v>
      </c>
      <c r="C140" s="3"/>
      <c r="D140" s="3" t="s">
        <v>60</v>
      </c>
      <c r="E140" s="3">
        <v>985316</v>
      </c>
      <c r="F140" s="3">
        <f>1251612-495192</f>
        <v>756420</v>
      </c>
      <c r="G140" s="3">
        <v>644439</v>
      </c>
      <c r="H140" s="3">
        <v>1048473</v>
      </c>
      <c r="I140" s="3">
        <v>312112</v>
      </c>
      <c r="J140" s="3">
        <v>0</v>
      </c>
      <c r="K140" s="3">
        <v>0</v>
      </c>
      <c r="L140" s="3">
        <v>0</v>
      </c>
      <c r="M140" s="3">
        <v>0</v>
      </c>
      <c r="N140" s="3">
        <f t="shared" si="41"/>
        <v>3746760</v>
      </c>
    </row>
    <row r="141" spans="2:14" ht="15.6" customHeight="1" x14ac:dyDescent="0.3">
      <c r="B141" s="2" t="s">
        <v>36</v>
      </c>
      <c r="C141" s="3"/>
      <c r="D141" s="3" t="s">
        <v>66</v>
      </c>
      <c r="E141" s="3">
        <v>0</v>
      </c>
      <c r="F141" s="3">
        <v>0</v>
      </c>
      <c r="G141" s="3">
        <v>0</v>
      </c>
      <c r="H141" s="3">
        <v>0</v>
      </c>
      <c r="I141" s="3">
        <v>1040375</v>
      </c>
      <c r="J141" s="3">
        <v>0</v>
      </c>
      <c r="K141" s="3">
        <v>0</v>
      </c>
      <c r="L141" s="3">
        <v>0</v>
      </c>
      <c r="M141" s="3">
        <v>0</v>
      </c>
      <c r="N141" s="3">
        <f t="shared" ref="N141:N148" si="42">SUM(E141:M141)</f>
        <v>1040375</v>
      </c>
    </row>
    <row r="142" spans="2:14" ht="15.6" customHeight="1" x14ac:dyDescent="0.3">
      <c r="B142" s="2" t="s">
        <v>36</v>
      </c>
      <c r="C142" s="3"/>
      <c r="D142" s="3" t="s">
        <v>67</v>
      </c>
      <c r="E142" s="3">
        <v>0</v>
      </c>
      <c r="F142" s="3">
        <v>0</v>
      </c>
      <c r="G142" s="3">
        <v>0</v>
      </c>
      <c r="H142" s="3">
        <v>0</v>
      </c>
      <c r="I142" s="3">
        <v>1186027</v>
      </c>
      <c r="J142" s="3">
        <v>0</v>
      </c>
      <c r="K142" s="3">
        <v>0</v>
      </c>
      <c r="L142" s="3">
        <v>0</v>
      </c>
      <c r="M142" s="3">
        <v>0</v>
      </c>
      <c r="N142" s="3">
        <f t="shared" si="42"/>
        <v>1186027</v>
      </c>
    </row>
    <row r="143" spans="2:14" ht="15.6" customHeight="1" x14ac:dyDescent="0.3">
      <c r="B143" s="2" t="s">
        <v>36</v>
      </c>
      <c r="C143" s="3"/>
      <c r="D143" s="3" t="s">
        <v>68</v>
      </c>
      <c r="E143" s="3">
        <v>0</v>
      </c>
      <c r="F143" s="3">
        <v>0</v>
      </c>
      <c r="G143" s="3">
        <v>0</v>
      </c>
      <c r="H143" s="3">
        <v>0</v>
      </c>
      <c r="I143" s="3">
        <v>0</v>
      </c>
      <c r="J143" s="3">
        <v>1249257</v>
      </c>
      <c r="K143" s="3">
        <v>0</v>
      </c>
      <c r="L143" s="3">
        <v>0</v>
      </c>
      <c r="M143" s="3">
        <v>0</v>
      </c>
      <c r="N143" s="3">
        <f t="shared" si="42"/>
        <v>1249257</v>
      </c>
    </row>
    <row r="144" spans="2:14" ht="15.6" customHeight="1" x14ac:dyDescent="0.3">
      <c r="B144" s="2" t="s">
        <v>36</v>
      </c>
      <c r="C144" s="3"/>
      <c r="D144" s="3" t="s">
        <v>69</v>
      </c>
      <c r="E144" s="3">
        <v>0</v>
      </c>
      <c r="F144" s="3">
        <v>0</v>
      </c>
      <c r="G144" s="3">
        <v>0</v>
      </c>
      <c r="H144" s="3">
        <v>0</v>
      </c>
      <c r="I144" s="3">
        <v>0</v>
      </c>
      <c r="J144" s="3">
        <v>1249257</v>
      </c>
      <c r="K144" s="3">
        <v>1249257</v>
      </c>
      <c r="L144" s="3">
        <v>0</v>
      </c>
      <c r="M144" s="3">
        <v>0</v>
      </c>
      <c r="N144" s="3">
        <f t="shared" si="42"/>
        <v>2498514</v>
      </c>
    </row>
    <row r="145" spans="2:16" ht="15.6" customHeight="1" x14ac:dyDescent="0.3">
      <c r="B145" s="2" t="s">
        <v>36</v>
      </c>
      <c r="C145" s="3"/>
      <c r="D145" s="3" t="s">
        <v>70</v>
      </c>
      <c r="E145" s="3">
        <v>0</v>
      </c>
      <c r="F145" s="3">
        <v>0</v>
      </c>
      <c r="G145" s="3">
        <v>0</v>
      </c>
      <c r="H145" s="3">
        <v>0</v>
      </c>
      <c r="I145" s="3">
        <v>0</v>
      </c>
      <c r="J145" s="3">
        <v>0</v>
      </c>
      <c r="K145" s="3">
        <v>1249257</v>
      </c>
      <c r="L145" s="3">
        <v>0</v>
      </c>
      <c r="M145" s="3">
        <v>0</v>
      </c>
      <c r="N145" s="3">
        <f t="shared" si="42"/>
        <v>1249257</v>
      </c>
    </row>
    <row r="146" spans="2:16" ht="15.6" customHeight="1" x14ac:dyDescent="0.3">
      <c r="B146" s="2" t="s">
        <v>36</v>
      </c>
      <c r="C146" s="3"/>
      <c r="D146" s="3" t="s">
        <v>71</v>
      </c>
      <c r="E146" s="3">
        <v>0</v>
      </c>
      <c r="F146" s="3">
        <v>0</v>
      </c>
      <c r="G146" s="3">
        <v>0</v>
      </c>
      <c r="H146" s="3">
        <v>0</v>
      </c>
      <c r="I146" s="3">
        <v>0</v>
      </c>
      <c r="J146" s="3">
        <v>0</v>
      </c>
      <c r="K146" s="3">
        <v>0</v>
      </c>
      <c r="L146" s="3">
        <v>1249257</v>
      </c>
      <c r="M146" s="3">
        <v>0</v>
      </c>
      <c r="N146" s="3">
        <f t="shared" si="42"/>
        <v>1249257</v>
      </c>
    </row>
    <row r="147" spans="2:16" ht="15.6" customHeight="1" x14ac:dyDescent="0.3">
      <c r="B147" s="2" t="s">
        <v>36</v>
      </c>
      <c r="C147" s="3"/>
      <c r="D147" s="3" t="s">
        <v>72</v>
      </c>
      <c r="E147" s="3">
        <v>0</v>
      </c>
      <c r="F147" s="3">
        <v>0</v>
      </c>
      <c r="G147" s="3">
        <v>0</v>
      </c>
      <c r="H147" s="3">
        <v>0</v>
      </c>
      <c r="I147" s="3">
        <v>0</v>
      </c>
      <c r="J147" s="3">
        <v>0</v>
      </c>
      <c r="K147" s="3">
        <v>0</v>
      </c>
      <c r="L147" s="3">
        <v>1249257</v>
      </c>
      <c r="M147" s="3">
        <v>1249257</v>
      </c>
      <c r="N147" s="3">
        <f t="shared" si="42"/>
        <v>2498514</v>
      </c>
    </row>
    <row r="148" spans="2:16" ht="15.6" customHeight="1" x14ac:dyDescent="0.3">
      <c r="B148" s="2" t="s">
        <v>36</v>
      </c>
      <c r="C148" s="3"/>
      <c r="D148" s="3" t="s">
        <v>73</v>
      </c>
      <c r="E148" s="3">
        <v>0</v>
      </c>
      <c r="F148" s="3">
        <v>0</v>
      </c>
      <c r="G148" s="3">
        <v>0</v>
      </c>
      <c r="H148" s="3">
        <v>0</v>
      </c>
      <c r="I148" s="3">
        <v>0</v>
      </c>
      <c r="J148" s="3">
        <v>0</v>
      </c>
      <c r="K148" s="3">
        <v>0</v>
      </c>
      <c r="L148" s="3">
        <v>0</v>
      </c>
      <c r="M148" s="3">
        <v>1249257</v>
      </c>
      <c r="N148" s="3">
        <f t="shared" si="42"/>
        <v>1249257</v>
      </c>
    </row>
    <row r="149" spans="2:16" ht="16.2" customHeight="1" collapsed="1" x14ac:dyDescent="0.3">
      <c r="B149" s="5" t="s">
        <v>36</v>
      </c>
      <c r="C149" s="6"/>
      <c r="D149" s="6"/>
      <c r="E149" s="7">
        <f t="shared" ref="E149:N149" si="43">SUBTOTAL(9,E139:E148)</f>
        <v>2748514</v>
      </c>
      <c r="F149" s="7">
        <f t="shared" si="43"/>
        <v>1251611.76</v>
      </c>
      <c r="G149" s="7">
        <f t="shared" si="43"/>
        <v>957225.21</v>
      </c>
      <c r="H149" s="7">
        <f t="shared" si="43"/>
        <v>2769928</v>
      </c>
      <c r="I149" s="7">
        <f t="shared" si="43"/>
        <v>2538514</v>
      </c>
      <c r="J149" s="7">
        <f t="shared" si="43"/>
        <v>2498514</v>
      </c>
      <c r="K149" s="7">
        <f t="shared" si="43"/>
        <v>2498514</v>
      </c>
      <c r="L149" s="7">
        <f t="shared" si="43"/>
        <v>2498514</v>
      </c>
      <c r="M149" s="7">
        <f t="shared" si="43"/>
        <v>2498514</v>
      </c>
      <c r="N149" s="7">
        <f t="shared" si="43"/>
        <v>20259848.969999999</v>
      </c>
    </row>
    <row r="150" spans="2:16" ht="15.6" customHeight="1" x14ac:dyDescent="0.3">
      <c r="B150" s="2" t="s">
        <v>37</v>
      </c>
      <c r="C150" s="3"/>
      <c r="D150" s="3" t="s">
        <v>74</v>
      </c>
      <c r="E150" s="3">
        <v>622647</v>
      </c>
      <c r="F150" s="3"/>
      <c r="G150" s="20">
        <v>1143000</v>
      </c>
      <c r="H150" s="3">
        <v>1265877</v>
      </c>
      <c r="I150" s="3">
        <v>716824</v>
      </c>
      <c r="J150" s="3">
        <v>819962</v>
      </c>
      <c r="K150" s="3">
        <v>921411</v>
      </c>
      <c r="L150" s="3">
        <v>1025616.5</v>
      </c>
      <c r="M150" s="3">
        <v>1125941.5</v>
      </c>
      <c r="N150" s="3">
        <f t="shared" ref="N150:N154" si="44">SUM(E150:M150)</f>
        <v>7641279</v>
      </c>
    </row>
    <row r="151" spans="2:16" ht="15.6" customHeight="1" x14ac:dyDescent="0.3">
      <c r="B151" s="2" t="s">
        <v>37</v>
      </c>
      <c r="C151" s="3"/>
      <c r="D151" s="3" t="s">
        <v>75</v>
      </c>
      <c r="E151" s="3">
        <v>716044</v>
      </c>
      <c r="F151" s="3"/>
      <c r="G151" s="20">
        <v>96540</v>
      </c>
      <c r="H151" s="3">
        <v>179786</v>
      </c>
      <c r="I151" s="3">
        <v>808987</v>
      </c>
      <c r="J151" s="3">
        <v>912207</v>
      </c>
      <c r="K151" s="3">
        <v>1013552.2</v>
      </c>
      <c r="L151" s="3">
        <v>1117922.3999999999</v>
      </c>
      <c r="M151" s="3">
        <v>1228300</v>
      </c>
      <c r="N151" s="3">
        <f t="shared" si="44"/>
        <v>6073338.5999999996</v>
      </c>
    </row>
    <row r="152" spans="2:16" ht="15.6" customHeight="1" x14ac:dyDescent="0.3">
      <c r="B152" s="2" t="s">
        <v>37</v>
      </c>
      <c r="C152" s="3"/>
      <c r="D152" s="3" t="s">
        <v>76</v>
      </c>
      <c r="E152" s="3">
        <v>752365</v>
      </c>
      <c r="F152" s="3"/>
      <c r="G152" s="20">
        <v>1023460</v>
      </c>
      <c r="H152" s="3">
        <v>1118493</v>
      </c>
      <c r="I152" s="3">
        <v>1085477</v>
      </c>
      <c r="J152" s="3">
        <v>753340</v>
      </c>
      <c r="K152" s="3">
        <v>967481</v>
      </c>
      <c r="L152" s="3">
        <v>882030</v>
      </c>
      <c r="M152" s="3">
        <v>946815</v>
      </c>
      <c r="N152" s="3">
        <f t="shared" si="44"/>
        <v>7529461</v>
      </c>
    </row>
    <row r="153" spans="2:16" ht="15.6" customHeight="1" x14ac:dyDescent="0.3">
      <c r="B153" s="2" t="s">
        <v>37</v>
      </c>
      <c r="C153" s="3"/>
      <c r="D153" s="3" t="s">
        <v>77</v>
      </c>
      <c r="E153" s="3">
        <v>103774.2</v>
      </c>
      <c r="F153" s="3"/>
      <c r="G153" s="20">
        <v>62110</v>
      </c>
      <c r="H153" s="3">
        <v>89931</v>
      </c>
      <c r="I153" s="3">
        <v>102403</v>
      </c>
      <c r="J153" s="3">
        <v>102495</v>
      </c>
      <c r="K153" s="3">
        <v>102379</v>
      </c>
      <c r="L153" s="3">
        <v>102562.2</v>
      </c>
      <c r="M153" s="3">
        <v>102358.3</v>
      </c>
      <c r="N153" s="3">
        <f t="shared" si="44"/>
        <v>768012.7</v>
      </c>
    </row>
    <row r="154" spans="2:16" ht="15.6" customHeight="1" x14ac:dyDescent="0.3">
      <c r="B154" s="2" t="s">
        <v>37</v>
      </c>
      <c r="C154" s="3"/>
      <c r="D154" s="3" t="s">
        <v>78</v>
      </c>
      <c r="E154" s="3">
        <v>51887.3</v>
      </c>
      <c r="F154" s="3"/>
      <c r="G154" s="20">
        <v>89394</v>
      </c>
      <c r="H154" s="3">
        <v>100000</v>
      </c>
      <c r="I154" s="3">
        <v>768026</v>
      </c>
      <c r="J154" s="3">
        <v>768714</v>
      </c>
      <c r="K154" s="3">
        <v>511895</v>
      </c>
      <c r="L154" s="3">
        <v>143586</v>
      </c>
      <c r="M154" s="3">
        <v>143302.29999999999</v>
      </c>
      <c r="N154" s="3">
        <f t="shared" si="44"/>
        <v>2576804.5999999996</v>
      </c>
    </row>
    <row r="155" spans="2:16" ht="16.2" customHeight="1" collapsed="1" x14ac:dyDescent="0.3">
      <c r="B155" s="5" t="s">
        <v>37</v>
      </c>
      <c r="C155" s="6"/>
      <c r="D155" s="6"/>
      <c r="E155" s="7">
        <f t="shared" ref="E155:N155" si="45">SUBTOTAL(9,E150:E154)</f>
        <v>2246717.5</v>
      </c>
      <c r="F155" s="7">
        <v>2471307</v>
      </c>
      <c r="G155" s="7">
        <v>2414504.4699999997</v>
      </c>
      <c r="H155" s="7">
        <f t="shared" si="45"/>
        <v>2754087</v>
      </c>
      <c r="I155" s="7">
        <f t="shared" si="45"/>
        <v>3481717</v>
      </c>
      <c r="J155" s="7">
        <f t="shared" si="45"/>
        <v>3356718</v>
      </c>
      <c r="K155" s="7">
        <f t="shared" si="45"/>
        <v>3516718.2</v>
      </c>
      <c r="L155" s="7">
        <f t="shared" si="45"/>
        <v>3271717.1</v>
      </c>
      <c r="M155" s="7">
        <f t="shared" si="45"/>
        <v>3546717.0999999996</v>
      </c>
      <c r="N155" s="7">
        <f t="shared" si="45"/>
        <v>24588895.899999999</v>
      </c>
      <c r="P155" s="29"/>
    </row>
    <row r="156" spans="2:16" ht="16.2" x14ac:dyDescent="0.35">
      <c r="B156" s="9" t="s">
        <v>38</v>
      </c>
      <c r="C156" s="10"/>
      <c r="D156" s="10"/>
      <c r="E156" s="10">
        <f t="shared" ref="E156:N156" si="46">SUM(E155,E149,E138)</f>
        <v>11147178.5</v>
      </c>
      <c r="F156" s="10">
        <f t="shared" si="46"/>
        <v>8332312.7599999998</v>
      </c>
      <c r="G156" s="10">
        <f t="shared" si="46"/>
        <v>7292253.459999999</v>
      </c>
      <c r="H156" s="10">
        <f t="shared" si="46"/>
        <v>11572829</v>
      </c>
      <c r="I156" s="10">
        <f t="shared" si="46"/>
        <v>13422177.5</v>
      </c>
      <c r="J156" s="10">
        <f t="shared" si="46"/>
        <v>13407178</v>
      </c>
      <c r="K156" s="10">
        <f t="shared" si="46"/>
        <v>13717178.199999999</v>
      </c>
      <c r="L156" s="10">
        <f t="shared" si="46"/>
        <v>13522177.300000001</v>
      </c>
      <c r="M156" s="10">
        <f t="shared" si="46"/>
        <v>14007178.6</v>
      </c>
      <c r="N156" s="10">
        <f t="shared" si="46"/>
        <v>103949155.84999999</v>
      </c>
    </row>
    <row r="157" spans="2:16" ht="18" customHeight="1" x14ac:dyDescent="0.3">
      <c r="B157" s="2" t="s">
        <v>39</v>
      </c>
      <c r="C157" s="3"/>
      <c r="D157" s="3" t="s">
        <v>79</v>
      </c>
      <c r="E157" s="3">
        <v>345000</v>
      </c>
      <c r="F157" s="3">
        <v>201292</v>
      </c>
      <c r="G157" s="3">
        <v>201091.65999999997</v>
      </c>
      <c r="H157" s="3">
        <v>345001</v>
      </c>
      <c r="I157" s="3">
        <v>345000</v>
      </c>
      <c r="J157" s="3">
        <v>315000</v>
      </c>
      <c r="K157" s="3">
        <v>365000</v>
      </c>
      <c r="L157" s="3">
        <v>315000</v>
      </c>
      <c r="M157" s="3">
        <v>315000</v>
      </c>
      <c r="N157" s="3">
        <f>SUM(E157:M157)</f>
        <v>2747384.66</v>
      </c>
    </row>
    <row r="158" spans="2:16" ht="18" customHeight="1" x14ac:dyDescent="0.3">
      <c r="B158" s="5" t="s">
        <v>39</v>
      </c>
      <c r="C158" s="6"/>
      <c r="D158" s="6"/>
      <c r="E158" s="7">
        <f t="shared" ref="E158:N158" si="47">SUBTOTAL(9,E157:E157)</f>
        <v>345000</v>
      </c>
      <c r="F158" s="7">
        <f t="shared" si="47"/>
        <v>201292</v>
      </c>
      <c r="G158" s="7">
        <f t="shared" si="47"/>
        <v>201091.65999999997</v>
      </c>
      <c r="H158" s="7">
        <f t="shared" ref="H158" si="48">SUBTOTAL(9,H157:H157)</f>
        <v>345001</v>
      </c>
      <c r="I158" s="7">
        <f t="shared" si="47"/>
        <v>345000</v>
      </c>
      <c r="J158" s="7">
        <f t="shared" si="47"/>
        <v>315000</v>
      </c>
      <c r="K158" s="7">
        <f t="shared" si="47"/>
        <v>365000</v>
      </c>
      <c r="L158" s="7">
        <f t="shared" si="47"/>
        <v>315000</v>
      </c>
      <c r="M158" s="7">
        <f t="shared" si="47"/>
        <v>315000</v>
      </c>
      <c r="N158" s="7">
        <f t="shared" si="47"/>
        <v>2747384.66</v>
      </c>
    </row>
    <row r="159" spans="2:16" ht="15.6" customHeight="1" x14ac:dyDescent="0.3">
      <c r="B159" s="2" t="s">
        <v>40</v>
      </c>
      <c r="C159" s="3"/>
      <c r="D159" s="3" t="s">
        <v>80</v>
      </c>
      <c r="E159" s="3">
        <v>907000</v>
      </c>
      <c r="F159" s="3">
        <v>0</v>
      </c>
      <c r="G159" s="3">
        <v>0</v>
      </c>
      <c r="H159" s="3">
        <f>500000-170000-50000</f>
        <v>280000</v>
      </c>
      <c r="I159" s="3">
        <v>1290000</v>
      </c>
      <c r="J159" s="3">
        <v>529000</v>
      </c>
      <c r="K159" s="3">
        <v>571000</v>
      </c>
      <c r="L159" s="3">
        <v>480000</v>
      </c>
      <c r="M159" s="3">
        <v>952000</v>
      </c>
      <c r="N159" s="3">
        <f t="shared" ref="N159:N161" si="49">SUM(E159:M159)</f>
        <v>5009000</v>
      </c>
    </row>
    <row r="160" spans="2:16" ht="15.6" customHeight="1" x14ac:dyDescent="0.3">
      <c r="B160" s="2" t="s">
        <v>40</v>
      </c>
      <c r="C160" s="3"/>
      <c r="D160" s="3" t="s">
        <v>81</v>
      </c>
      <c r="E160" s="3">
        <v>1350000</v>
      </c>
      <c r="F160" s="3">
        <v>0</v>
      </c>
      <c r="G160" s="3">
        <v>0</v>
      </c>
      <c r="H160" s="3">
        <v>1000000</v>
      </c>
      <c r="I160" s="3">
        <v>1180000</v>
      </c>
      <c r="J160" s="3">
        <v>2040000</v>
      </c>
      <c r="K160" s="3">
        <v>1180000</v>
      </c>
      <c r="L160" s="3">
        <v>1560000</v>
      </c>
      <c r="M160" s="3">
        <v>500000</v>
      </c>
      <c r="N160" s="3">
        <f t="shared" si="49"/>
        <v>8810000</v>
      </c>
    </row>
    <row r="161" spans="2:14" ht="15.6" customHeight="1" x14ac:dyDescent="0.3">
      <c r="B161" s="2" t="s">
        <v>40</v>
      </c>
      <c r="C161" s="3"/>
      <c r="D161" s="3" t="s">
        <v>82</v>
      </c>
      <c r="E161" s="3">
        <v>170000</v>
      </c>
      <c r="F161" s="3">
        <v>214153</v>
      </c>
      <c r="G161" s="3">
        <v>214152.74000000002</v>
      </c>
      <c r="H161" s="3">
        <f>170000+50000</f>
        <v>220000</v>
      </c>
      <c r="I161" s="3">
        <v>50000</v>
      </c>
      <c r="J161" s="3">
        <v>227000</v>
      </c>
      <c r="K161" s="3">
        <v>1350000</v>
      </c>
      <c r="L161" s="3">
        <v>387862</v>
      </c>
      <c r="M161" s="3">
        <v>435000</v>
      </c>
      <c r="N161" s="3">
        <f t="shared" si="49"/>
        <v>3268167.74</v>
      </c>
    </row>
    <row r="162" spans="2:14" ht="16.2" customHeight="1" x14ac:dyDescent="0.3">
      <c r="B162" s="5" t="s">
        <v>40</v>
      </c>
      <c r="C162" s="6"/>
      <c r="D162" s="6"/>
      <c r="E162" s="7">
        <f t="shared" ref="E162:N162" si="50">SUBTOTAL(9,E159:E161)</f>
        <v>2427000</v>
      </c>
      <c r="F162" s="7">
        <f t="shared" si="50"/>
        <v>214153</v>
      </c>
      <c r="G162" s="7">
        <f t="shared" si="50"/>
        <v>214152.74000000002</v>
      </c>
      <c r="H162" s="7">
        <f t="shared" si="50"/>
        <v>1500000</v>
      </c>
      <c r="I162" s="7">
        <f t="shared" si="50"/>
        <v>2520000</v>
      </c>
      <c r="J162" s="7">
        <f t="shared" si="50"/>
        <v>2796000</v>
      </c>
      <c r="K162" s="7">
        <f t="shared" si="50"/>
        <v>3101000</v>
      </c>
      <c r="L162" s="7">
        <f t="shared" si="50"/>
        <v>2427862</v>
      </c>
      <c r="M162" s="7">
        <f t="shared" si="50"/>
        <v>1887000</v>
      </c>
      <c r="N162" s="7">
        <f t="shared" si="50"/>
        <v>17087167.740000002</v>
      </c>
    </row>
    <row r="163" spans="2:14" ht="20.25" customHeight="1" x14ac:dyDescent="0.3">
      <c r="B163" s="2" t="s">
        <v>41</v>
      </c>
      <c r="C163" s="3"/>
      <c r="D163" s="3" t="s">
        <v>83</v>
      </c>
      <c r="E163" s="3">
        <v>341000</v>
      </c>
      <c r="F163" s="3">
        <v>-4836</v>
      </c>
      <c r="G163" s="3">
        <v>-4836</v>
      </c>
      <c r="H163" s="3">
        <v>341000</v>
      </c>
      <c r="I163" s="3">
        <v>572000</v>
      </c>
      <c r="J163" s="3">
        <v>269000</v>
      </c>
      <c r="K163" s="3">
        <v>580000</v>
      </c>
      <c r="L163" s="3">
        <v>150000</v>
      </c>
      <c r="M163" s="3">
        <v>607000</v>
      </c>
      <c r="N163" s="3">
        <f t="shared" ref="N163" si="51">SUM(E163:M163)</f>
        <v>2850328</v>
      </c>
    </row>
    <row r="164" spans="2:14" ht="18.75" customHeight="1" x14ac:dyDescent="0.3">
      <c r="B164" s="5" t="s">
        <v>41</v>
      </c>
      <c r="C164" s="6"/>
      <c r="D164" s="6"/>
      <c r="E164" s="7">
        <f t="shared" ref="E164:N164" si="52">SUBTOTAL(9,E163:E163)</f>
        <v>341000</v>
      </c>
      <c r="F164" s="7">
        <f t="shared" si="52"/>
        <v>-4836</v>
      </c>
      <c r="G164" s="7">
        <f t="shared" si="52"/>
        <v>-4836</v>
      </c>
      <c r="H164" s="7">
        <f t="shared" ref="H164" si="53">SUBTOTAL(9,H163:H163)</f>
        <v>341000</v>
      </c>
      <c r="I164" s="7">
        <f t="shared" si="52"/>
        <v>572000</v>
      </c>
      <c r="J164" s="7">
        <f t="shared" si="52"/>
        <v>269000</v>
      </c>
      <c r="K164" s="7">
        <f t="shared" si="52"/>
        <v>580000</v>
      </c>
      <c r="L164" s="7">
        <f t="shared" si="52"/>
        <v>150000</v>
      </c>
      <c r="M164" s="7">
        <f t="shared" si="52"/>
        <v>607000</v>
      </c>
      <c r="N164" s="7">
        <f t="shared" si="52"/>
        <v>2850328</v>
      </c>
    </row>
    <row r="165" spans="2:14" ht="18" customHeight="1" x14ac:dyDescent="0.3">
      <c r="B165" s="2" t="s">
        <v>42</v>
      </c>
      <c r="C165" s="3"/>
      <c r="D165" s="3" t="s">
        <v>84</v>
      </c>
      <c r="E165" s="3">
        <v>50000</v>
      </c>
      <c r="F165" s="3">
        <v>0</v>
      </c>
      <c r="G165" s="3">
        <v>0</v>
      </c>
      <c r="H165" s="3">
        <v>50000</v>
      </c>
      <c r="I165" s="3">
        <v>55000</v>
      </c>
      <c r="J165" s="3">
        <v>55000</v>
      </c>
      <c r="K165" s="3">
        <v>60000</v>
      </c>
      <c r="L165" s="3">
        <v>60000</v>
      </c>
      <c r="M165" s="3">
        <v>65000</v>
      </c>
      <c r="N165" s="3">
        <f>SUM(E165:M165)</f>
        <v>395000</v>
      </c>
    </row>
    <row r="166" spans="2:14" ht="18" customHeight="1" x14ac:dyDescent="0.3">
      <c r="B166" s="5" t="s">
        <v>42</v>
      </c>
      <c r="C166" s="6"/>
      <c r="D166" s="6"/>
      <c r="E166" s="7">
        <f t="shared" ref="E166:N166" si="54">SUBTOTAL(9,E165:E165)</f>
        <v>50000</v>
      </c>
      <c r="F166" s="7">
        <f t="shared" si="54"/>
        <v>0</v>
      </c>
      <c r="G166" s="7">
        <f t="shared" si="54"/>
        <v>0</v>
      </c>
      <c r="H166" s="7">
        <f t="shared" ref="H166" si="55">SUBTOTAL(9,H165:H165)</f>
        <v>50000</v>
      </c>
      <c r="I166" s="7">
        <f t="shared" si="54"/>
        <v>55000</v>
      </c>
      <c r="J166" s="7">
        <f t="shared" si="54"/>
        <v>55000</v>
      </c>
      <c r="K166" s="7">
        <f t="shared" si="54"/>
        <v>60000</v>
      </c>
      <c r="L166" s="7">
        <f t="shared" si="54"/>
        <v>60000</v>
      </c>
      <c r="M166" s="7">
        <f t="shared" si="54"/>
        <v>65000</v>
      </c>
      <c r="N166" s="7">
        <f t="shared" si="54"/>
        <v>395000</v>
      </c>
    </row>
    <row r="167" spans="2:14" ht="18" customHeight="1" x14ac:dyDescent="0.3">
      <c r="B167" s="2" t="s">
        <v>43</v>
      </c>
      <c r="C167" s="3"/>
      <c r="D167" s="3" t="s">
        <v>60</v>
      </c>
      <c r="E167" s="3">
        <v>580000</v>
      </c>
      <c r="F167" s="3">
        <v>110528</v>
      </c>
      <c r="G167" s="3">
        <v>110528</v>
      </c>
      <c r="H167" s="3">
        <v>580000</v>
      </c>
      <c r="I167" s="3">
        <v>580000</v>
      </c>
      <c r="J167" s="3">
        <v>620000</v>
      </c>
      <c r="K167" s="3">
        <v>530000</v>
      </c>
      <c r="L167" s="3">
        <v>550000</v>
      </c>
      <c r="M167" s="3">
        <v>500000</v>
      </c>
      <c r="N167" s="3">
        <f t="shared" ref="N167" si="56">SUM(E167:M167)</f>
        <v>4161056</v>
      </c>
    </row>
    <row r="168" spans="2:14" ht="16.2" customHeight="1" x14ac:dyDescent="0.3">
      <c r="B168" s="5" t="s">
        <v>43</v>
      </c>
      <c r="C168" s="6"/>
      <c r="D168" s="7"/>
      <c r="E168" s="7">
        <f t="shared" ref="E168:N168" si="57">SUBTOTAL(9,E167:E167)</f>
        <v>580000</v>
      </c>
      <c r="F168" s="7">
        <f t="shared" si="57"/>
        <v>110528</v>
      </c>
      <c r="G168" s="7">
        <f t="shared" si="57"/>
        <v>110528</v>
      </c>
      <c r="H168" s="7">
        <f t="shared" ref="H168" si="58">SUBTOTAL(9,H167:H167)</f>
        <v>580000</v>
      </c>
      <c r="I168" s="7">
        <f t="shared" si="57"/>
        <v>580000</v>
      </c>
      <c r="J168" s="7">
        <f t="shared" si="57"/>
        <v>620000</v>
      </c>
      <c r="K168" s="7">
        <f t="shared" si="57"/>
        <v>530000</v>
      </c>
      <c r="L168" s="7">
        <f t="shared" si="57"/>
        <v>550000</v>
      </c>
      <c r="M168" s="7">
        <f t="shared" si="57"/>
        <v>500000</v>
      </c>
      <c r="N168" s="7">
        <f t="shared" si="57"/>
        <v>4161056</v>
      </c>
    </row>
    <row r="169" spans="2:14" ht="15.6" customHeight="1" x14ac:dyDescent="0.3">
      <c r="B169" s="2" t="s">
        <v>44</v>
      </c>
      <c r="C169" s="3"/>
      <c r="D169" s="3" t="s">
        <v>85</v>
      </c>
      <c r="E169" s="3">
        <v>650000</v>
      </c>
      <c r="F169" s="3">
        <v>0</v>
      </c>
      <c r="G169" s="3">
        <v>0</v>
      </c>
      <c r="H169" s="3">
        <v>0</v>
      </c>
      <c r="I169" s="3">
        <v>600000</v>
      </c>
      <c r="J169" s="3">
        <v>0</v>
      </c>
      <c r="K169" s="3">
        <v>0</v>
      </c>
      <c r="L169" s="3">
        <v>0</v>
      </c>
      <c r="M169" s="3">
        <v>0</v>
      </c>
      <c r="N169" s="3">
        <f t="shared" ref="N169:N176" si="59">SUM(E169:M169)</f>
        <v>1250000</v>
      </c>
    </row>
    <row r="170" spans="2:14" ht="15.6" customHeight="1" x14ac:dyDescent="0.3">
      <c r="B170" s="2" t="s">
        <v>44</v>
      </c>
      <c r="C170" s="3"/>
      <c r="D170" s="3" t="s">
        <v>86</v>
      </c>
      <c r="E170" s="3">
        <v>0</v>
      </c>
      <c r="F170" s="3">
        <v>0</v>
      </c>
      <c r="G170" s="3">
        <v>0</v>
      </c>
      <c r="H170" s="3">
        <v>0</v>
      </c>
      <c r="I170" s="3">
        <v>0</v>
      </c>
      <c r="J170" s="3">
        <v>0</v>
      </c>
      <c r="K170" s="3">
        <v>950000</v>
      </c>
      <c r="L170" s="3">
        <v>0</v>
      </c>
      <c r="M170" s="3">
        <v>0</v>
      </c>
      <c r="N170" s="3">
        <f t="shared" si="59"/>
        <v>950000</v>
      </c>
    </row>
    <row r="171" spans="2:14" ht="15.6" customHeight="1" x14ac:dyDescent="0.3">
      <c r="B171" s="2" t="s">
        <v>44</v>
      </c>
      <c r="C171" s="3"/>
      <c r="D171" s="3" t="s">
        <v>87</v>
      </c>
      <c r="E171" s="3">
        <v>760000</v>
      </c>
      <c r="F171" s="3">
        <f>424951+7900</f>
        <v>432851</v>
      </c>
      <c r="G171" s="3">
        <v>429952</v>
      </c>
      <c r="H171" s="3">
        <v>665000</v>
      </c>
      <c r="I171" s="3">
        <v>0</v>
      </c>
      <c r="J171" s="3">
        <v>1200000</v>
      </c>
      <c r="K171" s="3">
        <v>250000</v>
      </c>
      <c r="L171" s="3">
        <v>1200000</v>
      </c>
      <c r="M171" s="3">
        <v>400000</v>
      </c>
      <c r="N171" s="3">
        <f t="shared" si="59"/>
        <v>5337803</v>
      </c>
    </row>
    <row r="172" spans="2:14" ht="15.6" customHeight="1" x14ac:dyDescent="0.3">
      <c r="B172" s="2" t="s">
        <v>44</v>
      </c>
      <c r="C172" s="3"/>
      <c r="D172" s="3" t="s">
        <v>179</v>
      </c>
      <c r="E172" s="3">
        <v>245000</v>
      </c>
      <c r="F172" s="3">
        <f>44088+150+2068+73563</f>
        <v>119869</v>
      </c>
      <c r="G172" s="3">
        <v>75550</v>
      </c>
      <c r="H172" s="3">
        <v>500240</v>
      </c>
      <c r="I172" s="3">
        <v>275000</v>
      </c>
      <c r="J172" s="3">
        <v>600000</v>
      </c>
      <c r="K172" s="3">
        <v>1050000</v>
      </c>
      <c r="L172" s="3">
        <v>675000</v>
      </c>
      <c r="M172" s="3">
        <v>700000</v>
      </c>
      <c r="N172" s="3">
        <f t="shared" si="59"/>
        <v>4240659</v>
      </c>
    </row>
    <row r="173" spans="2:14" ht="15.6" customHeight="1" x14ac:dyDescent="0.3">
      <c r="B173" s="2" t="s">
        <v>44</v>
      </c>
      <c r="C173" s="3"/>
      <c r="D173" s="3" t="s">
        <v>88</v>
      </c>
      <c r="E173" s="3">
        <v>550000</v>
      </c>
      <c r="F173" s="3">
        <v>526091</v>
      </c>
      <c r="G173" s="3">
        <v>506090.59</v>
      </c>
      <c r="H173" s="3">
        <v>550000</v>
      </c>
      <c r="I173" s="3">
        <v>500000</v>
      </c>
      <c r="J173" s="3">
        <v>0</v>
      </c>
      <c r="K173" s="3">
        <v>0</v>
      </c>
      <c r="L173" s="3">
        <v>0</v>
      </c>
      <c r="M173" s="3">
        <v>0</v>
      </c>
      <c r="N173" s="3">
        <f t="shared" si="59"/>
        <v>2632181.59</v>
      </c>
    </row>
    <row r="174" spans="2:14" ht="15.6" customHeight="1" x14ac:dyDescent="0.3">
      <c r="B174" s="2" t="s">
        <v>44</v>
      </c>
      <c r="C174" s="3"/>
      <c r="D174" s="3" t="s">
        <v>89</v>
      </c>
      <c r="E174" s="3">
        <v>0</v>
      </c>
      <c r="F174" s="3">
        <v>0</v>
      </c>
      <c r="G174" s="3">
        <v>0</v>
      </c>
      <c r="H174" s="3">
        <v>0</v>
      </c>
      <c r="I174" s="3">
        <v>0</v>
      </c>
      <c r="J174" s="3">
        <v>725000</v>
      </c>
      <c r="K174" s="3">
        <v>0</v>
      </c>
      <c r="L174" s="3">
        <v>0</v>
      </c>
      <c r="M174" s="3">
        <v>0</v>
      </c>
      <c r="N174" s="3">
        <f t="shared" si="59"/>
        <v>725000</v>
      </c>
    </row>
    <row r="175" spans="2:14" ht="15.6" customHeight="1" x14ac:dyDescent="0.3">
      <c r="B175" s="2" t="s">
        <v>44</v>
      </c>
      <c r="C175" s="3"/>
      <c r="D175" s="3" t="s">
        <v>180</v>
      </c>
      <c r="E175" s="3">
        <v>0</v>
      </c>
      <c r="F175" s="3">
        <v>0</v>
      </c>
      <c r="G175" s="3">
        <v>0</v>
      </c>
      <c r="H175" s="3">
        <v>1364763</v>
      </c>
      <c r="I175" s="3">
        <v>0</v>
      </c>
      <c r="J175" s="3">
        <v>0</v>
      </c>
      <c r="K175" s="3">
        <v>0</v>
      </c>
      <c r="L175" s="3">
        <v>0</v>
      </c>
      <c r="M175" s="3">
        <v>0</v>
      </c>
      <c r="N175" s="3"/>
    </row>
    <row r="176" spans="2:14" ht="15.6" customHeight="1" x14ac:dyDescent="0.3">
      <c r="B176" s="2" t="s">
        <v>44</v>
      </c>
      <c r="C176" s="3"/>
      <c r="D176" s="3" t="s">
        <v>60</v>
      </c>
      <c r="E176" s="3">
        <v>650000</v>
      </c>
      <c r="F176" s="3">
        <f>1146406-1078811</f>
        <v>67595</v>
      </c>
      <c r="G176" s="3">
        <v>66215</v>
      </c>
      <c r="H176" s="3">
        <v>0</v>
      </c>
      <c r="I176" s="3">
        <v>1025000</v>
      </c>
      <c r="J176" s="3">
        <v>800000</v>
      </c>
      <c r="K176" s="3">
        <v>1325000</v>
      </c>
      <c r="L176" s="3">
        <v>1175000</v>
      </c>
      <c r="M176" s="3">
        <v>1195000</v>
      </c>
      <c r="N176" s="3">
        <f t="shared" si="59"/>
        <v>6303810</v>
      </c>
    </row>
    <row r="177" spans="1:17" ht="16.2" customHeight="1" x14ac:dyDescent="0.3">
      <c r="B177" s="5" t="s">
        <v>44</v>
      </c>
      <c r="C177" s="6"/>
      <c r="D177" s="6"/>
      <c r="E177" s="7">
        <f t="shared" ref="E177:N177" si="60">SUBTOTAL(9,E169:E176)</f>
        <v>2855000</v>
      </c>
      <c r="F177" s="7">
        <f t="shared" si="60"/>
        <v>1146406</v>
      </c>
      <c r="G177" s="7">
        <f t="shared" si="60"/>
        <v>1077807.5900000001</v>
      </c>
      <c r="H177" s="7">
        <f t="shared" si="60"/>
        <v>3080003</v>
      </c>
      <c r="I177" s="7">
        <f t="shared" si="60"/>
        <v>2400000</v>
      </c>
      <c r="J177" s="7">
        <f t="shared" si="60"/>
        <v>3325000</v>
      </c>
      <c r="K177" s="7">
        <f t="shared" si="60"/>
        <v>3575000</v>
      </c>
      <c r="L177" s="7">
        <f t="shared" si="60"/>
        <v>3050000</v>
      </c>
      <c r="M177" s="7">
        <f t="shared" si="60"/>
        <v>2295000</v>
      </c>
      <c r="N177" s="7">
        <f t="shared" si="60"/>
        <v>21439453.59</v>
      </c>
    </row>
    <row r="178" spans="1:17" ht="16.5" customHeight="1" x14ac:dyDescent="0.3">
      <c r="B178" s="2" t="s">
        <v>45</v>
      </c>
      <c r="C178" s="3"/>
      <c r="D178" s="3" t="s">
        <v>46</v>
      </c>
      <c r="E178" s="3">
        <v>200000</v>
      </c>
      <c r="F178" s="3">
        <v>89625</v>
      </c>
      <c r="G178" s="3">
        <v>89006</v>
      </c>
      <c r="H178" s="3">
        <v>200000</v>
      </c>
      <c r="I178" s="3">
        <v>200000</v>
      </c>
      <c r="J178" s="3">
        <v>200000</v>
      </c>
      <c r="K178" s="3">
        <v>200000</v>
      </c>
      <c r="L178" s="3">
        <v>200000</v>
      </c>
      <c r="M178" s="3">
        <v>200000</v>
      </c>
      <c r="N178" s="3">
        <f>SUM(E178:M178)</f>
        <v>1578631</v>
      </c>
    </row>
    <row r="179" spans="1:17" ht="19.5" customHeight="1" x14ac:dyDescent="0.3">
      <c r="B179" s="5" t="s">
        <v>45</v>
      </c>
      <c r="C179" s="6"/>
      <c r="D179" s="6"/>
      <c r="E179" s="7">
        <f t="shared" ref="E179:N179" si="61">SUBTOTAL(9,E178:E178)</f>
        <v>200000</v>
      </c>
      <c r="F179" s="7">
        <f t="shared" si="61"/>
        <v>89625</v>
      </c>
      <c r="G179" s="7">
        <f t="shared" si="61"/>
        <v>89006</v>
      </c>
      <c r="H179" s="7">
        <f t="shared" ref="H179" si="62">SUBTOTAL(9,H178:H178)</f>
        <v>200000</v>
      </c>
      <c r="I179" s="7">
        <f t="shared" si="61"/>
        <v>200000</v>
      </c>
      <c r="J179" s="7">
        <f t="shared" si="61"/>
        <v>200000</v>
      </c>
      <c r="K179" s="7">
        <f t="shared" si="61"/>
        <v>200000</v>
      </c>
      <c r="L179" s="7">
        <f t="shared" si="61"/>
        <v>200000</v>
      </c>
      <c r="M179" s="7">
        <f t="shared" si="61"/>
        <v>200000</v>
      </c>
      <c r="N179" s="7">
        <f t="shared" si="61"/>
        <v>1578631</v>
      </c>
    </row>
    <row r="180" spans="1:17" ht="16.2" x14ac:dyDescent="0.35">
      <c r="B180" s="9" t="s">
        <v>47</v>
      </c>
      <c r="C180" s="10"/>
      <c r="D180" s="10"/>
      <c r="E180" s="10">
        <f t="shared" ref="E180:N180" si="63">SUM(E179,E177,E168,E166,E164,E162,E158)</f>
        <v>6798000</v>
      </c>
      <c r="F180" s="10">
        <f t="shared" ref="F180:G180" si="64">SUM(F179,F177,F168,F166,F164,F162,F158)</f>
        <v>1757168</v>
      </c>
      <c r="G180" s="10">
        <f t="shared" si="64"/>
        <v>1687749.99</v>
      </c>
      <c r="H180" s="10">
        <f t="shared" si="63"/>
        <v>6096004</v>
      </c>
      <c r="I180" s="10">
        <f t="shared" si="63"/>
        <v>6672000</v>
      </c>
      <c r="J180" s="10">
        <f t="shared" si="63"/>
        <v>7580000</v>
      </c>
      <c r="K180" s="10">
        <f t="shared" si="63"/>
        <v>8411000</v>
      </c>
      <c r="L180" s="10">
        <f t="shared" si="63"/>
        <v>6752862</v>
      </c>
      <c r="M180" s="10">
        <f t="shared" si="63"/>
        <v>5869000</v>
      </c>
      <c r="N180" s="10">
        <f t="shared" si="63"/>
        <v>50259020.989999995</v>
      </c>
    </row>
    <row r="181" spans="1:17" ht="16.2" x14ac:dyDescent="0.35">
      <c r="B181" s="13" t="s">
        <v>48</v>
      </c>
      <c r="C181" s="14"/>
      <c r="D181" s="14"/>
      <c r="E181" s="14">
        <f t="shared" ref="E181:N181" si="65">SUM(E180,E44,E131,E156)</f>
        <v>68551018.099999994</v>
      </c>
      <c r="F181" s="14">
        <f t="shared" ref="F181:G181" si="66">SUM(F180,F44,F131,F156)</f>
        <v>48167347.580000006</v>
      </c>
      <c r="G181" s="14">
        <f t="shared" si="66"/>
        <v>44317605.270000003</v>
      </c>
      <c r="H181" s="14">
        <f t="shared" si="65"/>
        <v>67582500.799999997</v>
      </c>
      <c r="I181" s="14">
        <f t="shared" si="65"/>
        <v>79840742.525415123</v>
      </c>
      <c r="J181" s="14">
        <f t="shared" si="65"/>
        <v>85411443.322026432</v>
      </c>
      <c r="K181" s="14">
        <f t="shared" si="65"/>
        <v>85997443.797757313</v>
      </c>
      <c r="L181" s="14">
        <f t="shared" si="65"/>
        <v>81664304.224779725</v>
      </c>
      <c r="M181" s="14">
        <f t="shared" si="65"/>
        <v>74565442.58961086</v>
      </c>
      <c r="N181" s="14">
        <f t="shared" si="65"/>
        <v>623145712.60958946</v>
      </c>
    </row>
    <row r="182" spans="1:17" s="11" customFormat="1" ht="15.6" customHeight="1" x14ac:dyDescent="0.3">
      <c r="A182" s="1"/>
      <c r="B182" s="2" t="s">
        <v>49</v>
      </c>
      <c r="C182" s="3"/>
      <c r="D182" s="3"/>
      <c r="E182" s="3">
        <v>-534215</v>
      </c>
      <c r="F182" s="3">
        <v>-100207</v>
      </c>
      <c r="G182" s="3">
        <f>-100207+30000</f>
        <v>-70207</v>
      </c>
      <c r="H182" s="3">
        <v>-72500</v>
      </c>
      <c r="I182" s="3">
        <v>-1086215</v>
      </c>
      <c r="J182" s="3">
        <v>-906215</v>
      </c>
      <c r="K182" s="3">
        <v>-966215</v>
      </c>
      <c r="L182" s="3">
        <v>-906215</v>
      </c>
      <c r="M182" s="3">
        <v>-666215</v>
      </c>
      <c r="N182" s="3">
        <f t="shared" ref="N182:N187" si="67">SUM(E182:M182)</f>
        <v>-5308204</v>
      </c>
      <c r="O182" s="1"/>
      <c r="Q182" s="31"/>
    </row>
    <row r="183" spans="1:17" s="11" customFormat="1" ht="15.6" customHeight="1" x14ac:dyDescent="0.3">
      <c r="A183" s="1"/>
      <c r="B183" s="12" t="s">
        <v>50</v>
      </c>
      <c r="C183" s="8"/>
      <c r="D183" s="8"/>
      <c r="E183" s="8">
        <v>0</v>
      </c>
      <c r="F183" s="8">
        <v>0</v>
      </c>
      <c r="G183" s="8">
        <v>0</v>
      </c>
      <c r="H183" s="8">
        <v>0</v>
      </c>
      <c r="I183" s="8">
        <f>-3000000+1500000</f>
        <v>-1500000</v>
      </c>
      <c r="J183" s="8">
        <v>-3000000</v>
      </c>
      <c r="K183" s="8">
        <v>-3000000</v>
      </c>
      <c r="L183" s="8">
        <v>-3000000</v>
      </c>
      <c r="M183" s="8">
        <f>-200000-1500000</f>
        <v>-1700000</v>
      </c>
      <c r="N183" s="8">
        <f t="shared" si="67"/>
        <v>-12200000</v>
      </c>
      <c r="O183" s="1"/>
      <c r="Q183" s="31"/>
    </row>
    <row r="184" spans="1:17" s="11" customFormat="1" ht="15.6" customHeight="1" x14ac:dyDescent="0.3">
      <c r="A184" s="1"/>
      <c r="B184" s="2" t="s">
        <v>51</v>
      </c>
      <c r="C184" s="3"/>
      <c r="D184" s="3"/>
      <c r="E184" s="3">
        <v>-1171524.2</v>
      </c>
      <c r="F184" s="3">
        <v>-495495</v>
      </c>
      <c r="G184" s="3">
        <f>-685206.58+200000</f>
        <v>-485206.57999999996</v>
      </c>
      <c r="H184" s="3">
        <v>-500000</v>
      </c>
      <c r="I184" s="3">
        <v>-1171524.2</v>
      </c>
      <c r="J184" s="3">
        <v>-1171524.2</v>
      </c>
      <c r="K184" s="3">
        <v>-1171524.2</v>
      </c>
      <c r="L184" s="3">
        <v>-1171524.2</v>
      </c>
      <c r="M184" s="3">
        <v>-1171524.2</v>
      </c>
      <c r="N184" s="3">
        <f t="shared" si="67"/>
        <v>-8509846.7799999993</v>
      </c>
      <c r="O184" s="1"/>
      <c r="Q184" s="31"/>
    </row>
    <row r="185" spans="1:17" s="11" customFormat="1" ht="15.6" customHeight="1" x14ac:dyDescent="0.3">
      <c r="A185" s="1"/>
      <c r="B185" s="2" t="s">
        <v>52</v>
      </c>
      <c r="C185" s="3"/>
      <c r="D185" s="3"/>
      <c r="E185" s="3">
        <v>-3045962.8</v>
      </c>
      <c r="F185" s="3">
        <v>-2884308</v>
      </c>
      <c r="G185" s="3">
        <f>-2515891.69-30000</f>
        <v>-2545891.69</v>
      </c>
      <c r="H185" s="3">
        <v>-3045963</v>
      </c>
      <c r="I185" s="3">
        <v>-3045962.8</v>
      </c>
      <c r="J185" s="3">
        <v>-3045962.8</v>
      </c>
      <c r="K185" s="3">
        <v>-3045962.8</v>
      </c>
      <c r="L185" s="3">
        <v>-3045962.8</v>
      </c>
      <c r="M185" s="3">
        <v>-3045962.8</v>
      </c>
      <c r="N185" s="3">
        <f t="shared" si="67"/>
        <v>-26751939.490000002</v>
      </c>
      <c r="O185" s="1"/>
      <c r="Q185" s="31"/>
    </row>
    <row r="186" spans="1:17" s="11" customFormat="1" ht="15.6" customHeight="1" x14ac:dyDescent="0.3">
      <c r="A186" s="1"/>
      <c r="B186" s="2" t="s">
        <v>53</v>
      </c>
      <c r="C186" s="3"/>
      <c r="D186" s="3"/>
      <c r="E186" s="3">
        <v>-354268.9</v>
      </c>
      <c r="F186" s="3">
        <v>-117702</v>
      </c>
      <c r="G186" s="3">
        <f>-91359.51-200000</f>
        <v>-291359.51</v>
      </c>
      <c r="H186" s="3">
        <v>-354269</v>
      </c>
      <c r="I186" s="3">
        <v>-354268.9</v>
      </c>
      <c r="J186" s="3">
        <v>-354268.9</v>
      </c>
      <c r="K186" s="3">
        <v>-354268.9</v>
      </c>
      <c r="L186" s="3">
        <v>-354268.9</v>
      </c>
      <c r="M186" s="3">
        <v>-354268.9</v>
      </c>
      <c r="N186" s="3">
        <f t="shared" si="67"/>
        <v>-2888943.9099999997</v>
      </c>
      <c r="O186" s="1"/>
      <c r="Q186" s="31"/>
    </row>
    <row r="187" spans="1:17" s="11" customFormat="1" ht="15.6" customHeight="1" x14ac:dyDescent="0.3">
      <c r="A187" s="1"/>
      <c r="B187" s="2" t="s">
        <v>54</v>
      </c>
      <c r="C187" s="3"/>
      <c r="D187" s="3"/>
      <c r="E187" s="3">
        <v>0</v>
      </c>
      <c r="F187" s="3">
        <v>-11000</v>
      </c>
      <c r="G187" s="3">
        <v>-11000</v>
      </c>
      <c r="H187" s="3">
        <v>0</v>
      </c>
      <c r="I187" s="3">
        <v>0</v>
      </c>
      <c r="J187" s="3">
        <v>0</v>
      </c>
      <c r="K187" s="3">
        <v>0</v>
      </c>
      <c r="L187" s="3">
        <v>0</v>
      </c>
      <c r="M187" s="3">
        <v>0</v>
      </c>
      <c r="N187" s="3">
        <f t="shared" si="67"/>
        <v>-22000</v>
      </c>
      <c r="O187" s="1"/>
      <c r="Q187" s="31"/>
    </row>
    <row r="188" spans="1:17" s="11" customFormat="1" ht="16.2" x14ac:dyDescent="0.3">
      <c r="A188" s="1"/>
      <c r="B188" s="5" t="s">
        <v>55</v>
      </c>
      <c r="C188" s="6"/>
      <c r="D188" s="6"/>
      <c r="E188" s="7">
        <f>SUM(E182:E187)</f>
        <v>-5105970.9000000004</v>
      </c>
      <c r="F188" s="7">
        <f t="shared" ref="F188:G188" si="68">SUM(F182:F187)</f>
        <v>-3608712</v>
      </c>
      <c r="G188" s="7">
        <f t="shared" si="68"/>
        <v>-3403664.7800000003</v>
      </c>
      <c r="H188" s="7">
        <f>SUM(H182:H187)</f>
        <v>-3972732</v>
      </c>
      <c r="I188" s="7">
        <f t="shared" ref="I188:N188" si="69">SUM(I182:I187)</f>
        <v>-7157970.9000000004</v>
      </c>
      <c r="J188" s="7">
        <f t="shared" si="69"/>
        <v>-8477970.9000000004</v>
      </c>
      <c r="K188" s="7">
        <f t="shared" si="69"/>
        <v>-8537970.9000000004</v>
      </c>
      <c r="L188" s="7">
        <f t="shared" si="69"/>
        <v>-8477970.9000000004</v>
      </c>
      <c r="M188" s="7">
        <f t="shared" si="69"/>
        <v>-6937970.9000000004</v>
      </c>
      <c r="N188" s="7">
        <f t="shared" si="69"/>
        <v>-55680934.18</v>
      </c>
      <c r="O188" s="1"/>
      <c r="Q188" s="31"/>
    </row>
    <row r="189" spans="1:17" s="11" customFormat="1" ht="18" x14ac:dyDescent="0.35">
      <c r="A189" s="1"/>
      <c r="B189" s="15" t="s">
        <v>56</v>
      </c>
      <c r="C189" s="16"/>
      <c r="D189" s="16"/>
      <c r="E189" s="16">
        <f t="shared" ref="E189:N189" si="70">SUM(E181,E188)</f>
        <v>63445047.199999996</v>
      </c>
      <c r="F189" s="16">
        <f t="shared" si="70"/>
        <v>44558635.580000006</v>
      </c>
      <c r="G189" s="16">
        <f t="shared" si="70"/>
        <v>40913940.490000002</v>
      </c>
      <c r="H189" s="16">
        <f t="shared" si="70"/>
        <v>63609768.799999997</v>
      </c>
      <c r="I189" s="16">
        <f t="shared" si="70"/>
        <v>72682771.625415117</v>
      </c>
      <c r="J189" s="16">
        <f t="shared" si="70"/>
        <v>76933472.422026426</v>
      </c>
      <c r="K189" s="16">
        <f t="shared" si="70"/>
        <v>77459472.897757307</v>
      </c>
      <c r="L189" s="16">
        <f t="shared" si="70"/>
        <v>73186333.324779719</v>
      </c>
      <c r="M189" s="16">
        <f t="shared" si="70"/>
        <v>67627471.689610854</v>
      </c>
      <c r="N189" s="16">
        <f t="shared" si="70"/>
        <v>567464778.42958951</v>
      </c>
      <c r="O189" s="17"/>
    </row>
  </sheetData>
  <pageMargins left="0.25" right="0.25" top="0.25" bottom="0.25" header="0.05" footer="0.05"/>
  <pageSetup scale="51" fitToHeight="0" orientation="landscape" r:id="rId1"/>
  <rowBreaks count="3" manualBreakCount="3">
    <brk id="65" max="13" man="1"/>
    <brk id="119" max="13" man="1"/>
    <brk id="181" max="13" man="1"/>
  </rowBreaks>
  <ignoredErrors>
    <ignoredError sqref="G31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99FA68A33C724FA894CDAF43EEA7C7" ma:contentTypeVersion="4" ma:contentTypeDescription="Create a new document." ma:contentTypeScope="" ma:versionID="cd836efc06b95b323159f4e65df5269c">
  <xsd:schema xmlns:xsd="http://www.w3.org/2001/XMLSchema" xmlns:xs="http://www.w3.org/2001/XMLSchema" xmlns:p="http://schemas.microsoft.com/office/2006/metadata/properties" xmlns:ns2="c7144278-a604-49a7-8187-9642ca59cb21" xmlns:ns3="01f4ed2e-8ed5-4f01-addc-53cbf92106b5" targetNamespace="http://schemas.microsoft.com/office/2006/metadata/properties" ma:root="true" ma:fieldsID="6b3309542ef24b8ba8d273685ad379e3" ns2:_="" ns3:_="">
    <xsd:import namespace="c7144278-a604-49a7-8187-9642ca59cb21"/>
    <xsd:import namespace="01f4ed2e-8ed5-4f01-addc-53cbf92106b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144278-a604-49a7-8187-9642ca59cb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f4ed2e-8ed5-4f01-addc-53cbf92106b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2D90071-1F1A-410A-9D9B-F5286156C1EC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DE5019-A11A-47A9-92EE-DF855C9DC70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262D150-4B81-4E9D-B612-A11DD8A59F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7144278-a604-49a7-8187-9642ca59cb21"/>
    <ds:schemaRef ds:uri="01f4ed2e-8ed5-4f01-addc-53cbf92106b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Material Capital Projects</vt:lpstr>
      <vt:lpstr>'Material Capital Projects'!Print_Area</vt:lpstr>
      <vt:lpstr>'Material Capital Projects'!Print_Titles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Gurpreet Rallan</dc:creator>
  <cp:lastModifiedBy>Natalie Yeates</cp:lastModifiedBy>
  <cp:lastPrinted>2017-12-14T22:10:25Z</cp:lastPrinted>
  <dcterms:created xsi:type="dcterms:W3CDTF">2017-09-25T22:48:48Z</dcterms:created>
  <dcterms:modified xsi:type="dcterms:W3CDTF">2017-12-14T22:10:26Z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0x0101004E99FA68A33C724FA894CDAF43EEA7C7</vt:lpwstr>
  </property>
</Properties>
</file>