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860" yWindow="-45" windowWidth="21930" windowHeight="12450" tabRatio="714" activeTab="1"/>
  </bookViews>
  <sheets>
    <sheet name="Summary Bill Impact" sheetId="13" r:id="rId1"/>
    <sheet name="Res " sheetId="4" r:id="rId2"/>
    <sheet name="Res recalc 10th percentile " sheetId="31" r:id="rId3"/>
    <sheet name="GS&lt;50" sheetId="15" r:id="rId4"/>
    <sheet name="GS&gt;50 " sheetId="17" r:id="rId5"/>
    <sheet name="USL" sheetId="16" r:id="rId6"/>
    <sheet name="SL " sheetId="18" r:id="rId7"/>
    <sheet name="ST " sheetId="19" r:id="rId8"/>
  </sheets>
  <externalReferences>
    <externalReference r:id="rId9"/>
  </externalReferences>
  <definedNames>
    <definedName name="_xlnm.Print_Area" localSheetId="3">'GS&lt;50'!$A$48:$J$88</definedName>
    <definedName name="_xlnm.Print_Area" localSheetId="4">'GS&gt;50 '!$A$48:$J$86</definedName>
    <definedName name="_xlnm.Print_Area" localSheetId="1">'Res '!$A$49:$J$89</definedName>
    <definedName name="_xlnm.Print_Area" localSheetId="2">'Res recalc 10th percentile '!$A$49:$J$89</definedName>
    <definedName name="_xlnm.Print_Area" localSheetId="6">'SL '!$A$40:$J$72</definedName>
    <definedName name="_xlnm.Print_Area" localSheetId="7">'ST '!$A$45:$J$83</definedName>
    <definedName name="_xlnm.Print_Area" localSheetId="5">USL!$A$43:$J$79</definedName>
    <definedName name="rateclasses">[1]hidden1!$A$1:$A$22</definedName>
  </definedNames>
  <calcPr calcId="145621"/>
</workbook>
</file>

<file path=xl/calcChain.xml><?xml version="1.0" encoding="utf-8"?>
<calcChain xmlns="http://schemas.openxmlformats.org/spreadsheetml/2006/main">
  <c r="J44" i="16" l="1"/>
  <c r="F41" i="18"/>
  <c r="J41" i="18"/>
  <c r="F57" i="19"/>
  <c r="F49" i="18"/>
  <c r="F55" i="16"/>
  <c r="F62" i="15" l="1"/>
  <c r="F63" i="31"/>
  <c r="D23" i="4"/>
  <c r="D20" i="17"/>
  <c r="B6" i="13" l="1"/>
  <c r="G78" i="31"/>
  <c r="D78" i="31"/>
  <c r="C78" i="31"/>
  <c r="F78" i="31" s="1"/>
  <c r="G77" i="31"/>
  <c r="D77" i="31"/>
  <c r="C77" i="31"/>
  <c r="F77" i="31" s="1"/>
  <c r="G76" i="31"/>
  <c r="D76" i="31"/>
  <c r="C76" i="31"/>
  <c r="F76" i="31" s="1"/>
  <c r="F75" i="31"/>
  <c r="D75" i="31"/>
  <c r="C75" i="31"/>
  <c r="G73" i="31"/>
  <c r="F73" i="31"/>
  <c r="D73" i="31"/>
  <c r="C73" i="31"/>
  <c r="F72" i="31"/>
  <c r="C72" i="31"/>
  <c r="F71" i="31"/>
  <c r="C71" i="31"/>
  <c r="F70" i="31"/>
  <c r="C70" i="31"/>
  <c r="F68" i="31"/>
  <c r="C68" i="31"/>
  <c r="F67" i="31"/>
  <c r="C67" i="31"/>
  <c r="G65" i="31"/>
  <c r="F65" i="31"/>
  <c r="D65" i="31"/>
  <c r="C65" i="31"/>
  <c r="G64" i="31"/>
  <c r="F64" i="31"/>
  <c r="E64" i="31"/>
  <c r="G63" i="31"/>
  <c r="E63" i="31"/>
  <c r="F62" i="31"/>
  <c r="H62" i="31" s="1"/>
  <c r="E62" i="31"/>
  <c r="G61" i="31"/>
  <c r="F61" i="31"/>
  <c r="E61" i="31"/>
  <c r="G60" i="31"/>
  <c r="G72" i="31" s="1"/>
  <c r="H72" i="31" s="1"/>
  <c r="D60" i="31"/>
  <c r="D72" i="31" s="1"/>
  <c r="E72" i="31" s="1"/>
  <c r="G58" i="31"/>
  <c r="F58" i="31"/>
  <c r="D58" i="31"/>
  <c r="C58" i="31"/>
  <c r="G57" i="31"/>
  <c r="F57" i="31"/>
  <c r="D57" i="31"/>
  <c r="C57" i="31"/>
  <c r="G56" i="31"/>
  <c r="F56" i="31"/>
  <c r="E56" i="31"/>
  <c r="G55" i="31"/>
  <c r="F55" i="31"/>
  <c r="F88" i="31" s="1"/>
  <c r="D55" i="31"/>
  <c r="C55" i="31"/>
  <c r="C88" i="31" s="1"/>
  <c r="G54" i="31"/>
  <c r="F54" i="31"/>
  <c r="D54" i="31"/>
  <c r="C54" i="31"/>
  <c r="F53" i="31"/>
  <c r="H53" i="31" s="1"/>
  <c r="H87" i="31" s="1"/>
  <c r="C53" i="31"/>
  <c r="B51" i="31"/>
  <c r="J49" i="31"/>
  <c r="F46" i="31"/>
  <c r="F45" i="31"/>
  <c r="F44" i="31"/>
  <c r="D23" i="31"/>
  <c r="C23" i="31"/>
  <c r="C87" i="31" l="1"/>
  <c r="H54" i="31"/>
  <c r="H64" i="31"/>
  <c r="H65" i="31"/>
  <c r="H78" i="31"/>
  <c r="F87" i="31"/>
  <c r="E54" i="31"/>
  <c r="E75" i="31"/>
  <c r="E57" i="31"/>
  <c r="E58" i="31"/>
  <c r="D67" i="31"/>
  <c r="E67" i="31" s="1"/>
  <c r="H77" i="31"/>
  <c r="E55" i="31"/>
  <c r="E88" i="31" s="1"/>
  <c r="H73" i="31"/>
  <c r="D71" i="31"/>
  <c r="E71" i="31" s="1"/>
  <c r="E78" i="31"/>
  <c r="E53" i="31"/>
  <c r="I53" i="31" s="1"/>
  <c r="J53" i="31" s="1"/>
  <c r="H56" i="31"/>
  <c r="I56" i="31" s="1"/>
  <c r="H58" i="31"/>
  <c r="D70" i="31"/>
  <c r="E70" i="31" s="1"/>
  <c r="H76" i="31"/>
  <c r="E77" i="31"/>
  <c r="C60" i="31"/>
  <c r="E60" i="31" s="1"/>
  <c r="H61" i="31"/>
  <c r="I61" i="31" s="1"/>
  <c r="E65" i="31"/>
  <c r="D68" i="31"/>
  <c r="E68" i="31" s="1"/>
  <c r="E73" i="31"/>
  <c r="E76" i="31"/>
  <c r="H57" i="31"/>
  <c r="J57" i="31" s="1"/>
  <c r="I72" i="31"/>
  <c r="J72" i="31" s="1"/>
  <c r="H63" i="31"/>
  <c r="H55" i="31"/>
  <c r="G67" i="31"/>
  <c r="H67" i="31" s="1"/>
  <c r="G68" i="31"/>
  <c r="H68" i="31" s="1"/>
  <c r="G70" i="31"/>
  <c r="H70" i="31" s="1"/>
  <c r="G71" i="31"/>
  <c r="H71" i="31" s="1"/>
  <c r="G75" i="31"/>
  <c r="H75" i="31" s="1"/>
  <c r="I62" i="31"/>
  <c r="I64" i="31"/>
  <c r="J64" i="31" s="1"/>
  <c r="I54" i="31" l="1"/>
  <c r="I78" i="31"/>
  <c r="J78" i="31" s="1"/>
  <c r="I77" i="31"/>
  <c r="J77" i="31" s="1"/>
  <c r="H79" i="31"/>
  <c r="E74" i="31"/>
  <c r="I65" i="31"/>
  <c r="J65" i="31" s="1"/>
  <c r="E87" i="31"/>
  <c r="E89" i="31" s="1"/>
  <c r="H59" i="31"/>
  <c r="E79" i="31"/>
  <c r="I79" i="31" s="1"/>
  <c r="J79" i="31" s="1"/>
  <c r="I57" i="31"/>
  <c r="I76" i="31"/>
  <c r="J76" i="31" s="1"/>
  <c r="I73" i="31"/>
  <c r="J73" i="31" s="1"/>
  <c r="I58" i="31"/>
  <c r="J62" i="31"/>
  <c r="F60" i="31"/>
  <c r="H60" i="31" s="1"/>
  <c r="J58" i="31"/>
  <c r="E59" i="31"/>
  <c r="E66" i="31" s="1"/>
  <c r="E69" i="31" s="1"/>
  <c r="I67" i="31"/>
  <c r="J67" i="31" s="1"/>
  <c r="I71" i="31"/>
  <c r="J71" i="31" s="1"/>
  <c r="I63" i="31"/>
  <c r="J63" i="31" s="1"/>
  <c r="J54" i="31"/>
  <c r="I70" i="31"/>
  <c r="H74" i="31"/>
  <c r="H88" i="31"/>
  <c r="H89" i="31" s="1"/>
  <c r="I55" i="31"/>
  <c r="J55" i="31" s="1"/>
  <c r="J61" i="31"/>
  <c r="I68" i="31"/>
  <c r="J68" i="31" s="1"/>
  <c r="J56" i="31"/>
  <c r="J75" i="31"/>
  <c r="I75" i="31"/>
  <c r="H66" i="31" l="1"/>
  <c r="H69" i="31" s="1"/>
  <c r="H81" i="31" s="1"/>
  <c r="I89" i="31"/>
  <c r="J89" i="31" s="1"/>
  <c r="E81" i="31"/>
  <c r="E82" i="31" s="1"/>
  <c r="I60" i="31"/>
  <c r="J60" i="31" s="1"/>
  <c r="I59" i="31"/>
  <c r="I74" i="31"/>
  <c r="J74" i="31" s="1"/>
  <c r="E83" i="31"/>
  <c r="J70" i="31"/>
  <c r="I66" i="31" l="1"/>
  <c r="J66" i="31" s="1"/>
  <c r="H6" i="13" s="1"/>
  <c r="G6" i="13"/>
  <c r="J59" i="31"/>
  <c r="F6" i="13" s="1"/>
  <c r="E6" i="13"/>
  <c r="E84" i="31"/>
  <c r="I81" i="31"/>
  <c r="J81" i="31" s="1"/>
  <c r="H83" i="31"/>
  <c r="H82" i="31"/>
  <c r="I69" i="31"/>
  <c r="J69" i="31" l="1"/>
  <c r="J6" i="13" s="1"/>
  <c r="I6" i="13"/>
  <c r="H84" i="31"/>
  <c r="I84" i="31" s="1"/>
  <c r="I82" i="31"/>
  <c r="J82" i="31" s="1"/>
  <c r="I83" i="31"/>
  <c r="J83" i="31" s="1"/>
  <c r="J84" i="31" l="1"/>
  <c r="L6" i="13" s="1"/>
  <c r="K6" i="13"/>
  <c r="F60" i="17"/>
  <c r="F61" i="17"/>
  <c r="F63" i="4"/>
  <c r="C52" i="19" l="1"/>
  <c r="F52" i="19"/>
  <c r="F55" i="17"/>
  <c r="F57" i="15"/>
  <c r="G53" i="15"/>
  <c r="F56" i="4" l="1"/>
  <c r="C57" i="4"/>
  <c r="C58" i="4"/>
  <c r="F53" i="15"/>
  <c r="C53" i="15"/>
  <c r="D53" i="15"/>
  <c r="H53" i="15" l="1"/>
  <c r="E53" i="15"/>
  <c r="C73" i="17"/>
  <c r="I53" i="15" l="1"/>
  <c r="J53" i="15" l="1"/>
  <c r="G55" i="15"/>
  <c r="F55" i="15"/>
  <c r="G56" i="4"/>
  <c r="F62" i="4" l="1"/>
  <c r="E56" i="4" l="1"/>
  <c r="H56" i="4" l="1"/>
  <c r="I56" i="4" s="1"/>
  <c r="H55" i="15"/>
  <c r="E55" i="15"/>
  <c r="F56" i="19"/>
  <c r="F55" i="19"/>
  <c r="G55" i="19"/>
  <c r="G56" i="19"/>
  <c r="E55" i="19"/>
  <c r="E56" i="19"/>
  <c r="G70" i="19"/>
  <c r="G69" i="19"/>
  <c r="G67" i="19"/>
  <c r="G62" i="19"/>
  <c r="G61" i="19"/>
  <c r="G58" i="19"/>
  <c r="G57" i="19"/>
  <c r="G54" i="19"/>
  <c r="G65" i="19" s="1"/>
  <c r="G52" i="19"/>
  <c r="G51" i="19"/>
  <c r="G50" i="19"/>
  <c r="D67" i="19"/>
  <c r="D62" i="19"/>
  <c r="D52" i="19"/>
  <c r="D51" i="19"/>
  <c r="G46" i="18"/>
  <c r="G60" i="18"/>
  <c r="G59" i="18"/>
  <c r="G57" i="18"/>
  <c r="G52" i="18"/>
  <c r="G51" i="18"/>
  <c r="G49" i="18"/>
  <c r="G48" i="18"/>
  <c r="G56" i="18" s="1"/>
  <c r="D52" i="18"/>
  <c r="F54" i="16"/>
  <c r="F53" i="16"/>
  <c r="G53" i="16"/>
  <c r="G54" i="16"/>
  <c r="E53" i="16"/>
  <c r="E54" i="16"/>
  <c r="D49" i="16"/>
  <c r="G67" i="16"/>
  <c r="G66" i="16"/>
  <c r="G64" i="16"/>
  <c r="G56" i="16"/>
  <c r="G55" i="16"/>
  <c r="G52" i="16"/>
  <c r="G63" i="16" s="1"/>
  <c r="G50" i="16"/>
  <c r="G49" i="16"/>
  <c r="D50" i="16"/>
  <c r="F59" i="17"/>
  <c r="F58" i="17"/>
  <c r="G58" i="17"/>
  <c r="G59" i="17"/>
  <c r="G60" i="17"/>
  <c r="E58" i="17"/>
  <c r="E59" i="17"/>
  <c r="G53" i="17"/>
  <c r="G73" i="17"/>
  <c r="G72" i="17"/>
  <c r="G70" i="17"/>
  <c r="G65" i="17"/>
  <c r="G64" i="17"/>
  <c r="G61" i="17"/>
  <c r="G57" i="17"/>
  <c r="G67" i="17" s="1"/>
  <c r="G55" i="17"/>
  <c r="G54" i="17"/>
  <c r="D65" i="17"/>
  <c r="D55" i="17"/>
  <c r="D54" i="17"/>
  <c r="E61" i="15"/>
  <c r="E60" i="15"/>
  <c r="G72" i="15"/>
  <c r="G64" i="15"/>
  <c r="G59" i="15"/>
  <c r="G71" i="15" s="1"/>
  <c r="G57" i="15"/>
  <c r="G56" i="15"/>
  <c r="G54" i="15"/>
  <c r="D57" i="15"/>
  <c r="D56" i="15"/>
  <c r="D57" i="4"/>
  <c r="D54" i="4"/>
  <c r="G78" i="4"/>
  <c r="G77" i="4"/>
  <c r="G76" i="4"/>
  <c r="G73" i="4"/>
  <c r="G65" i="4"/>
  <c r="G64" i="4"/>
  <c r="G63" i="4"/>
  <c r="G61" i="4"/>
  <c r="G60" i="4"/>
  <c r="G71" i="4" s="1"/>
  <c r="G58" i="4"/>
  <c r="G57" i="4"/>
  <c r="G54" i="4"/>
  <c r="H54" i="4" s="1"/>
  <c r="G55" i="4"/>
  <c r="D58" i="4"/>
  <c r="F61" i="15"/>
  <c r="F60" i="15"/>
  <c r="G60" i="15"/>
  <c r="G61" i="15"/>
  <c r="G63" i="15"/>
  <c r="G62" i="15"/>
  <c r="F61" i="4"/>
  <c r="G67" i="15" l="1"/>
  <c r="H53" i="16"/>
  <c r="I53" i="16" s="1"/>
  <c r="G62" i="16"/>
  <c r="J56" i="4"/>
  <c r="G69" i="15"/>
  <c r="G70" i="15"/>
  <c r="H60" i="15"/>
  <c r="I60" i="15" s="1"/>
  <c r="G66" i="15"/>
  <c r="H58" i="17"/>
  <c r="I58" i="17" s="1"/>
  <c r="I55" i="15"/>
  <c r="G66" i="19"/>
  <c r="H55" i="19"/>
  <c r="I55" i="19" s="1"/>
  <c r="H59" i="17"/>
  <c r="I59" i="17" s="1"/>
  <c r="G64" i="19"/>
  <c r="G59" i="16"/>
  <c r="G61" i="16"/>
  <c r="G58" i="16"/>
  <c r="G68" i="17"/>
  <c r="G69" i="17"/>
  <c r="G68" i="4"/>
  <c r="G67" i="4"/>
  <c r="G72" i="4"/>
  <c r="G70" i="4"/>
  <c r="G54" i="18"/>
  <c r="G55" i="18"/>
  <c r="H61" i="4"/>
  <c r="H56" i="19"/>
  <c r="I56" i="19" s="1"/>
  <c r="H54" i="16"/>
  <c r="I54" i="16" s="1"/>
  <c r="H61" i="15"/>
  <c r="I61" i="15" s="1"/>
  <c r="H62" i="4"/>
  <c r="E61" i="4"/>
  <c r="E62" i="4"/>
  <c r="E40" i="16"/>
  <c r="E39" i="16"/>
  <c r="E38" i="16"/>
  <c r="J54" i="16" l="1"/>
  <c r="J61" i="15"/>
  <c r="J60" i="15"/>
  <c r="J55" i="15"/>
  <c r="J56" i="19"/>
  <c r="J55" i="19"/>
  <c r="J53" i="16"/>
  <c r="J58" i="17"/>
  <c r="J59" i="17"/>
  <c r="I61" i="4"/>
  <c r="I62" i="4"/>
  <c r="J62" i="4" l="1"/>
  <c r="J61" i="4"/>
  <c r="F58" i="19" l="1"/>
  <c r="F56" i="16"/>
  <c r="E58" i="19" l="1"/>
  <c r="E56" i="16"/>
  <c r="E61" i="17"/>
  <c r="F63" i="15" l="1"/>
  <c r="F64" i="4"/>
  <c r="C65" i="4"/>
  <c r="C23" i="4"/>
  <c r="E64" i="4" l="1"/>
  <c r="E63" i="15"/>
  <c r="F66" i="19" l="1"/>
  <c r="F65" i="19"/>
  <c r="C65" i="19"/>
  <c r="F56" i="18"/>
  <c r="F55" i="18"/>
  <c r="C55" i="18"/>
  <c r="F63" i="16"/>
  <c r="F62" i="16"/>
  <c r="C62" i="16"/>
  <c r="F69" i="17"/>
  <c r="F68" i="17"/>
  <c r="C68" i="17"/>
  <c r="F71" i="15"/>
  <c r="F70" i="15"/>
  <c r="C70" i="15"/>
  <c r="F72" i="4"/>
  <c r="F71" i="4"/>
  <c r="C71" i="4"/>
  <c r="D78" i="4" l="1"/>
  <c r="D77" i="4"/>
  <c r="D76" i="4"/>
  <c r="G59" i="19" l="1"/>
  <c r="D59" i="19"/>
  <c r="F59" i="19"/>
  <c r="C59" i="19"/>
  <c r="D62" i="17"/>
  <c r="G62" i="17"/>
  <c r="F62" i="17"/>
  <c r="C62" i="17"/>
  <c r="C55" i="17"/>
  <c r="C57" i="15"/>
  <c r="F58" i="4"/>
  <c r="H62" i="17" l="1"/>
  <c r="E62" i="17"/>
  <c r="E59" i="19"/>
  <c r="H59" i="19"/>
  <c r="E42" i="19"/>
  <c r="E41" i="19"/>
  <c r="E40" i="19"/>
  <c r="E37" i="18"/>
  <c r="E36" i="18"/>
  <c r="E35" i="18"/>
  <c r="E45" i="17"/>
  <c r="E44" i="17"/>
  <c r="E43" i="17"/>
  <c r="E44" i="15"/>
  <c r="G76" i="15" s="1"/>
  <c r="E45" i="15"/>
  <c r="G77" i="15" s="1"/>
  <c r="E43" i="15"/>
  <c r="G75" i="15" s="1"/>
  <c r="I62" i="17" l="1"/>
  <c r="J62" i="17" s="1"/>
  <c r="I59" i="19"/>
  <c r="J59" i="19" s="1"/>
  <c r="F46" i="4"/>
  <c r="F45" i="4"/>
  <c r="F44" i="4"/>
  <c r="C20" i="17"/>
  <c r="C22" i="15"/>
  <c r="F64" i="19" l="1"/>
  <c r="F54" i="18"/>
  <c r="F61" i="16"/>
  <c r="F67" i="17"/>
  <c r="F69" i="15"/>
  <c r="F73" i="17" l="1"/>
  <c r="D22" i="15"/>
  <c r="F70" i="4" l="1"/>
  <c r="C51" i="19" l="1"/>
  <c r="C56" i="15"/>
  <c r="C50" i="16"/>
  <c r="C54" i="17" l="1"/>
  <c r="F57" i="4"/>
  <c r="F50" i="16" l="1"/>
  <c r="F51" i="19"/>
  <c r="F56" i="15"/>
  <c r="C57" i="17" l="1"/>
  <c r="C54" i="19" s="1"/>
  <c r="C70" i="19" s="1"/>
  <c r="F70" i="19" s="1"/>
  <c r="C60" i="18" l="1"/>
  <c r="F60" i="18" s="1"/>
  <c r="C48" i="18"/>
  <c r="C11" i="13"/>
  <c r="C10" i="13"/>
  <c r="C8" i="13"/>
  <c r="B11" i="13"/>
  <c r="B10" i="13"/>
  <c r="B9" i="13"/>
  <c r="B8" i="13"/>
  <c r="B7" i="13"/>
  <c r="C52" i="16" l="1"/>
  <c r="F52" i="16" s="1"/>
  <c r="D70" i="19" l="1"/>
  <c r="D73" i="17"/>
  <c r="E70" i="19" l="1"/>
  <c r="F69" i="19"/>
  <c r="D69" i="19"/>
  <c r="C69" i="19"/>
  <c r="F67" i="19"/>
  <c r="C67" i="19"/>
  <c r="C66" i="19"/>
  <c r="C64" i="19"/>
  <c r="F62" i="19"/>
  <c r="C62" i="19"/>
  <c r="F61" i="19"/>
  <c r="D61" i="19"/>
  <c r="C61" i="19"/>
  <c r="H58" i="19"/>
  <c r="I58" i="19" s="1"/>
  <c r="J58" i="19" s="1"/>
  <c r="D54" i="19"/>
  <c r="F54" i="19"/>
  <c r="F50" i="19"/>
  <c r="F82" i="19" s="1"/>
  <c r="D50" i="19"/>
  <c r="E51" i="19" s="1"/>
  <c r="C50" i="19"/>
  <c r="C82" i="19" s="1"/>
  <c r="F49" i="19"/>
  <c r="F81" i="19" s="1"/>
  <c r="C49" i="19"/>
  <c r="B47" i="19"/>
  <c r="J45" i="19"/>
  <c r="F42" i="19"/>
  <c r="F41" i="19"/>
  <c r="F40" i="19"/>
  <c r="D61" i="18"/>
  <c r="G61" i="18" s="1"/>
  <c r="D60" i="18"/>
  <c r="C61" i="18"/>
  <c r="F61" i="18" s="1"/>
  <c r="F59" i="18"/>
  <c r="D59" i="18"/>
  <c r="C59" i="18"/>
  <c r="F57" i="18"/>
  <c r="D57" i="18"/>
  <c r="C57" i="18"/>
  <c r="C56" i="18"/>
  <c r="C54" i="18"/>
  <c r="F52" i="18"/>
  <c r="C52" i="18"/>
  <c r="F51" i="18"/>
  <c r="D51" i="18"/>
  <c r="C51" i="18"/>
  <c r="D48" i="18"/>
  <c r="F46" i="18"/>
  <c r="F71" i="18" s="1"/>
  <c r="D46" i="18"/>
  <c r="C46" i="18"/>
  <c r="C71" i="18" s="1"/>
  <c r="F45" i="18"/>
  <c r="F70" i="18" s="1"/>
  <c r="C45" i="18"/>
  <c r="B43" i="18"/>
  <c r="J40" i="18"/>
  <c r="F37" i="18"/>
  <c r="F36" i="18"/>
  <c r="F35" i="18"/>
  <c r="F57" i="17"/>
  <c r="D64" i="17"/>
  <c r="D53" i="17"/>
  <c r="E54" i="17" s="1"/>
  <c r="B50" i="17"/>
  <c r="B51" i="4"/>
  <c r="B50" i="15"/>
  <c r="B46" i="16"/>
  <c r="E73" i="17"/>
  <c r="F72" i="17"/>
  <c r="D72" i="17"/>
  <c r="C72" i="17"/>
  <c r="F70" i="17"/>
  <c r="D70" i="17"/>
  <c r="C70" i="17"/>
  <c r="C69" i="17"/>
  <c r="C67" i="17"/>
  <c r="F65" i="17"/>
  <c r="C65" i="17"/>
  <c r="F64" i="17"/>
  <c r="C64" i="17"/>
  <c r="D57" i="17"/>
  <c r="F53" i="17"/>
  <c r="F85" i="17" s="1"/>
  <c r="C53" i="17"/>
  <c r="C85" i="17" s="1"/>
  <c r="F52" i="17"/>
  <c r="F84" i="17" s="1"/>
  <c r="C52" i="17"/>
  <c r="J48" i="17"/>
  <c r="F45" i="17"/>
  <c r="F44" i="17"/>
  <c r="F43" i="17"/>
  <c r="D68" i="16"/>
  <c r="G68" i="16" s="1"/>
  <c r="D67" i="16"/>
  <c r="C68" i="16"/>
  <c r="F68" i="16" s="1"/>
  <c r="C67" i="16"/>
  <c r="F67" i="16" s="1"/>
  <c r="F66" i="16"/>
  <c r="D66" i="16"/>
  <c r="C66" i="16"/>
  <c r="F64" i="16"/>
  <c r="D64" i="16"/>
  <c r="C64" i="16"/>
  <c r="C63" i="16"/>
  <c r="C61" i="16"/>
  <c r="F59" i="16"/>
  <c r="C59" i="16"/>
  <c r="F58" i="16"/>
  <c r="C58" i="16"/>
  <c r="D52" i="16"/>
  <c r="F49" i="16"/>
  <c r="F78" i="16" s="1"/>
  <c r="C49" i="16"/>
  <c r="C78" i="16" s="1"/>
  <c r="F48" i="16"/>
  <c r="F77" i="16" s="1"/>
  <c r="C48" i="16"/>
  <c r="J43" i="16"/>
  <c r="F40" i="16"/>
  <c r="F39" i="16"/>
  <c r="F38" i="16"/>
  <c r="H64" i="4"/>
  <c r="I64" i="4" s="1"/>
  <c r="D77" i="15"/>
  <c r="C77" i="15"/>
  <c r="F77" i="15" s="1"/>
  <c r="D76" i="15"/>
  <c r="C76" i="15"/>
  <c r="F76" i="15" s="1"/>
  <c r="D75" i="15"/>
  <c r="C75" i="15"/>
  <c r="F74" i="15"/>
  <c r="D74" i="15"/>
  <c r="G74" i="15" s="1"/>
  <c r="C74" i="15"/>
  <c r="F72" i="15"/>
  <c r="D72" i="15"/>
  <c r="C72" i="15"/>
  <c r="C71" i="15"/>
  <c r="C69" i="15"/>
  <c r="F67" i="15"/>
  <c r="C67" i="15"/>
  <c r="F66" i="15"/>
  <c r="C66" i="15"/>
  <c r="D64" i="15"/>
  <c r="D59" i="15"/>
  <c r="F54" i="15"/>
  <c r="F87" i="15" s="1"/>
  <c r="D54" i="15"/>
  <c r="C54" i="15"/>
  <c r="C87" i="15" s="1"/>
  <c r="F52" i="15"/>
  <c r="F86" i="15" s="1"/>
  <c r="C52" i="15"/>
  <c r="J48" i="15"/>
  <c r="F45" i="15"/>
  <c r="F44" i="15"/>
  <c r="F43" i="15"/>
  <c r="E49" i="19" l="1"/>
  <c r="E81" i="19" s="1"/>
  <c r="C81" i="19"/>
  <c r="E45" i="18"/>
  <c r="E70" i="18" s="1"/>
  <c r="C70" i="18"/>
  <c r="E48" i="16"/>
  <c r="E77" i="16" s="1"/>
  <c r="C77" i="16"/>
  <c r="E52" i="17"/>
  <c r="E84" i="17" s="1"/>
  <c r="C84" i="17"/>
  <c r="E52" i="15"/>
  <c r="C86" i="15"/>
  <c r="J64" i="4"/>
  <c r="D69" i="15"/>
  <c r="E69" i="15" s="1"/>
  <c r="D67" i="15"/>
  <c r="D71" i="15"/>
  <c r="E71" i="15" s="1"/>
  <c r="D70" i="15"/>
  <c r="H72" i="17"/>
  <c r="D66" i="19"/>
  <c r="D65" i="19"/>
  <c r="D62" i="16"/>
  <c r="D59" i="16"/>
  <c r="D63" i="16"/>
  <c r="D68" i="17"/>
  <c r="D69" i="17"/>
  <c r="D54" i="18"/>
  <c r="E54" i="18" s="1"/>
  <c r="D56" i="18"/>
  <c r="D55" i="18"/>
  <c r="E55" i="18" s="1"/>
  <c r="H54" i="18"/>
  <c r="H55" i="18"/>
  <c r="H49" i="18"/>
  <c r="H56" i="16"/>
  <c r="I56" i="16" s="1"/>
  <c r="J56" i="16" s="1"/>
  <c r="H61" i="17"/>
  <c r="I61" i="17" s="1"/>
  <c r="J61" i="17" s="1"/>
  <c r="H62" i="15"/>
  <c r="H63" i="15"/>
  <c r="I63" i="15" s="1"/>
  <c r="J63" i="15" s="1"/>
  <c r="F75" i="15"/>
  <c r="F59" i="15" s="1"/>
  <c r="C59" i="15"/>
  <c r="E59" i="15" s="1"/>
  <c r="E60" i="18"/>
  <c r="H57" i="18"/>
  <c r="H69" i="19"/>
  <c r="H51" i="19"/>
  <c r="E50" i="19"/>
  <c r="E82" i="19" s="1"/>
  <c r="E67" i="19"/>
  <c r="E69" i="19"/>
  <c r="H52" i="19"/>
  <c r="E48" i="18"/>
  <c r="H59" i="18"/>
  <c r="H51" i="18"/>
  <c r="H45" i="18"/>
  <c r="E50" i="16"/>
  <c r="H66" i="16"/>
  <c r="H57" i="17"/>
  <c r="E70" i="17"/>
  <c r="E56" i="15"/>
  <c r="H74" i="15"/>
  <c r="H61" i="18"/>
  <c r="J61" i="18" s="1"/>
  <c r="H67" i="19"/>
  <c r="H72" i="15"/>
  <c r="E61" i="18"/>
  <c r="E54" i="15"/>
  <c r="H52" i="15"/>
  <c r="E72" i="15"/>
  <c r="H60" i="18"/>
  <c r="H70" i="19"/>
  <c r="H71" i="19" s="1"/>
  <c r="F48" i="18"/>
  <c r="E49" i="18"/>
  <c r="E57" i="17"/>
  <c r="D66" i="15"/>
  <c r="H62" i="19"/>
  <c r="E61" i="19"/>
  <c r="E71" i="19"/>
  <c r="E57" i="19"/>
  <c r="D64" i="19"/>
  <c r="H54" i="19"/>
  <c r="E54" i="19"/>
  <c r="E62" i="19"/>
  <c r="H49" i="19"/>
  <c r="H81" i="19" s="1"/>
  <c r="H61" i="19"/>
  <c r="H52" i="18"/>
  <c r="E52" i="18"/>
  <c r="E59" i="18"/>
  <c r="E46" i="18"/>
  <c r="E71" i="18" s="1"/>
  <c r="E57" i="18"/>
  <c r="E51" i="18"/>
  <c r="H64" i="17"/>
  <c r="D67" i="17"/>
  <c r="E74" i="17"/>
  <c r="H52" i="17"/>
  <c r="E65" i="17"/>
  <c r="H65" i="17"/>
  <c r="E60" i="17"/>
  <c r="E53" i="17"/>
  <c r="E85" i="17" s="1"/>
  <c r="H73" i="17"/>
  <c r="E72" i="17"/>
  <c r="E64" i="17"/>
  <c r="H70" i="17"/>
  <c r="E68" i="16"/>
  <c r="H50" i="16"/>
  <c r="J50" i="16" s="1"/>
  <c r="E55" i="16"/>
  <c r="H64" i="16"/>
  <c r="E64" i="16"/>
  <c r="E67" i="16"/>
  <c r="H48" i="16"/>
  <c r="H77" i="16" s="1"/>
  <c r="D61" i="16"/>
  <c r="D58" i="16"/>
  <c r="E66" i="16"/>
  <c r="E52" i="16"/>
  <c r="H68" i="16"/>
  <c r="E49" i="16"/>
  <c r="E78" i="16" s="1"/>
  <c r="E75" i="15"/>
  <c r="E77" i="15"/>
  <c r="E74" i="15"/>
  <c r="E76" i="15"/>
  <c r="F64" i="15"/>
  <c r="H64" i="15" s="1"/>
  <c r="H76" i="15"/>
  <c r="H77" i="15"/>
  <c r="C64" i="15"/>
  <c r="E64" i="15" s="1"/>
  <c r="H86" i="15" l="1"/>
  <c r="E86" i="15"/>
  <c r="E65" i="19"/>
  <c r="I72" i="17"/>
  <c r="J72" i="17" s="1"/>
  <c r="E83" i="19"/>
  <c r="E72" i="18"/>
  <c r="E79" i="16"/>
  <c r="E86" i="17"/>
  <c r="E87" i="15"/>
  <c r="I45" i="18"/>
  <c r="J45" i="18" s="1"/>
  <c r="H70" i="18"/>
  <c r="I52" i="17"/>
  <c r="J52" i="17" s="1"/>
  <c r="H84" i="17"/>
  <c r="I52" i="15"/>
  <c r="J52" i="15" s="1"/>
  <c r="H56" i="18"/>
  <c r="H60" i="17"/>
  <c r="I60" i="17" s="1"/>
  <c r="J60" i="17" s="1"/>
  <c r="I51" i="19"/>
  <c r="J51" i="19"/>
  <c r="I67" i="19"/>
  <c r="J67" i="19" s="1"/>
  <c r="H62" i="18"/>
  <c r="I55" i="18"/>
  <c r="J55" i="18" s="1"/>
  <c r="E62" i="16"/>
  <c r="H62" i="16"/>
  <c r="I72" i="15"/>
  <c r="J72" i="15" s="1"/>
  <c r="H67" i="15"/>
  <c r="E52" i="19"/>
  <c r="E53" i="19" s="1"/>
  <c r="I50" i="16"/>
  <c r="H50" i="19"/>
  <c r="H82" i="19" s="1"/>
  <c r="I69" i="19"/>
  <c r="J69" i="19" s="1"/>
  <c r="I57" i="18"/>
  <c r="J57" i="18" s="1"/>
  <c r="H49" i="16"/>
  <c r="H78" i="16" s="1"/>
  <c r="I59" i="18"/>
  <c r="J59" i="18" s="1"/>
  <c r="I51" i="18"/>
  <c r="J51" i="18" s="1"/>
  <c r="I54" i="18"/>
  <c r="J54" i="18" s="1"/>
  <c r="I61" i="18"/>
  <c r="H46" i="18"/>
  <c r="H71" i="18" s="1"/>
  <c r="I66" i="16"/>
  <c r="J66" i="16" s="1"/>
  <c r="H53" i="17"/>
  <c r="H85" i="17" s="1"/>
  <c r="H54" i="17"/>
  <c r="I74" i="15"/>
  <c r="J74" i="15" s="1"/>
  <c r="H54" i="15"/>
  <c r="H87" i="15" s="1"/>
  <c r="H56" i="15"/>
  <c r="E56" i="18"/>
  <c r="H48" i="18"/>
  <c r="I48" i="18" s="1"/>
  <c r="H59" i="15"/>
  <c r="I59" i="15" s="1"/>
  <c r="J59" i="15" s="1"/>
  <c r="E62" i="18"/>
  <c r="E66" i="15"/>
  <c r="I70" i="19"/>
  <c r="J70" i="19" s="1"/>
  <c r="I52" i="18"/>
  <c r="J52" i="18" s="1"/>
  <c r="I62" i="19"/>
  <c r="J62" i="19" s="1"/>
  <c r="H66" i="15"/>
  <c r="H57" i="19"/>
  <c r="I57" i="19" s="1"/>
  <c r="J57" i="19" s="1"/>
  <c r="I54" i="19"/>
  <c r="J54" i="19" s="1"/>
  <c r="I61" i="19"/>
  <c r="I71" i="19"/>
  <c r="J71" i="19" s="1"/>
  <c r="I49" i="19"/>
  <c r="J49" i="19" s="1"/>
  <c r="H65" i="19"/>
  <c r="E64" i="19"/>
  <c r="E47" i="18"/>
  <c r="I60" i="18"/>
  <c r="J60" i="18" s="1"/>
  <c r="I49" i="18"/>
  <c r="J49" i="18" s="1"/>
  <c r="E67" i="17"/>
  <c r="I64" i="17"/>
  <c r="I57" i="17"/>
  <c r="J57" i="17" s="1"/>
  <c r="H55" i="17"/>
  <c r="E55" i="17"/>
  <c r="E56" i="17" s="1"/>
  <c r="I70" i="17"/>
  <c r="J70" i="17" s="1"/>
  <c r="I73" i="17"/>
  <c r="J73" i="17" s="1"/>
  <c r="H74" i="17"/>
  <c r="I65" i="17"/>
  <c r="J65" i="17" s="1"/>
  <c r="E69" i="16"/>
  <c r="E51" i="16"/>
  <c r="E57" i="16" s="1"/>
  <c r="I48" i="16"/>
  <c r="E61" i="16"/>
  <c r="I68" i="16"/>
  <c r="J68" i="16"/>
  <c r="I64" i="16"/>
  <c r="J64" i="16" s="1"/>
  <c r="E58" i="16"/>
  <c r="H58" i="16"/>
  <c r="H52" i="16"/>
  <c r="H67" i="16"/>
  <c r="H55" i="16"/>
  <c r="E78" i="15"/>
  <c r="I64" i="15"/>
  <c r="J64" i="15" s="1"/>
  <c r="I77" i="15"/>
  <c r="J77" i="15" s="1"/>
  <c r="I76" i="15"/>
  <c r="J76" i="15" s="1"/>
  <c r="E62" i="15"/>
  <c r="I62" i="15" s="1"/>
  <c r="J62" i="15" s="1"/>
  <c r="H75" i="15"/>
  <c r="E57" i="15"/>
  <c r="E58" i="15" s="1"/>
  <c r="H57" i="15"/>
  <c r="H69" i="15"/>
  <c r="E88" i="15" l="1"/>
  <c r="I54" i="15"/>
  <c r="J54" i="15" s="1"/>
  <c r="H53" i="19"/>
  <c r="H60" i="19" s="1"/>
  <c r="J48" i="18"/>
  <c r="I46" i="18"/>
  <c r="J46" i="18" s="1"/>
  <c r="I49" i="16"/>
  <c r="J49" i="16" s="1"/>
  <c r="J48" i="16"/>
  <c r="I53" i="17"/>
  <c r="I52" i="19"/>
  <c r="J52" i="19" s="1"/>
  <c r="H69" i="17"/>
  <c r="E67" i="15"/>
  <c r="E60" i="19"/>
  <c r="E63" i="19" s="1"/>
  <c r="H67" i="17"/>
  <c r="I67" i="17" s="1"/>
  <c r="J67" i="17" s="1"/>
  <c r="I62" i="16"/>
  <c r="J62" i="16" s="1"/>
  <c r="E68" i="17"/>
  <c r="H68" i="17"/>
  <c r="H70" i="15"/>
  <c r="E70" i="15"/>
  <c r="E73" i="15" s="1"/>
  <c r="I65" i="19"/>
  <c r="J65" i="19" s="1"/>
  <c r="I62" i="18"/>
  <c r="J62" i="18" s="1"/>
  <c r="I54" i="17"/>
  <c r="J54" i="17"/>
  <c r="I56" i="15"/>
  <c r="J56" i="15"/>
  <c r="I50" i="19"/>
  <c r="E58" i="18"/>
  <c r="H51" i="16"/>
  <c r="H57" i="16" s="1"/>
  <c r="H47" i="18"/>
  <c r="H50" i="18" s="1"/>
  <c r="I56" i="18"/>
  <c r="J56" i="18" s="1"/>
  <c r="H58" i="18"/>
  <c r="E66" i="19"/>
  <c r="E63" i="16"/>
  <c r="E69" i="17"/>
  <c r="H71" i="15"/>
  <c r="I71" i="15" s="1"/>
  <c r="J71" i="15" s="1"/>
  <c r="I66" i="15"/>
  <c r="J66" i="15" s="1"/>
  <c r="J61" i="19"/>
  <c r="J64" i="17"/>
  <c r="H64" i="19"/>
  <c r="E50" i="18"/>
  <c r="E63" i="17"/>
  <c r="I74" i="17"/>
  <c r="J74" i="17" s="1"/>
  <c r="I55" i="17"/>
  <c r="J55" i="17" s="1"/>
  <c r="H56" i="17"/>
  <c r="H61" i="16"/>
  <c r="I55" i="16"/>
  <c r="J55" i="16" s="1"/>
  <c r="E59" i="16"/>
  <c r="E60" i="16" s="1"/>
  <c r="H59" i="16"/>
  <c r="H69" i="16"/>
  <c r="I67" i="16"/>
  <c r="J67" i="16" s="1"/>
  <c r="I52" i="16"/>
  <c r="I58" i="16"/>
  <c r="E65" i="15"/>
  <c r="I69" i="15"/>
  <c r="J69" i="15" s="1"/>
  <c r="I57" i="15"/>
  <c r="J57" i="15" s="1"/>
  <c r="H58" i="15"/>
  <c r="H78" i="15"/>
  <c r="I75" i="15"/>
  <c r="J75" i="15" s="1"/>
  <c r="I53" i="19" l="1"/>
  <c r="H83" i="19"/>
  <c r="I83" i="19" s="1"/>
  <c r="J83" i="19" s="1"/>
  <c r="H72" i="18"/>
  <c r="I72" i="18" s="1"/>
  <c r="J72" i="18" s="1"/>
  <c r="H79" i="16"/>
  <c r="I79" i="16" s="1"/>
  <c r="J79" i="16" s="1"/>
  <c r="H86" i="17"/>
  <c r="I86" i="17" s="1"/>
  <c r="J86" i="17" s="1"/>
  <c r="H88" i="15"/>
  <c r="I88" i="15" s="1"/>
  <c r="J88" i="15" s="1"/>
  <c r="J50" i="19"/>
  <c r="J52" i="16"/>
  <c r="J53" i="17"/>
  <c r="E68" i="15"/>
  <c r="E80" i="15" s="1"/>
  <c r="E82" i="15" s="1"/>
  <c r="I67" i="15"/>
  <c r="J67" i="15" s="1"/>
  <c r="I69" i="17"/>
  <c r="J69" i="17" s="1"/>
  <c r="H71" i="17"/>
  <c r="I68" i="17"/>
  <c r="J68" i="17" s="1"/>
  <c r="I70" i="15"/>
  <c r="J70" i="15" s="1"/>
  <c r="I51" i="16"/>
  <c r="J51" i="16" s="1"/>
  <c r="I47" i="18"/>
  <c r="E10" i="13" s="1"/>
  <c r="E68" i="19"/>
  <c r="E73" i="19" s="1"/>
  <c r="I58" i="18"/>
  <c r="J58" i="18" s="1"/>
  <c r="E65" i="16"/>
  <c r="E71" i="16" s="1"/>
  <c r="E71" i="17"/>
  <c r="H73" i="15"/>
  <c r="H66" i="19"/>
  <c r="I66" i="19" s="1"/>
  <c r="J66" i="19" s="1"/>
  <c r="H63" i="16"/>
  <c r="I63" i="16" s="1"/>
  <c r="J63" i="16" s="1"/>
  <c r="J58" i="16"/>
  <c r="J53" i="19"/>
  <c r="E11" i="13"/>
  <c r="H63" i="19"/>
  <c r="I60" i="19"/>
  <c r="I64" i="19"/>
  <c r="H53" i="18"/>
  <c r="H64" i="18" s="1"/>
  <c r="I50" i="18"/>
  <c r="E53" i="18"/>
  <c r="E64" i="18" s="1"/>
  <c r="E66" i="17"/>
  <c r="I56" i="17"/>
  <c r="H63" i="17"/>
  <c r="I69" i="16"/>
  <c r="J69" i="16" s="1"/>
  <c r="I61" i="16"/>
  <c r="H60" i="16"/>
  <c r="I57" i="16"/>
  <c r="I59" i="16"/>
  <c r="I78" i="15"/>
  <c r="J78" i="15" s="1"/>
  <c r="H65" i="15"/>
  <c r="I58" i="15"/>
  <c r="E81" i="15" l="1"/>
  <c r="E83" i="15" s="1"/>
  <c r="I71" i="17"/>
  <c r="J71" i="17" s="1"/>
  <c r="I65" i="16"/>
  <c r="E65" i="18"/>
  <c r="E66" i="18"/>
  <c r="E72" i="16"/>
  <c r="E73" i="16"/>
  <c r="I73" i="15"/>
  <c r="J73" i="15" s="1"/>
  <c r="E74" i="19"/>
  <c r="E75" i="19"/>
  <c r="E76" i="17"/>
  <c r="E77" i="17" s="1"/>
  <c r="H65" i="18"/>
  <c r="I64" i="18"/>
  <c r="J64" i="18" s="1"/>
  <c r="H66" i="18"/>
  <c r="J47" i="18"/>
  <c r="F10" i="13" s="1"/>
  <c r="E9" i="13"/>
  <c r="I68" i="19"/>
  <c r="H68" i="19"/>
  <c r="H73" i="19" s="1"/>
  <c r="I73" i="19" s="1"/>
  <c r="J73" i="19" s="1"/>
  <c r="H65" i="16"/>
  <c r="H71" i="16" s="1"/>
  <c r="F11" i="13"/>
  <c r="F9" i="13"/>
  <c r="J59" i="16"/>
  <c r="J56" i="17"/>
  <c r="E8" i="13"/>
  <c r="J58" i="15"/>
  <c r="E7" i="13"/>
  <c r="J60" i="19"/>
  <c r="H11" i="13" s="1"/>
  <c r="G11" i="13"/>
  <c r="J50" i="18"/>
  <c r="H10" i="13" s="1"/>
  <c r="G10" i="13"/>
  <c r="J57" i="16"/>
  <c r="H9" i="13" s="1"/>
  <c r="G9" i="13"/>
  <c r="J64" i="19"/>
  <c r="I63" i="19"/>
  <c r="I11" i="13" s="1"/>
  <c r="I53" i="18"/>
  <c r="I63" i="17"/>
  <c r="H66" i="17"/>
  <c r="H76" i="17" s="1"/>
  <c r="I60" i="16"/>
  <c r="J61" i="16"/>
  <c r="H68" i="15"/>
  <c r="H80" i="15" s="1"/>
  <c r="I65" i="15"/>
  <c r="E74" i="16" l="1"/>
  <c r="E67" i="18"/>
  <c r="I65" i="18"/>
  <c r="J65" i="18" s="1"/>
  <c r="I66" i="18"/>
  <c r="J66" i="18" s="1"/>
  <c r="E76" i="19"/>
  <c r="I76" i="17"/>
  <c r="J76" i="17" s="1"/>
  <c r="E78" i="17"/>
  <c r="E79" i="17" s="1"/>
  <c r="H78" i="17"/>
  <c r="H77" i="17"/>
  <c r="I77" i="17" s="1"/>
  <c r="J77" i="17" s="1"/>
  <c r="H67" i="18"/>
  <c r="H81" i="15"/>
  <c r="I81" i="15" s="1"/>
  <c r="J81" i="15" s="1"/>
  <c r="I80" i="15"/>
  <c r="J80" i="15" s="1"/>
  <c r="H82" i="15"/>
  <c r="I82" i="15" s="1"/>
  <c r="H74" i="19"/>
  <c r="I74" i="19" s="1"/>
  <c r="J74" i="19" s="1"/>
  <c r="H75" i="19"/>
  <c r="I75" i="19" s="1"/>
  <c r="J75" i="19" s="1"/>
  <c r="I71" i="16"/>
  <c r="J71" i="16" s="1"/>
  <c r="H72" i="16"/>
  <c r="H73" i="16"/>
  <c r="I73" i="16" s="1"/>
  <c r="J73" i="16" s="1"/>
  <c r="J68" i="19"/>
  <c r="J65" i="16"/>
  <c r="F8" i="13"/>
  <c r="F7" i="13"/>
  <c r="J63" i="19"/>
  <c r="J11" i="13" s="1"/>
  <c r="J53" i="18"/>
  <c r="J10" i="13" s="1"/>
  <c r="I10" i="13"/>
  <c r="J60" i="16"/>
  <c r="J9" i="13" s="1"/>
  <c r="I9" i="13"/>
  <c r="J63" i="17"/>
  <c r="H8" i="13" s="1"/>
  <c r="G8" i="13"/>
  <c r="J65" i="15"/>
  <c r="H7" i="13" s="1"/>
  <c r="G7" i="13"/>
  <c r="I66" i="17"/>
  <c r="I68" i="15"/>
  <c r="I67" i="18" l="1"/>
  <c r="K10" i="13" s="1"/>
  <c r="H79" i="17"/>
  <c r="I79" i="17" s="1"/>
  <c r="K8" i="13" s="1"/>
  <c r="I78" i="17"/>
  <c r="J78" i="17" s="1"/>
  <c r="H74" i="16"/>
  <c r="I74" i="16" s="1"/>
  <c r="K9" i="13" s="1"/>
  <c r="H76" i="19"/>
  <c r="I76" i="19" s="1"/>
  <c r="K11" i="13" s="1"/>
  <c r="J82" i="15"/>
  <c r="H83" i="15"/>
  <c r="I72" i="16"/>
  <c r="J72" i="16" s="1"/>
  <c r="J66" i="17"/>
  <c r="J8" i="13" s="1"/>
  <c r="I8" i="13"/>
  <c r="J68" i="15"/>
  <c r="J7" i="13" s="1"/>
  <c r="I7" i="13"/>
  <c r="J67" i="18" l="1"/>
  <c r="J79" i="17"/>
  <c r="J76" i="19"/>
  <c r="I83" i="15"/>
  <c r="K7" i="13" s="1"/>
  <c r="J74" i="16"/>
  <c r="L9" i="13" l="1"/>
  <c r="L10" i="13"/>
  <c r="L8" i="13"/>
  <c r="L11" i="13"/>
  <c r="J83" i="15"/>
  <c r="L7" i="13" l="1"/>
  <c r="D65" i="4" l="1"/>
  <c r="E65" i="4" s="1"/>
  <c r="E57" i="4" l="1"/>
  <c r="C70" i="4"/>
  <c r="D75" i="4"/>
  <c r="G75" i="4" s="1"/>
  <c r="D73" i="4"/>
  <c r="D60" i="4"/>
  <c r="H57" i="4"/>
  <c r="D55" i="4"/>
  <c r="C78" i="4"/>
  <c r="C77" i="4"/>
  <c r="C76" i="4"/>
  <c r="F73" i="4"/>
  <c r="F75" i="4"/>
  <c r="C75" i="4"/>
  <c r="C73" i="4"/>
  <c r="C72" i="4"/>
  <c r="F68" i="4"/>
  <c r="F67" i="4"/>
  <c r="C68" i="4"/>
  <c r="C67" i="4"/>
  <c r="C54" i="4"/>
  <c r="E54" i="4" s="1"/>
  <c r="F55" i="4"/>
  <c r="F88" i="4" s="1"/>
  <c r="C55" i="4"/>
  <c r="C88" i="4" s="1"/>
  <c r="F53" i="4"/>
  <c r="C53" i="4"/>
  <c r="F65" i="4"/>
  <c r="F87" i="4" l="1"/>
  <c r="H53" i="4"/>
  <c r="E53" i="4"/>
  <c r="C87" i="4"/>
  <c r="D72" i="4"/>
  <c r="D68" i="4"/>
  <c r="H73" i="4"/>
  <c r="D71" i="4"/>
  <c r="E71" i="4" s="1"/>
  <c r="F76" i="4"/>
  <c r="C60" i="4"/>
  <c r="E78" i="4"/>
  <c r="F78" i="4"/>
  <c r="E77" i="4"/>
  <c r="F77" i="4"/>
  <c r="I57" i="4"/>
  <c r="E75" i="4"/>
  <c r="E55" i="4"/>
  <c r="E76" i="4"/>
  <c r="I54" i="4"/>
  <c r="D67" i="4"/>
  <c r="H67" i="4" s="1"/>
  <c r="D70" i="4"/>
  <c r="H55" i="4"/>
  <c r="H88" i="4" s="1"/>
  <c r="H75" i="4"/>
  <c r="E73" i="4"/>
  <c r="H65" i="4"/>
  <c r="E87" i="4" l="1"/>
  <c r="H87" i="4"/>
  <c r="E88" i="4"/>
  <c r="J54" i="4"/>
  <c r="J57" i="4"/>
  <c r="I53" i="4"/>
  <c r="J53" i="4" s="1"/>
  <c r="H71" i="4"/>
  <c r="E79" i="4"/>
  <c r="E67" i="4"/>
  <c r="I67" i="4" s="1"/>
  <c r="J67" i="4" s="1"/>
  <c r="E72" i="4"/>
  <c r="I75" i="4"/>
  <c r="J75" i="4" s="1"/>
  <c r="H58" i="4"/>
  <c r="H59" i="4" s="1"/>
  <c r="E58" i="4"/>
  <c r="E59" i="4" s="1"/>
  <c r="I73" i="4"/>
  <c r="J73" i="4" s="1"/>
  <c r="E70" i="4"/>
  <c r="E60" i="4"/>
  <c r="F60" i="4"/>
  <c r="E68" i="4"/>
  <c r="I55" i="4"/>
  <c r="J55" i="4" s="1"/>
  <c r="I65" i="4"/>
  <c r="J65" i="4" s="1"/>
  <c r="H78" i="4"/>
  <c r="I78" i="4" s="1"/>
  <c r="J78" i="4" s="1"/>
  <c r="H76" i="4"/>
  <c r="B5" i="13"/>
  <c r="J49" i="4"/>
  <c r="E89" i="4" l="1"/>
  <c r="H89" i="4"/>
  <c r="I59" i="4"/>
  <c r="I71" i="4"/>
  <c r="J71" i="4" s="1"/>
  <c r="E74" i="4"/>
  <c r="H72" i="4"/>
  <c r="I72" i="4" s="1"/>
  <c r="J72" i="4" s="1"/>
  <c r="H70" i="4"/>
  <c r="I58" i="4"/>
  <c r="H68" i="4"/>
  <c r="E63" i="4"/>
  <c r="E66" i="4" s="1"/>
  <c r="E69" i="4" s="1"/>
  <c r="I76" i="4"/>
  <c r="J76" i="4" s="1"/>
  <c r="H60" i="4"/>
  <c r="H77" i="4"/>
  <c r="I77" i="4" s="1"/>
  <c r="J77" i="4" s="1"/>
  <c r="I89" i="4" l="1"/>
  <c r="J89" i="4" s="1"/>
  <c r="J58" i="4"/>
  <c r="E81" i="4"/>
  <c r="H79" i="4"/>
  <c r="I79" i="4" s="1"/>
  <c r="I70" i="4"/>
  <c r="H74" i="4"/>
  <c r="J59" i="4"/>
  <c r="E5" i="13"/>
  <c r="H63" i="4"/>
  <c r="H66" i="4" s="1"/>
  <c r="I68" i="4"/>
  <c r="I60" i="4"/>
  <c r="J60" i="4" s="1"/>
  <c r="I74" i="4" l="1"/>
  <c r="J74" i="4" s="1"/>
  <c r="E83" i="4"/>
  <c r="J70" i="4"/>
  <c r="F5" i="13"/>
  <c r="E82" i="4"/>
  <c r="J68" i="4"/>
  <c r="J79" i="4"/>
  <c r="I63" i="4"/>
  <c r="H69" i="4"/>
  <c r="H81" i="4" s="1"/>
  <c r="J63" i="4" l="1"/>
  <c r="E84" i="4"/>
  <c r="I81" i="4"/>
  <c r="H83" i="4"/>
  <c r="I83" i="4" s="1"/>
  <c r="H82" i="4"/>
  <c r="I82" i="4" s="1"/>
  <c r="I66" i="4"/>
  <c r="J66" i="4" s="1"/>
  <c r="I69" i="4"/>
  <c r="J83" i="4" l="1"/>
  <c r="H84" i="4"/>
  <c r="H5" i="13"/>
  <c r="G5" i="13"/>
  <c r="J69" i="4"/>
  <c r="J5" i="13" s="1"/>
  <c r="I5" i="13"/>
  <c r="J81" i="4"/>
  <c r="I84" i="4" l="1"/>
  <c r="J84" i="4" s="1"/>
  <c r="J82" i="4"/>
  <c r="L5" i="13" l="1"/>
  <c r="K5" i="13"/>
</calcChain>
</file>

<file path=xl/sharedStrings.xml><?xml version="1.0" encoding="utf-8"?>
<sst xmlns="http://schemas.openxmlformats.org/spreadsheetml/2006/main" count="784" uniqueCount="142">
  <si>
    <t>Residential</t>
  </si>
  <si>
    <t>Monthly Rates and Charges</t>
  </si>
  <si>
    <t>Current Rate</t>
  </si>
  <si>
    <t>Service Charge</t>
  </si>
  <si>
    <t>Service Charge Rate Rider(s)</t>
  </si>
  <si>
    <t>Distribution Volumetric Rate</t>
  </si>
  <si>
    <t>Retail Transmission Rate – Network Service Rate</t>
  </si>
  <si>
    <t>Retail Transmission Rate – Line and Transformation Connection Service Rate</t>
  </si>
  <si>
    <t xml:space="preserve">Wholesale Market Service Rate </t>
  </si>
  <si>
    <t>Rural Rate Protection Charge</t>
  </si>
  <si>
    <t>Standard Supply Service – Administration Charge (if applicable)</t>
  </si>
  <si>
    <t>Debt Retirement Charge (DRC)</t>
  </si>
  <si>
    <t>Loss Factor</t>
  </si>
  <si>
    <t>Consumption</t>
  </si>
  <si>
    <t>kWh</t>
  </si>
  <si>
    <t>kW</t>
  </si>
  <si>
    <t>Current Loss Factor</t>
  </si>
  <si>
    <t>RPP Tier One</t>
  </si>
  <si>
    <t>Load Factor</t>
  </si>
  <si>
    <t>Proposed Loss Factor</t>
  </si>
  <si>
    <t>Volume</t>
  </si>
  <si>
    <t>HST</t>
  </si>
  <si>
    <t>RATE CLASS</t>
  </si>
  <si>
    <t>GENERAL SERVICE 50 to 4,999 KW (Non-RPP)</t>
  </si>
  <si>
    <t>STREET LIGHTING (Non-RPP)</t>
  </si>
  <si>
    <t>Sentinel Lights</t>
  </si>
  <si>
    <t>Customer Class</t>
  </si>
  <si>
    <t>$ Change</t>
  </si>
  <si>
    <t>% Change</t>
  </si>
  <si>
    <t>Non-RPP</t>
  </si>
  <si>
    <t>GS&lt;50 kW</t>
  </si>
  <si>
    <t>GS&gt;50 kW</t>
  </si>
  <si>
    <t>Unmetered Scattered Load</t>
  </si>
  <si>
    <t>Street Lighting</t>
  </si>
  <si>
    <t>Notes:</t>
  </si>
  <si>
    <t>RPP Tier 1</t>
  </si>
  <si>
    <t>RPP Tier 2</t>
  </si>
  <si>
    <t>RPP Off</t>
  </si>
  <si>
    <t>RPP Mid</t>
  </si>
  <si>
    <t>RPP On</t>
  </si>
  <si>
    <t>RPP TOU</t>
  </si>
  <si>
    <t>RPP Tier</t>
  </si>
  <si>
    <t>SMEC</t>
  </si>
  <si>
    <t>Current Board-Approved</t>
  </si>
  <si>
    <t>Proposed</t>
  </si>
  <si>
    <t>Impact</t>
  </si>
  <si>
    <t>Rate</t>
  </si>
  <si>
    <t>Charge</t>
  </si>
  <si>
    <t>($)</t>
  </si>
  <si>
    <t>Monthly Service Charge</t>
  </si>
  <si>
    <t>Sub-Total A (excluding pass through)</t>
  </si>
  <si>
    <t>Line Losses on Cost of Power</t>
  </si>
  <si>
    <t>Total Deferral/Variance Account Rate Riders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</si>
  <si>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</si>
  <si>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</si>
  <si>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</si>
  <si>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</si>
  <si>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</si>
  <si>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</si>
  <si>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</si>
  <si>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</si>
  <si>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TOU - Off Peak</t>
  </si>
  <si>
    <t>TOU - Mid Peak</t>
  </si>
  <si>
    <t>TOU - On Peak</t>
  </si>
  <si>
    <t>Total Bill on TOU (before Taxes)</t>
  </si>
  <si>
    <t>Sub-Total Regulatory</t>
  </si>
  <si>
    <t>Sub-Total Energy</t>
  </si>
  <si>
    <t>%</t>
  </si>
  <si>
    <t>Commodity including Global Adjustment*</t>
  </si>
  <si>
    <t>RESIDENTIAL (RPP TOU)</t>
  </si>
  <si>
    <t>GS&lt;50 kW (RPP TOU)</t>
  </si>
  <si>
    <t xml:space="preserve">UNMETERED SCATTERED LOAD (RPP TIER) </t>
  </si>
  <si>
    <t>SENTINEL LIGHTING (RPP TIER)</t>
  </si>
  <si>
    <t xml:space="preserve"> </t>
  </si>
  <si>
    <t xml:space="preserve">      Recovery and Global Adjustment, as well as Line Losses, and the Smart Meter Entity Charge</t>
  </si>
  <si>
    <t>Residential - 10th percentile</t>
  </si>
  <si>
    <t>Total Bill (5)</t>
  </si>
  <si>
    <t>$</t>
  </si>
  <si>
    <t>Service Charge Rate Adder (1576)</t>
  </si>
  <si>
    <t>Fixed Rate Adder (1576)</t>
  </si>
  <si>
    <t>Volumetric Rate Adder (1576)</t>
  </si>
  <si>
    <t>OESP</t>
  </si>
  <si>
    <t>Exclude if RPP customer</t>
  </si>
  <si>
    <t>RPP</t>
  </si>
  <si>
    <t>Enter RPP if customer class is RPP (if not leave blank)</t>
  </si>
  <si>
    <t>Subtotal -Distribution Volumetric Rate Rider(s)</t>
  </si>
  <si>
    <t>Volumetric Charge Rate Adder (1576)</t>
  </si>
  <si>
    <t xml:space="preserve">Total Bill on TOU </t>
  </si>
  <si>
    <t>kWh (1)</t>
  </si>
  <si>
    <t>RPP Price (2)</t>
  </si>
  <si>
    <t>Distribution Charges-A excl. pass-through (3a)</t>
  </si>
  <si>
    <t>Distribution Charges-B incl. pass-through (3b)</t>
  </si>
  <si>
    <t>Delivery Charges (4)</t>
  </si>
  <si>
    <t>(3a) Distribution Charges-A includes Distribution Monthly Service Charge, Volumetric Charges and disposition of 1576</t>
  </si>
  <si>
    <t xml:space="preserve">(5)  Total Bill includes all Delivery Charges noted above plus commodity cost, regulatory costs (ie. wholesale market service, </t>
  </si>
  <si>
    <t>(1)  The residential standard used for illustrative purposes is 750 kWh per EB-2016-0153</t>
  </si>
  <si>
    <t>Def/Var (2017) - all</t>
  </si>
  <si>
    <t>Def/Var LRAMVA</t>
  </si>
  <si>
    <t xml:space="preserve">      RPP TOU assumes average consumption of Off-peak (65%), Mid-peak (17%) and On-peak (18%) per OEB.</t>
  </si>
  <si>
    <t>(3b) Distribution Charges-B include those described in note 3(a) plus pass-through charges such as Rate Riders for Deferral/Variance</t>
  </si>
  <si>
    <t>(4)  Delivery Charges include all Distribution Charges (per notes 3a and 3b), plus Transmission Service Charges</t>
  </si>
  <si>
    <t>Ontario Rebate for Electricity Consumers</t>
  </si>
  <si>
    <t xml:space="preserve">      rural rate protection and standard supply service), debt retirement charge (DRC) where applicable and HST and the 8% Ontario Rebate for Electricity Consumers</t>
  </si>
  <si>
    <t>Capacity Based Recovery (CBR)</t>
  </si>
  <si>
    <t>Rural or Remote Rate Protection Charge</t>
  </si>
  <si>
    <t>suspended eff. May 1/17</t>
  </si>
  <si>
    <t>Capacity Based Recovery</t>
  </si>
  <si>
    <t>*    Weighted average price including Class B Global Adjustment through end of May 2017 (IESO's Monthly Market Report for May 2017, page 22)</t>
  </si>
  <si>
    <t>(2)  RPP Pricing for July 1, 2017 to April 30, 2018</t>
  </si>
  <si>
    <t xml:space="preserve">      Non-RPP assumes a weighted average price including Class B Global Adjustment (IESO's Monthly Market Report for May 2017, pg 22)</t>
  </si>
  <si>
    <t>Def/Var  - ALL</t>
  </si>
  <si>
    <t>Def/Var  - Non RPP (GA)</t>
  </si>
  <si>
    <t>RR- CBR</t>
  </si>
  <si>
    <t>CBR Class B-Rate Rider</t>
  </si>
  <si>
    <t>Def/Var - non WMP</t>
  </si>
  <si>
    <t>Def/Var ( - Non RPP (GA) kWh</t>
  </si>
  <si>
    <t>Def/Var - all</t>
  </si>
  <si>
    <t>Def/Var  - Non RPP (GA) kWh</t>
  </si>
  <si>
    <t>Fixed Rate Riders (SMIRR)</t>
  </si>
  <si>
    <t>Volumetric Rate Riders (LRAM)</t>
  </si>
  <si>
    <t>Volumetric Rate Riders (LRAM )</t>
  </si>
  <si>
    <t>Total Deferral/Variance Account Rate Riders (kw)</t>
  </si>
  <si>
    <t>Total Deferral/Variance Account Rate Rider GA (kwh)</t>
  </si>
  <si>
    <t>Stranded Meter Rate Rider</t>
  </si>
  <si>
    <t>Low Voltage Rate Rider</t>
  </si>
  <si>
    <t>Group 2 Deferral/Variance Account Rate Rider</t>
  </si>
  <si>
    <t>Stand Alone Application Items</t>
  </si>
  <si>
    <t xml:space="preserve">Fixed </t>
  </si>
  <si>
    <t>Variable</t>
  </si>
  <si>
    <t xml:space="preserve">Low Voltage Rate </t>
  </si>
  <si>
    <t>Stranded Meter Disposition Rate Rider</t>
  </si>
  <si>
    <t>Summary of Proposed Distribution Rates</t>
  </si>
  <si>
    <t>A</t>
  </si>
  <si>
    <t>Monthly Service Charge (A)</t>
  </si>
  <si>
    <t>B</t>
  </si>
  <si>
    <t>Distribution Volumetric (B)</t>
  </si>
  <si>
    <t>Total Bill on Spot (before Taxes)</t>
  </si>
  <si>
    <t>Total Bill on Spot</t>
  </si>
  <si>
    <t>Total Bill on Tiered (before Taxes)</t>
  </si>
  <si>
    <t>Total Bill on Tiered</t>
  </si>
  <si>
    <t>2018 Bill Impact Summary (2018 Stand-Alone &amp; Annual IR Index Applications)</t>
  </si>
  <si>
    <t>RESIDENTIAL (RPP TOU) 10th Percentile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</si>
</sst>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"/>
    <numFmt numFmtId="165" formatCode="_-* #,##0.00_-;\-* #,##0.00_-;_-* &quot;-&quot;??_-;_-@_-"/>
    <numFmt numFmtId="166" formatCode="0.00000;\(0.00000\)"/>
    <numFmt numFmtId="167" formatCode="_-* #,##0.0000_-;\-* #,##0.0000_-;_-* &quot;-&quot;??_-;_-@_-"/>
    <numFmt numFmtId="168" formatCode="_-* #,##0_-"/>
    <numFmt numFmtId="169" formatCode="0.0000"/>
    <numFmt numFmtId="170" formatCode="0.0%"/>
    <numFmt numFmtId="171" formatCode="0.0000;\(0.0000\)"/>
    <numFmt numFmtId="172" formatCode="_-&quot;$&quot;* #,##0.00_-;\-&quot;$&quot;* #,##0.00_-;_-&quot;$&quot;* &quot;-&quot;??_-;_-@_-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_(* #,##0_);_(* \(#,##0\);_(* &quot;-&quot;??_);_(@_)"/>
    <numFmt numFmtId="179" formatCode="&quot;£ &quot;#,##0.00;[Red]\-&quot;£ &quot;#,##0.00"/>
    <numFmt numFmtId="180" formatCode="_-&quot;$&quot;* #,##0.0000_-;\-&quot;$&quot;* #,##0.0000_-;_-&quot;$&quot;* &quot;-&quot;??_-;_-@_-"/>
    <numFmt numFmtId="181" formatCode="_-* #,##0_-;\-* #,##0_-;_-* &quot;-&quot;??_-;_-@_-"/>
    <numFmt numFmtId="182" formatCode="_(* #,##0.0000_);_(* \(#,##0.0000\);_(* &quot;-&quot;??_);_(@_)"/>
    <numFmt numFmtId="183" formatCode="_-* #,##0.000_-;\-* #,##0.000_-;_-* &quot;-&quot;??_-;_-@_-"/>
    <numFmt numFmtId="184" formatCode="0.000"/>
    <numFmt numFmtId="185" formatCode="_(&quot;$&quot;* #,##0.0000_);_(&quot;$&quot;* \(#,##0.0000\);_(&quot;$&quot;* &quot;-&quot;??_);_(@_)"/>
    <numFmt numFmtId="186" formatCode="_-&quot;$&quot;* #,##0.0000000_-;\-&quot;$&quot;* #,##0.0000000_-;_-&quot;$&quot;* &quot;-&quot;??_-;_-@_-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u/>
      <sz val="9"/>
      <name val="Arial"/>
      <family val="2"/>
    </font>
    <font>
      <sz val="8"/>
      <color rgb="FF0000CC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173" fontId="5" fillId="0" borderId="0"/>
    <xf numFmtId="174" fontId="5" fillId="0" borderId="0"/>
    <xf numFmtId="173" fontId="5" fillId="0" borderId="0"/>
    <xf numFmtId="173" fontId="5" fillId="0" borderId="0"/>
    <xf numFmtId="173" fontId="5" fillId="0" borderId="0"/>
    <xf numFmtId="173" fontId="5" fillId="0" borderId="0"/>
    <xf numFmtId="175" fontId="5" fillId="0" borderId="0"/>
    <xf numFmtId="176" fontId="5" fillId="0" borderId="0"/>
    <xf numFmtId="175" fontId="5" fillId="0" borderId="0"/>
    <xf numFmtId="165" fontId="10" fillId="0" borderId="0" applyFont="0" applyFill="0" applyBorder="0" applyAlignment="0" applyProtection="0"/>
    <xf numFmtId="3" fontId="5" fillId="0" borderId="0" applyFont="0" applyFill="0" applyBorder="0" applyAlignment="0" applyProtection="0"/>
    <xf numFmtId="172" fontId="10" fillId="0" borderId="0" applyFont="0" applyFill="0" applyBorder="0" applyAlignment="0" applyProtection="0"/>
    <xf numFmtId="5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38" fontId="11" fillId="7" borderId="0" applyNumberFormat="0" applyBorder="0" applyAlignment="0" applyProtection="0"/>
    <xf numFmtId="10" fontId="11" fillId="6" borderId="22" applyNumberFormat="0" applyBorder="0" applyAlignment="0" applyProtection="0"/>
    <xf numFmtId="177" fontId="5" fillId="0" borderId="0"/>
    <xf numFmtId="178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9" fontId="5" fillId="0" borderId="0"/>
    <xf numFmtId="0" fontId="5" fillId="0" borderId="0"/>
    <xf numFmtId="9" fontId="10" fillId="0" borderId="0" applyFont="0" applyFill="0" applyBorder="0" applyAlignment="0" applyProtection="0"/>
    <xf numFmtId="10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9">
    <xf numFmtId="0" fontId="0" fillId="0" borderId="0" xfId="0"/>
    <xf numFmtId="0" fontId="3" fillId="2" borderId="0" xfId="0" applyFont="1" applyFill="1" applyAlignment="1" applyProtection="1">
      <alignment horizontal="left"/>
    </xf>
    <xf numFmtId="0" fontId="0" fillId="0" borderId="0" xfId="0" applyProtection="1"/>
    <xf numFmtId="0" fontId="3" fillId="0" borderId="0" xfId="0" applyFont="1" applyFill="1" applyAlignment="1" applyProtection="1"/>
    <xf numFmtId="164" fontId="4" fillId="3" borderId="1" xfId="0" applyNumberFormat="1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 wrapText="1"/>
    </xf>
    <xf numFmtId="43" fontId="2" fillId="0" borderId="3" xfId="1" applyFont="1" applyFill="1" applyBorder="1" applyAlignment="1" applyProtection="1">
      <alignment horizontal="center" vertical="center"/>
    </xf>
    <xf numFmtId="43" fontId="2" fillId="0" borderId="5" xfId="1" applyFont="1" applyFill="1" applyBorder="1" applyAlignment="1" applyProtection="1">
      <alignment horizontal="center" vertical="center"/>
    </xf>
    <xf numFmtId="43" fontId="2" fillId="0" borderId="4" xfId="1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left" vertical="center" wrapText="1"/>
    </xf>
    <xf numFmtId="166" fontId="2" fillId="0" borderId="5" xfId="1" applyNumberFormat="1" applyFont="1" applyFill="1" applyBorder="1" applyAlignment="1" applyProtection="1">
      <alignment horizontal="right" vertical="center"/>
    </xf>
    <xf numFmtId="167" fontId="2" fillId="0" borderId="5" xfId="1" applyNumberFormat="1" applyFont="1" applyFill="1" applyBorder="1" applyAlignment="1" applyProtection="1">
      <alignment horizontal="center" vertical="center"/>
    </xf>
    <xf numFmtId="165" fontId="2" fillId="0" borderId="4" xfId="1" applyNumberFormat="1" applyFont="1" applyFill="1" applyBorder="1" applyAlignment="1" applyProtection="1">
      <alignment horizontal="center" vertical="center"/>
    </xf>
    <xf numFmtId="167" fontId="2" fillId="0" borderId="4" xfId="1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left" vertical="center" wrapText="1"/>
    </xf>
    <xf numFmtId="167" fontId="2" fillId="0" borderId="7" xfId="1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166" fontId="2" fillId="0" borderId="0" xfId="1" applyNumberFormat="1" applyFont="1" applyFill="1" applyBorder="1" applyAlignment="1" applyProtection="1">
      <alignment horizontal="right" vertical="center"/>
    </xf>
    <xf numFmtId="0" fontId="0" fillId="0" borderId="29" xfId="0" applyBorder="1"/>
    <xf numFmtId="0" fontId="0" fillId="0" borderId="0" xfId="0" applyFill="1" applyBorder="1"/>
    <xf numFmtId="0" fontId="7" fillId="8" borderId="0" xfId="0" applyFont="1" applyFill="1"/>
    <xf numFmtId="0" fontId="0" fillId="8" borderId="0" xfId="0" applyFill="1"/>
    <xf numFmtId="0" fontId="0" fillId="8" borderId="22" xfId="0" applyFill="1" applyBorder="1"/>
    <xf numFmtId="38" fontId="0" fillId="8" borderId="22" xfId="0" applyNumberFormat="1" applyFill="1" applyBorder="1"/>
    <xf numFmtId="0" fontId="5" fillId="8" borderId="23" xfId="0" applyFont="1" applyFill="1" applyBorder="1" applyAlignment="1">
      <alignment wrapText="1"/>
    </xf>
    <xf numFmtId="44" fontId="0" fillId="8" borderId="25" xfId="0" applyNumberFormat="1" applyFill="1" applyBorder="1"/>
    <xf numFmtId="44" fontId="0" fillId="8" borderId="24" xfId="0" applyNumberFormat="1" applyFill="1" applyBorder="1"/>
    <xf numFmtId="0" fontId="0" fillId="8" borderId="23" xfId="0" applyFill="1" applyBorder="1" applyAlignment="1">
      <alignment wrapText="1"/>
    </xf>
    <xf numFmtId="0" fontId="0" fillId="8" borderId="22" xfId="0" applyFill="1" applyBorder="1" applyAlignment="1">
      <alignment wrapText="1"/>
    </xf>
    <xf numFmtId="38" fontId="0" fillId="8" borderId="0" xfId="0" applyNumberFormat="1" applyFill="1"/>
    <xf numFmtId="0" fontId="0" fillId="8" borderId="0" xfId="0" applyFill="1" applyAlignment="1">
      <alignment wrapText="1"/>
    </xf>
    <xf numFmtId="0" fontId="2" fillId="0" borderId="0" xfId="0" applyFont="1"/>
    <xf numFmtId="0" fontId="2" fillId="4" borderId="4" xfId="0" applyFont="1" applyFill="1" applyBorder="1" applyAlignment="1" applyProtection="1">
      <alignment horizontal="left" vertical="center" wrapText="1"/>
    </xf>
    <xf numFmtId="0" fontId="4" fillId="0" borderId="27" xfId="29" applyFont="1" applyBorder="1" applyAlignment="1" applyProtection="1">
      <alignment horizontal="center"/>
    </xf>
    <xf numFmtId="0" fontId="4" fillId="0" borderId="32" xfId="29" applyFont="1" applyBorder="1" applyAlignment="1" applyProtection="1">
      <alignment horizontal="center"/>
    </xf>
    <xf numFmtId="0" fontId="4" fillId="0" borderId="28" xfId="29" quotePrefix="1" applyFont="1" applyBorder="1" applyAlignment="1" applyProtection="1">
      <alignment horizontal="center"/>
    </xf>
    <xf numFmtId="0" fontId="4" fillId="0" borderId="33" xfId="29" quotePrefix="1" applyFont="1" applyBorder="1" applyAlignment="1" applyProtection="1">
      <alignment horizontal="center"/>
    </xf>
    <xf numFmtId="0" fontId="13" fillId="0" borderId="31" xfId="29" applyFont="1" applyFill="1" applyBorder="1" applyAlignment="1" applyProtection="1">
      <alignment horizontal="right" vertical="center"/>
    </xf>
    <xf numFmtId="0" fontId="13" fillId="0" borderId="30" xfId="29" applyFont="1" applyFill="1" applyBorder="1" applyAlignment="1" applyProtection="1">
      <alignment horizontal="right" vertical="center"/>
      <protection locked="0"/>
    </xf>
    <xf numFmtId="181" fontId="13" fillId="0" borderId="31" xfId="29" applyNumberFormat="1" applyFont="1" applyFill="1" applyBorder="1" applyAlignment="1" applyProtection="1">
      <alignment horizontal="right" vertical="center"/>
      <protection locked="0"/>
    </xf>
    <xf numFmtId="181" fontId="13" fillId="0" borderId="30" xfId="29" applyNumberFormat="1" applyFont="1" applyFill="1" applyBorder="1" applyAlignment="1" applyProtection="1">
      <alignment horizontal="right" vertical="center"/>
      <protection locked="0"/>
    </xf>
    <xf numFmtId="181" fontId="13" fillId="0" borderId="28" xfId="29" applyNumberFormat="1" applyFont="1" applyFill="1" applyBorder="1" applyAlignment="1" applyProtection="1">
      <alignment horizontal="right" vertical="center"/>
      <protection locked="0"/>
    </xf>
    <xf numFmtId="181" fontId="13" fillId="0" borderId="33" xfId="29" applyNumberFormat="1" applyFont="1" applyFill="1" applyBorder="1" applyAlignment="1" applyProtection="1">
      <alignment horizontal="right" vertical="center"/>
      <protection locked="0"/>
    </xf>
    <xf numFmtId="0" fontId="4" fillId="9" borderId="35" xfId="29" applyFont="1" applyFill="1" applyBorder="1" applyAlignment="1" applyProtection="1">
      <alignment vertical="top"/>
    </xf>
    <xf numFmtId="181" fontId="13" fillId="0" borderId="31" xfId="1" applyNumberFormat="1" applyFont="1" applyFill="1" applyBorder="1" applyAlignment="1" applyProtection="1">
      <alignment horizontal="right" vertical="center"/>
      <protection locked="0"/>
    </xf>
    <xf numFmtId="0" fontId="13" fillId="9" borderId="22" xfId="29" applyFont="1" applyFill="1" applyBorder="1" applyAlignment="1" applyProtection="1">
      <alignment horizontal="right" vertical="center"/>
      <protection locked="0"/>
    </xf>
    <xf numFmtId="0" fontId="13" fillId="9" borderId="24" xfId="29" applyFont="1" applyFill="1" applyBorder="1" applyAlignment="1" applyProtection="1">
      <alignment horizontal="right" vertical="center"/>
      <protection locked="0"/>
    </xf>
    <xf numFmtId="181" fontId="13" fillId="8" borderId="31" xfId="1" applyNumberFormat="1" applyFont="1" applyFill="1" applyBorder="1" applyAlignment="1" applyProtection="1">
      <alignment horizontal="right" vertical="center"/>
      <protection locked="0"/>
    </xf>
    <xf numFmtId="181" fontId="13" fillId="8" borderId="30" xfId="1" applyNumberFormat="1" applyFont="1" applyFill="1" applyBorder="1" applyAlignment="1" applyProtection="1">
      <alignment horizontal="right" vertical="center"/>
      <protection locked="0"/>
    </xf>
    <xf numFmtId="0" fontId="14" fillId="9" borderId="24" xfId="29" applyFont="1" applyFill="1" applyBorder="1" applyAlignment="1" applyProtection="1">
      <alignment horizontal="right" vertical="center"/>
      <protection locked="0"/>
    </xf>
    <xf numFmtId="0" fontId="13" fillId="10" borderId="19" xfId="29" applyFont="1" applyFill="1" applyBorder="1" applyAlignment="1" applyProtection="1">
      <alignment horizontal="right" vertical="center"/>
      <protection locked="0"/>
    </xf>
    <xf numFmtId="0" fontId="13" fillId="10" borderId="36" xfId="29" applyFont="1" applyFill="1" applyBorder="1" applyAlignment="1" applyProtection="1">
      <alignment horizontal="right" vertical="center"/>
      <protection locked="0"/>
    </xf>
    <xf numFmtId="9" fontId="13" fillId="0" borderId="0" xfId="29" applyNumberFormat="1" applyFont="1" applyFill="1" applyBorder="1" applyAlignment="1" applyProtection="1">
      <alignment horizontal="right" vertical="center"/>
    </xf>
    <xf numFmtId="9" fontId="14" fillId="0" borderId="31" xfId="29" applyNumberFormat="1" applyFont="1" applyFill="1" applyBorder="1" applyAlignment="1" applyProtection="1">
      <alignment horizontal="right" vertical="center"/>
    </xf>
    <xf numFmtId="0" fontId="14" fillId="0" borderId="0" xfId="29" applyFont="1" applyFill="1" applyBorder="1" applyAlignment="1" applyProtection="1">
      <alignment horizontal="right" vertical="center"/>
      <protection locked="0"/>
    </xf>
    <xf numFmtId="0" fontId="13" fillId="0" borderId="0" xfId="29" applyFont="1" applyFill="1" applyBorder="1" applyAlignment="1" applyProtection="1">
      <alignment horizontal="right" vertical="center"/>
    </xf>
    <xf numFmtId="0" fontId="13" fillId="0" borderId="0" xfId="29" applyFont="1" applyFill="1" applyBorder="1" applyAlignment="1" applyProtection="1">
      <alignment horizontal="right" vertical="center"/>
      <protection locked="0"/>
    </xf>
    <xf numFmtId="0" fontId="4" fillId="9" borderId="23" xfId="29" applyFont="1" applyFill="1" applyBorder="1" applyAlignment="1" applyProtection="1">
      <alignment vertical="top"/>
    </xf>
    <xf numFmtId="181" fontId="13" fillId="0" borderId="0" xfId="29" applyNumberFormat="1" applyFont="1" applyFill="1" applyBorder="1" applyAlignment="1" applyProtection="1">
      <alignment horizontal="right" vertical="center"/>
      <protection locked="0"/>
    </xf>
    <xf numFmtId="172" fontId="14" fillId="0" borderId="0" xfId="29" applyNumberFormat="1" applyFont="1" applyFill="1" applyBorder="1" applyAlignment="1" applyProtection="1">
      <alignment horizontal="right" vertical="center"/>
    </xf>
    <xf numFmtId="10" fontId="14" fillId="0" borderId="0" xfId="30" applyNumberFormat="1" applyFont="1" applyFill="1" applyBorder="1" applyAlignment="1" applyProtection="1">
      <alignment horizontal="right" vertical="center"/>
    </xf>
    <xf numFmtId="172" fontId="13" fillId="0" borderId="0" xfId="29" applyNumberFormat="1" applyFont="1" applyFill="1" applyBorder="1" applyAlignment="1" applyProtection="1">
      <alignment horizontal="right" vertical="center"/>
    </xf>
    <xf numFmtId="10" fontId="13" fillId="0" borderId="0" xfId="30" applyNumberFormat="1" applyFont="1" applyFill="1" applyBorder="1" applyAlignment="1" applyProtection="1">
      <alignment horizontal="right" vertical="center"/>
    </xf>
    <xf numFmtId="0" fontId="4" fillId="0" borderId="0" xfId="29" applyFont="1" applyFill="1" applyBorder="1" applyAlignment="1" applyProtection="1">
      <alignment horizontal="center"/>
    </xf>
    <xf numFmtId="0" fontId="5" fillId="0" borderId="0" xfId="29" applyFill="1" applyBorder="1" applyProtection="1"/>
    <xf numFmtId="0" fontId="4" fillId="0" borderId="0" xfId="29" applyFont="1" applyFill="1" applyBorder="1" applyAlignment="1" applyProtection="1">
      <alignment horizontal="center"/>
    </xf>
    <xf numFmtId="0" fontId="4" fillId="0" borderId="0" xfId="29" quotePrefix="1" applyFont="1" applyFill="1" applyBorder="1" applyAlignment="1" applyProtection="1">
      <alignment horizontal="center"/>
    </xf>
    <xf numFmtId="172" fontId="12" fillId="0" borderId="0" xfId="16" applyNumberFormat="1" applyFont="1" applyFill="1" applyBorder="1" applyAlignment="1" applyProtection="1">
      <alignment horizontal="right" vertical="center"/>
    </xf>
    <xf numFmtId="10" fontId="12" fillId="0" borderId="0" xfId="30" applyNumberFormat="1" applyFont="1" applyFill="1" applyBorder="1" applyAlignment="1" applyProtection="1">
      <alignment horizontal="right" vertical="center"/>
    </xf>
    <xf numFmtId="172" fontId="12" fillId="0" borderId="0" xfId="16" applyFont="1" applyFill="1" applyBorder="1" applyAlignment="1" applyProtection="1">
      <alignment horizontal="right" vertical="center"/>
    </xf>
    <xf numFmtId="181" fontId="13" fillId="0" borderId="0" xfId="1" applyNumberFormat="1" applyFont="1" applyFill="1" applyBorder="1" applyAlignment="1" applyProtection="1">
      <alignment horizontal="right" vertical="center"/>
      <protection locked="0"/>
    </xf>
    <xf numFmtId="172" fontId="13" fillId="0" borderId="0" xfId="16" applyFont="1" applyFill="1" applyBorder="1" applyAlignment="1" applyProtection="1">
      <alignment horizontal="right" vertical="center"/>
    </xf>
    <xf numFmtId="178" fontId="13" fillId="8" borderId="31" xfId="1" applyNumberFormat="1" applyFont="1" applyFill="1" applyBorder="1" applyAlignment="1" applyProtection="1">
      <alignment horizontal="right" vertical="center"/>
      <protection locked="0"/>
    </xf>
    <xf numFmtId="0" fontId="4" fillId="0" borderId="34" xfId="29" quotePrefix="1" applyFont="1" applyBorder="1" applyAlignment="1" applyProtection="1">
      <alignment horizontal="center"/>
    </xf>
    <xf numFmtId="0" fontId="4" fillId="0" borderId="40" xfId="29" applyFont="1" applyBorder="1" applyAlignment="1" applyProtection="1">
      <alignment horizontal="center"/>
    </xf>
    <xf numFmtId="0" fontId="4" fillId="0" borderId="42" xfId="29" quotePrefix="1" applyFont="1" applyBorder="1" applyAlignment="1" applyProtection="1">
      <alignment horizontal="center"/>
    </xf>
    <xf numFmtId="0" fontId="4" fillId="0" borderId="43" xfId="29" quotePrefix="1" applyFont="1" applyBorder="1" applyAlignment="1" applyProtection="1">
      <alignment horizontal="center"/>
    </xf>
    <xf numFmtId="9" fontId="14" fillId="0" borderId="0" xfId="29" applyNumberFormat="1" applyFont="1" applyFill="1" applyBorder="1" applyAlignment="1" applyProtection="1">
      <alignment horizontal="right" vertical="center"/>
    </xf>
    <xf numFmtId="0" fontId="14" fillId="0" borderId="0" xfId="29" applyFont="1" applyFill="1" applyBorder="1" applyAlignment="1" applyProtection="1">
      <alignment horizontal="right" vertical="center"/>
    </xf>
    <xf numFmtId="0" fontId="4" fillId="0" borderId="47" xfId="29" applyFont="1" applyBorder="1" applyAlignment="1" applyProtection="1">
      <alignment horizontal="center"/>
    </xf>
    <xf numFmtId="0" fontId="4" fillId="0" borderId="48" xfId="29" applyFont="1" applyBorder="1" applyAlignment="1" applyProtection="1">
      <alignment horizontal="center"/>
    </xf>
    <xf numFmtId="0" fontId="4" fillId="0" borderId="37" xfId="29" applyFont="1" applyFill="1" applyBorder="1" applyAlignment="1" applyProtection="1">
      <alignment vertical="top"/>
    </xf>
    <xf numFmtId="0" fontId="2" fillId="0" borderId="37" xfId="29" applyFont="1" applyFill="1" applyBorder="1" applyAlignment="1" applyProtection="1">
      <alignment horizontal="left" vertical="top"/>
    </xf>
    <xf numFmtId="0" fontId="14" fillId="9" borderId="28" xfId="29" applyFont="1" applyFill="1" applyBorder="1" applyAlignment="1" applyProtection="1">
      <alignment horizontal="right" vertical="center"/>
      <protection locked="0"/>
    </xf>
    <xf numFmtId="0" fontId="14" fillId="9" borderId="33" xfId="29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/>
    </xf>
    <xf numFmtId="170" fontId="0" fillId="0" borderId="0" xfId="0" applyNumberFormat="1" applyProtection="1"/>
    <xf numFmtId="182" fontId="0" fillId="0" borderId="0" xfId="0" applyNumberFormat="1" applyProtection="1"/>
    <xf numFmtId="0" fontId="4" fillId="9" borderId="23" xfId="29" applyFont="1" applyFill="1" applyBorder="1" applyAlignment="1" applyProtection="1">
      <alignment horizontal="left" vertical="top"/>
    </xf>
    <xf numFmtId="0" fontId="13" fillId="9" borderId="29" xfId="29" applyFont="1" applyFill="1" applyBorder="1" applyAlignment="1" applyProtection="1">
      <alignment horizontal="right" vertical="center"/>
    </xf>
    <xf numFmtId="0" fontId="14" fillId="9" borderId="22" xfId="29" applyFont="1" applyFill="1" applyBorder="1" applyAlignment="1" applyProtection="1">
      <alignment horizontal="right" vertical="center"/>
    </xf>
    <xf numFmtId="164" fontId="4" fillId="3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0" xfId="29" applyFont="1" applyAlignment="1" applyProtection="1">
      <alignment wrapText="1"/>
    </xf>
    <xf numFmtId="0" fontId="5" fillId="0" borderId="37" xfId="29" applyBorder="1" applyAlignment="1" applyProtection="1">
      <alignment vertical="top" wrapText="1"/>
    </xf>
    <xf numFmtId="0" fontId="5" fillId="0" borderId="37" xfId="29" applyFill="1" applyBorder="1" applyAlignment="1" applyProtection="1">
      <alignment vertical="top" wrapText="1"/>
    </xf>
    <xf numFmtId="0" fontId="2" fillId="0" borderId="37" xfId="29" applyFont="1" applyFill="1" applyBorder="1" applyAlignment="1" applyProtection="1">
      <alignment vertical="top" wrapText="1"/>
    </xf>
    <xf numFmtId="0" fontId="2" fillId="0" borderId="37" xfId="29" applyFont="1" applyBorder="1" applyAlignment="1" applyProtection="1">
      <alignment vertical="top" wrapText="1"/>
    </xf>
    <xf numFmtId="0" fontId="5" fillId="0" borderId="37" xfId="29" applyBorder="1" applyAlignment="1" applyProtection="1">
      <alignment vertical="center" wrapText="1"/>
    </xf>
    <xf numFmtId="0" fontId="5" fillId="0" borderId="35" xfId="29" applyBorder="1" applyAlignment="1" applyProtection="1">
      <alignment horizontal="left" vertical="center" wrapText="1"/>
    </xf>
    <xf numFmtId="0" fontId="2" fillId="10" borderId="20" xfId="29" applyFont="1" applyFill="1" applyBorder="1" applyAlignment="1" applyProtection="1">
      <alignment wrapText="1"/>
    </xf>
    <xf numFmtId="0" fontId="16" fillId="4" borderId="8" xfId="0" applyFont="1" applyFill="1" applyBorder="1" applyAlignment="1" applyProtection="1">
      <alignment vertical="center" wrapText="1"/>
    </xf>
    <xf numFmtId="3" fontId="17" fillId="2" borderId="8" xfId="0" applyNumberFormat="1" applyFont="1" applyFill="1" applyBorder="1" applyAlignment="1" applyProtection="1">
      <alignment horizontal="center" vertical="center"/>
      <protection locked="0"/>
    </xf>
    <xf numFmtId="3" fontId="17" fillId="4" borderId="9" xfId="0" applyNumberFormat="1" applyFont="1" applyFill="1" applyBorder="1" applyAlignment="1" applyProtection="1">
      <alignment horizontal="center" vertical="center"/>
    </xf>
    <xf numFmtId="168" fontId="17" fillId="2" borderId="10" xfId="1" applyNumberFormat="1" applyFont="1" applyFill="1" applyBorder="1" applyAlignment="1" applyProtection="1">
      <alignment vertical="center"/>
    </xf>
    <xf numFmtId="3" fontId="17" fillId="4" borderId="11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16" fillId="4" borderId="12" xfId="0" applyFont="1" applyFill="1" applyBorder="1" applyAlignment="1" applyProtection="1">
      <alignment horizontal="left" vertical="center"/>
    </xf>
    <xf numFmtId="0" fontId="4" fillId="0" borderId="13" xfId="0" applyFont="1" applyBorder="1" applyProtection="1"/>
    <xf numFmtId="169" fontId="16" fillId="0" borderId="14" xfId="0" applyNumberFormat="1" applyFont="1" applyFill="1" applyBorder="1" applyAlignment="1" applyProtection="1">
      <alignment vertical="center"/>
    </xf>
    <xf numFmtId="3" fontId="17" fillId="0" borderId="8" xfId="0" applyNumberFormat="1" applyFont="1" applyFill="1" applyBorder="1" applyAlignment="1" applyProtection="1">
      <alignment horizontal="center" vertical="center"/>
    </xf>
    <xf numFmtId="0" fontId="16" fillId="0" borderId="15" xfId="0" applyFont="1" applyFill="1" applyBorder="1" applyAlignment="1" applyProtection="1">
      <alignment horizontal="right" vertical="center"/>
    </xf>
    <xf numFmtId="0" fontId="16" fillId="4" borderId="16" xfId="0" applyFont="1" applyFill="1" applyBorder="1" applyAlignment="1" applyProtection="1">
      <alignment horizontal="left" vertical="center"/>
    </xf>
    <xf numFmtId="0" fontId="4" fillId="0" borderId="17" xfId="0" applyFont="1" applyBorder="1" applyProtection="1"/>
    <xf numFmtId="169" fontId="16" fillId="0" borderId="18" xfId="0" applyNumberFormat="1" applyFont="1" applyFill="1" applyBorder="1" applyAlignment="1" applyProtection="1">
      <alignment vertical="center"/>
    </xf>
    <xf numFmtId="3" fontId="13" fillId="0" borderId="31" xfId="29" applyNumberFormat="1" applyFont="1" applyFill="1" applyBorder="1" applyAlignment="1" applyProtection="1">
      <alignment horizontal="right" vertical="center"/>
    </xf>
    <xf numFmtId="9" fontId="16" fillId="2" borderId="9" xfId="3" applyNumberFormat="1" applyFont="1" applyFill="1" applyBorder="1" applyAlignment="1" applyProtection="1">
      <alignment horizontal="center" vertical="center"/>
    </xf>
    <xf numFmtId="0" fontId="2" fillId="8" borderId="0" xfId="0" applyFont="1" applyFill="1"/>
    <xf numFmtId="10" fontId="0" fillId="8" borderId="26" xfId="0" applyNumberFormat="1" applyFill="1" applyBorder="1"/>
    <xf numFmtId="10" fontId="0" fillId="8" borderId="25" xfId="0" applyNumberFormat="1" applyFill="1" applyBorder="1"/>
    <xf numFmtId="10" fontId="12" fillId="0" borderId="0" xfId="16" applyNumberFormat="1" applyFont="1" applyFill="1" applyBorder="1" applyAlignment="1" applyProtection="1">
      <alignment horizontal="right" vertical="center"/>
    </xf>
    <xf numFmtId="10" fontId="13" fillId="0" borderId="0" xfId="29" applyNumberFormat="1" applyFont="1" applyFill="1" applyBorder="1" applyAlignment="1" applyProtection="1">
      <alignment horizontal="right" vertical="center"/>
      <protection locked="0"/>
    </xf>
    <xf numFmtId="0" fontId="9" fillId="8" borderId="0" xfId="0" applyFont="1" applyFill="1" applyAlignment="1">
      <alignment wrapText="1"/>
    </xf>
    <xf numFmtId="0" fontId="9" fillId="8" borderId="0" xfId="0" applyFont="1" applyFill="1"/>
    <xf numFmtId="38" fontId="9" fillId="8" borderId="0" xfId="0" applyNumberFormat="1" applyFont="1" applyFill="1"/>
    <xf numFmtId="44" fontId="9" fillId="8" borderId="0" xfId="0" applyNumberFormat="1" applyFont="1" applyFill="1"/>
    <xf numFmtId="4" fontId="0" fillId="0" borderId="0" xfId="0" applyNumberFormat="1" applyProtection="1"/>
    <xf numFmtId="0" fontId="2" fillId="8" borderId="22" xfId="0" applyFont="1" applyFill="1" applyBorder="1" applyAlignment="1">
      <alignment wrapText="1"/>
    </xf>
    <xf numFmtId="0" fontId="2" fillId="0" borderId="31" xfId="29" applyFont="1" applyFill="1" applyBorder="1" applyAlignment="1" applyProtection="1">
      <alignment horizontal="right" vertical="center"/>
    </xf>
    <xf numFmtId="0" fontId="2" fillId="0" borderId="30" xfId="29" applyFont="1" applyFill="1" applyBorder="1" applyAlignment="1" applyProtection="1">
      <alignment horizontal="right" vertical="center"/>
      <protection locked="0"/>
    </xf>
    <xf numFmtId="0" fontId="4" fillId="0" borderId="0" xfId="29" applyFont="1" applyFill="1" applyBorder="1" applyAlignment="1" applyProtection="1">
      <alignment horizontal="center"/>
    </xf>
    <xf numFmtId="44" fontId="13" fillId="0" borderId="0" xfId="29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/>
    <xf numFmtId="181" fontId="14" fillId="9" borderId="22" xfId="1" applyNumberFormat="1" applyFont="1" applyFill="1" applyBorder="1" applyAlignment="1" applyProtection="1">
      <alignment horizontal="right" vertical="center"/>
      <protection locked="0"/>
    </xf>
    <xf numFmtId="181" fontId="14" fillId="9" borderId="24" xfId="1" applyNumberFormat="1" applyFont="1" applyFill="1" applyBorder="1" applyAlignment="1" applyProtection="1">
      <alignment horizontal="right" vertical="center"/>
      <protection locked="0"/>
    </xf>
    <xf numFmtId="167" fontId="2" fillId="0" borderId="0" xfId="1" applyNumberFormat="1" applyFont="1" applyFill="1" applyBorder="1" applyAlignment="1" applyProtection="1">
      <alignment horizontal="center" vertical="center"/>
    </xf>
    <xf numFmtId="183" fontId="13" fillId="0" borderId="0" xfId="1" applyNumberFormat="1" applyFont="1" applyFill="1" applyBorder="1" applyAlignment="1" applyProtection="1">
      <alignment horizontal="right" vertical="center"/>
      <protection locked="0"/>
    </xf>
    <xf numFmtId="0" fontId="13" fillId="0" borderId="0" xfId="1" applyNumberFormat="1" applyFont="1" applyFill="1" applyBorder="1" applyAlignment="1" applyProtection="1">
      <alignment horizontal="right" vertical="center"/>
      <protection locked="0"/>
    </xf>
    <xf numFmtId="171" fontId="2" fillId="0" borderId="5" xfId="1" applyNumberFormat="1" applyFont="1" applyFill="1" applyBorder="1" applyAlignment="1" applyProtection="1">
      <alignment horizontal="right" vertical="center"/>
    </xf>
    <xf numFmtId="181" fontId="13" fillId="0" borderId="30" xfId="1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2" fillId="0" borderId="0" xfId="0" applyFont="1" applyFill="1" applyProtection="1"/>
    <xf numFmtId="0" fontId="0" fillId="0" borderId="0" xfId="0" applyAlignment="1" applyProtection="1">
      <alignment horizontal="center"/>
    </xf>
    <xf numFmtId="0" fontId="4" fillId="11" borderId="22" xfId="0" applyFont="1" applyFill="1" applyBorder="1" applyAlignment="1" applyProtection="1">
      <alignment horizontal="center"/>
    </xf>
    <xf numFmtId="0" fontId="2" fillId="9" borderId="4" xfId="0" applyFont="1" applyFill="1" applyBorder="1" applyAlignment="1" applyProtection="1">
      <alignment horizontal="left" vertical="center" wrapText="1"/>
    </xf>
    <xf numFmtId="182" fontId="2" fillId="0" borderId="5" xfId="1" applyNumberFormat="1" applyFont="1" applyFill="1" applyBorder="1" applyAlignment="1" applyProtection="1">
      <alignment horizontal="center" vertical="center"/>
    </xf>
    <xf numFmtId="0" fontId="2" fillId="0" borderId="0" xfId="0" applyFont="1" applyFill="1"/>
    <xf numFmtId="181" fontId="2" fillId="0" borderId="31" xfId="29" applyNumberFormat="1" applyFont="1" applyFill="1" applyBorder="1" applyAlignment="1" applyProtection="1">
      <alignment horizontal="right" vertical="center"/>
    </xf>
    <xf numFmtId="181" fontId="2" fillId="0" borderId="30" xfId="29" applyNumberFormat="1" applyFont="1" applyFill="1" applyBorder="1" applyAlignment="1" applyProtection="1">
      <alignment horizontal="right" vertical="center"/>
      <protection locked="0"/>
    </xf>
    <xf numFmtId="180" fontId="14" fillId="0" borderId="25" xfId="16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/>
    <xf numFmtId="171" fontId="2" fillId="0" borderId="4" xfId="1" applyNumberFormat="1" applyFont="1" applyFill="1" applyBorder="1" applyAlignment="1" applyProtection="1">
      <alignment horizontal="right" vertical="center"/>
    </xf>
    <xf numFmtId="171" fontId="2" fillId="9" borderId="4" xfId="1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Protection="1"/>
    <xf numFmtId="37" fontId="0" fillId="0" borderId="0" xfId="0" applyNumberFormat="1"/>
    <xf numFmtId="37" fontId="2" fillId="0" borderId="0" xfId="0" applyNumberFormat="1" applyFont="1"/>
    <xf numFmtId="0" fontId="20" fillId="8" borderId="0" xfId="0" applyFont="1" applyFill="1"/>
    <xf numFmtId="0" fontId="9" fillId="8" borderId="0" xfId="0" quotePrefix="1" applyFont="1" applyFill="1"/>
    <xf numFmtId="0" fontId="9" fillId="8" borderId="0" xfId="0" applyFont="1" applyFill="1" applyBorder="1"/>
    <xf numFmtId="37" fontId="0" fillId="0" borderId="0" xfId="0" applyNumberFormat="1" applyBorder="1"/>
    <xf numFmtId="0" fontId="4" fillId="0" borderId="0" xfId="29" applyFont="1" applyFill="1" applyBorder="1" applyAlignment="1" applyProtection="1">
      <alignment horizontal="left" vertical="top"/>
    </xf>
    <xf numFmtId="10" fontId="15" fillId="0" borderId="0" xfId="3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Protection="1"/>
    <xf numFmtId="184" fontId="0" fillId="0" borderId="0" xfId="0" applyNumberFormat="1" applyProtection="1"/>
    <xf numFmtId="178" fontId="13" fillId="0" borderId="31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/>
    </xf>
    <xf numFmtId="170" fontId="2" fillId="0" borderId="0" xfId="0" applyNumberFormat="1" applyFont="1" applyProtection="1"/>
    <xf numFmtId="182" fontId="2" fillId="0" borderId="0" xfId="0" applyNumberFormat="1" applyFont="1" applyProtection="1"/>
    <xf numFmtId="0" fontId="21" fillId="0" borderId="0" xfId="0" applyFont="1"/>
    <xf numFmtId="0" fontId="2" fillId="0" borderId="35" xfId="29" applyFont="1" applyBorder="1" applyAlignment="1" applyProtection="1">
      <alignment vertical="top" wrapText="1"/>
    </xf>
    <xf numFmtId="43" fontId="2" fillId="0" borderId="3" xfId="1" applyFont="1" applyFill="1" applyBorder="1" applyAlignment="1" applyProtection="1">
      <alignment vertical="center"/>
    </xf>
    <xf numFmtId="43" fontId="2" fillId="0" borderId="5" xfId="1" applyFont="1" applyFill="1" applyBorder="1" applyAlignment="1" applyProtection="1">
      <alignment vertical="center"/>
    </xf>
    <xf numFmtId="182" fontId="2" fillId="0" borderId="5" xfId="1" applyNumberFormat="1" applyFont="1" applyFill="1" applyBorder="1" applyAlignment="1" applyProtection="1">
      <alignment vertical="center"/>
    </xf>
    <xf numFmtId="171" fontId="2" fillId="0" borderId="4" xfId="1" applyNumberFormat="1" applyFont="1" applyFill="1" applyBorder="1" applyAlignment="1" applyProtection="1">
      <alignment vertical="center"/>
    </xf>
    <xf numFmtId="167" fontId="2" fillId="0" borderId="5" xfId="1" applyNumberFormat="1" applyFont="1" applyFill="1" applyBorder="1" applyAlignment="1" applyProtection="1">
      <alignment vertical="center"/>
    </xf>
    <xf numFmtId="165" fontId="2" fillId="0" borderId="4" xfId="1" applyNumberFormat="1" applyFont="1" applyFill="1" applyBorder="1" applyAlignment="1" applyProtection="1">
      <alignment vertical="center"/>
    </xf>
    <xf numFmtId="167" fontId="2" fillId="0" borderId="4" xfId="1" applyNumberFormat="1" applyFont="1" applyFill="1" applyBorder="1" applyAlignment="1" applyProtection="1">
      <alignment vertical="center"/>
    </xf>
    <xf numFmtId="167" fontId="2" fillId="0" borderId="7" xfId="1" applyNumberFormat="1" applyFont="1" applyFill="1" applyBorder="1" applyAlignment="1" applyProtection="1">
      <alignment vertical="center"/>
    </xf>
    <xf numFmtId="44" fontId="12" fillId="8" borderId="31" xfId="2" applyFont="1" applyFill="1" applyBorder="1" applyAlignment="1" applyProtection="1">
      <alignment horizontal="center" vertical="center"/>
      <protection locked="0"/>
    </xf>
    <xf numFmtId="172" fontId="12" fillId="0" borderId="0" xfId="16" applyFont="1" applyBorder="1" applyAlignment="1" applyProtection="1">
      <alignment horizontal="center" vertical="center"/>
    </xf>
    <xf numFmtId="44" fontId="12" fillId="8" borderId="44" xfId="2" applyFont="1" applyFill="1" applyBorder="1" applyAlignment="1" applyProtection="1">
      <alignment horizontal="center" vertical="center"/>
      <protection locked="0"/>
    </xf>
    <xf numFmtId="172" fontId="12" fillId="0" borderId="41" xfId="16" applyNumberFormat="1" applyFont="1" applyBorder="1" applyAlignment="1" applyProtection="1">
      <alignment horizontal="center" vertical="center"/>
    </xf>
    <xf numFmtId="172" fontId="13" fillId="0" borderId="30" xfId="29" applyNumberFormat="1" applyFont="1" applyBorder="1" applyAlignment="1" applyProtection="1">
      <alignment horizontal="center" vertical="center"/>
    </xf>
    <xf numFmtId="10" fontId="12" fillId="0" borderId="30" xfId="30" applyNumberFormat="1" applyFont="1" applyBorder="1" applyAlignment="1" applyProtection="1">
      <alignment horizontal="center" vertical="center"/>
    </xf>
    <xf numFmtId="180" fontId="12" fillId="8" borderId="31" xfId="16" applyNumberFormat="1" applyFont="1" applyFill="1" applyBorder="1" applyAlignment="1" applyProtection="1">
      <alignment horizontal="center" vertical="center"/>
      <protection locked="0"/>
    </xf>
    <xf numFmtId="180" fontId="12" fillId="8" borderId="44" xfId="16" applyNumberFormat="1" applyFont="1" applyFill="1" applyBorder="1" applyAlignment="1" applyProtection="1">
      <alignment horizontal="center" vertical="center"/>
      <protection locked="0"/>
    </xf>
    <xf numFmtId="172" fontId="12" fillId="0" borderId="41" xfId="16" applyFont="1" applyBorder="1" applyAlignment="1" applyProtection="1">
      <alignment horizontal="center" vertical="center"/>
    </xf>
    <xf numFmtId="10" fontId="19" fillId="0" borderId="30" xfId="30" applyNumberFormat="1" applyFont="1" applyBorder="1" applyAlignment="1" applyProtection="1">
      <alignment horizontal="center" vertical="center"/>
    </xf>
    <xf numFmtId="172" fontId="19" fillId="0" borderId="31" xfId="16" applyNumberFormat="1" applyFont="1" applyFill="1" applyBorder="1" applyAlignment="1" applyProtection="1">
      <alignment horizontal="center" vertical="center"/>
      <protection locked="0"/>
    </xf>
    <xf numFmtId="172" fontId="19" fillId="0" borderId="0" xfId="16" applyFont="1" applyFill="1" applyBorder="1" applyAlignment="1" applyProtection="1">
      <alignment horizontal="center" vertical="center"/>
    </xf>
    <xf numFmtId="172" fontId="19" fillId="0" borderId="41" xfId="16" applyNumberFormat="1" applyFont="1" applyFill="1" applyBorder="1" applyAlignment="1" applyProtection="1">
      <alignment horizontal="center" vertical="center"/>
    </xf>
    <xf numFmtId="172" fontId="2" fillId="0" borderId="30" xfId="29" applyNumberFormat="1" applyFont="1" applyFill="1" applyBorder="1" applyAlignment="1" applyProtection="1">
      <alignment horizontal="center" vertical="center"/>
    </xf>
    <xf numFmtId="180" fontId="12" fillId="8" borderId="28" xfId="16" applyNumberFormat="1" applyFont="1" applyFill="1" applyBorder="1" applyAlignment="1" applyProtection="1">
      <alignment horizontal="center" vertical="center"/>
      <protection locked="0"/>
    </xf>
    <xf numFmtId="172" fontId="12" fillId="0" borderId="34" xfId="16" applyFont="1" applyBorder="1" applyAlignment="1" applyProtection="1">
      <alignment horizontal="center" vertical="center"/>
    </xf>
    <xf numFmtId="180" fontId="12" fillId="8" borderId="42" xfId="16" applyNumberFormat="1" applyFont="1" applyFill="1" applyBorder="1" applyAlignment="1" applyProtection="1">
      <alignment horizontal="center" vertical="center"/>
      <protection locked="0"/>
    </xf>
    <xf numFmtId="172" fontId="12" fillId="0" borderId="43" xfId="16" applyFont="1" applyBorder="1" applyAlignment="1" applyProtection="1">
      <alignment horizontal="center" vertical="center"/>
    </xf>
    <xf numFmtId="180" fontId="15" fillId="9" borderId="28" xfId="16" applyNumberFormat="1" applyFont="1" applyFill="1" applyBorder="1" applyAlignment="1" applyProtection="1">
      <alignment horizontal="center" vertical="center"/>
      <protection locked="0"/>
    </xf>
    <xf numFmtId="172" fontId="15" fillId="9" borderId="34" xfId="16" applyFont="1" applyFill="1" applyBorder="1" applyAlignment="1" applyProtection="1">
      <alignment horizontal="center" vertical="center"/>
    </xf>
    <xf numFmtId="180" fontId="15" fillId="9" borderId="42" xfId="16" applyNumberFormat="1" applyFont="1" applyFill="1" applyBorder="1" applyAlignment="1" applyProtection="1">
      <alignment horizontal="center" vertical="center"/>
      <protection locked="0"/>
    </xf>
    <xf numFmtId="172" fontId="15" fillId="9" borderId="43" xfId="16" applyFont="1" applyFill="1" applyBorder="1" applyAlignment="1" applyProtection="1">
      <alignment horizontal="center" vertical="center"/>
    </xf>
    <xf numFmtId="172" fontId="14" fillId="9" borderId="24" xfId="29" applyNumberFormat="1" applyFont="1" applyFill="1" applyBorder="1" applyAlignment="1" applyProtection="1">
      <alignment horizontal="center" vertical="center"/>
    </xf>
    <xf numFmtId="10" fontId="15" fillId="9" borderId="22" xfId="30" applyNumberFormat="1" applyFont="1" applyFill="1" applyBorder="1" applyAlignment="1" applyProtection="1">
      <alignment horizontal="center" vertical="center"/>
    </xf>
    <xf numFmtId="0" fontId="13" fillId="9" borderId="22" xfId="29" applyFont="1" applyFill="1" applyBorder="1" applyAlignment="1" applyProtection="1">
      <alignment horizontal="center" vertical="center"/>
      <protection locked="0"/>
    </xf>
    <xf numFmtId="172" fontId="14" fillId="9" borderId="29" xfId="29" applyNumberFormat="1" applyFont="1" applyFill="1" applyBorder="1" applyAlignment="1" applyProtection="1">
      <alignment horizontal="center" vertical="center"/>
    </xf>
    <xf numFmtId="0" fontId="13" fillId="9" borderId="25" xfId="29" applyFont="1" applyFill="1" applyBorder="1" applyAlignment="1" applyProtection="1">
      <alignment horizontal="center" vertical="center"/>
      <protection locked="0"/>
    </xf>
    <xf numFmtId="0" fontId="14" fillId="9" borderId="25" xfId="29" applyFont="1" applyFill="1" applyBorder="1" applyAlignment="1" applyProtection="1">
      <alignment horizontal="center" vertical="center"/>
      <protection locked="0"/>
    </xf>
    <xf numFmtId="172" fontId="14" fillId="9" borderId="39" xfId="29" applyNumberFormat="1" applyFont="1" applyFill="1" applyBorder="1" applyAlignment="1" applyProtection="1">
      <alignment horizontal="center" vertical="center"/>
    </xf>
    <xf numFmtId="180" fontId="13" fillId="0" borderId="31" xfId="16" applyNumberFormat="1" applyFont="1" applyFill="1" applyBorder="1" applyAlignment="1" applyProtection="1">
      <alignment horizontal="center" vertical="center"/>
      <protection locked="0"/>
    </xf>
    <xf numFmtId="172" fontId="13" fillId="0" borderId="27" xfId="16" applyFont="1" applyFill="1" applyBorder="1" applyAlignment="1" applyProtection="1">
      <alignment horizontal="center" vertical="center"/>
    </xf>
    <xf numFmtId="172" fontId="13" fillId="0" borderId="41" xfId="16" applyFont="1" applyFill="1" applyBorder="1" applyAlignment="1" applyProtection="1">
      <alignment horizontal="center" vertical="center"/>
    </xf>
    <xf numFmtId="172" fontId="13" fillId="0" borderId="31" xfId="16" applyFont="1" applyFill="1" applyBorder="1" applyAlignment="1" applyProtection="1">
      <alignment horizontal="center" vertical="center"/>
    </xf>
    <xf numFmtId="172" fontId="13" fillId="0" borderId="28" xfId="16" applyFont="1" applyBorder="1" applyAlignment="1" applyProtection="1">
      <alignment horizontal="center" vertical="center"/>
    </xf>
    <xf numFmtId="180" fontId="14" fillId="9" borderId="22" xfId="16" applyNumberFormat="1" applyFont="1" applyFill="1" applyBorder="1" applyAlignment="1" applyProtection="1">
      <alignment horizontal="center" vertical="center"/>
      <protection locked="0"/>
    </xf>
    <xf numFmtId="172" fontId="14" fillId="9" borderId="29" xfId="16" applyFont="1" applyFill="1" applyBorder="1" applyAlignment="1" applyProtection="1">
      <alignment horizontal="center" vertical="center"/>
    </xf>
    <xf numFmtId="180" fontId="14" fillId="9" borderId="25" xfId="16" applyNumberFormat="1" applyFont="1" applyFill="1" applyBorder="1" applyAlignment="1" applyProtection="1">
      <alignment horizontal="center" vertical="center"/>
      <protection locked="0"/>
    </xf>
    <xf numFmtId="172" fontId="14" fillId="9" borderId="39" xfId="16" applyFont="1" applyFill="1" applyBorder="1" applyAlignment="1" applyProtection="1">
      <alignment horizontal="center" vertical="center"/>
    </xf>
    <xf numFmtId="172" fontId="13" fillId="0" borderId="0" xfId="16" applyFont="1" applyFill="1" applyBorder="1" applyAlignment="1" applyProtection="1">
      <alignment horizontal="center" vertical="center"/>
    </xf>
    <xf numFmtId="180" fontId="13" fillId="10" borderId="36" xfId="16" applyNumberFormat="1" applyFont="1" applyFill="1" applyBorder="1" applyAlignment="1" applyProtection="1">
      <alignment horizontal="center" vertical="center"/>
      <protection locked="0"/>
    </xf>
    <xf numFmtId="172" fontId="13" fillId="10" borderId="15" xfId="16" applyFont="1" applyFill="1" applyBorder="1" applyAlignment="1" applyProtection="1">
      <alignment horizontal="center" vertical="center"/>
    </xf>
    <xf numFmtId="180" fontId="13" fillId="10" borderId="45" xfId="16" applyNumberFormat="1" applyFont="1" applyFill="1" applyBorder="1" applyAlignment="1" applyProtection="1">
      <alignment horizontal="center" vertical="center"/>
      <protection locked="0"/>
    </xf>
    <xf numFmtId="172" fontId="13" fillId="10" borderId="46" xfId="16" applyFont="1" applyFill="1" applyBorder="1" applyAlignment="1" applyProtection="1">
      <alignment horizontal="center" vertical="center"/>
    </xf>
    <xf numFmtId="172" fontId="13" fillId="10" borderId="36" xfId="29" applyNumberFormat="1" applyFont="1" applyFill="1" applyBorder="1" applyAlignment="1" applyProtection="1">
      <alignment horizontal="center" vertical="center"/>
    </xf>
    <xf numFmtId="10" fontId="13" fillId="10" borderId="36" xfId="30" applyNumberFormat="1" applyFont="1" applyFill="1" applyBorder="1" applyAlignment="1" applyProtection="1">
      <alignment horizontal="center" vertical="center"/>
    </xf>
    <xf numFmtId="9" fontId="13" fillId="0" borderId="31" xfId="29" applyNumberFormat="1" applyFont="1" applyFill="1" applyBorder="1" applyAlignment="1" applyProtection="1">
      <alignment horizontal="center" vertical="center"/>
    </xf>
    <xf numFmtId="172" fontId="14" fillId="0" borderId="37" xfId="29" applyNumberFormat="1" applyFont="1" applyFill="1" applyBorder="1" applyAlignment="1" applyProtection="1">
      <alignment horizontal="center" vertical="center"/>
    </xf>
    <xf numFmtId="9" fontId="14" fillId="0" borderId="44" xfId="29" applyNumberFormat="1" applyFont="1" applyFill="1" applyBorder="1" applyAlignment="1" applyProtection="1">
      <alignment horizontal="center" vertical="center"/>
    </xf>
    <xf numFmtId="172" fontId="14" fillId="0" borderId="50" xfId="29" applyNumberFormat="1" applyFont="1" applyFill="1" applyBorder="1" applyAlignment="1" applyProtection="1">
      <alignment horizontal="center" vertical="center"/>
    </xf>
    <xf numFmtId="172" fontId="13" fillId="0" borderId="37" xfId="29" applyNumberFormat="1" applyFont="1" applyFill="1" applyBorder="1" applyAlignment="1" applyProtection="1">
      <alignment horizontal="center" vertical="center"/>
    </xf>
    <xf numFmtId="9" fontId="13" fillId="0" borderId="44" xfId="29" applyNumberFormat="1" applyFont="1" applyFill="1" applyBorder="1" applyAlignment="1" applyProtection="1">
      <alignment horizontal="center" vertical="center"/>
    </xf>
    <xf numFmtId="172" fontId="13" fillId="0" borderId="41" xfId="29" applyNumberFormat="1" applyFont="1" applyFill="1" applyBorder="1" applyAlignment="1" applyProtection="1">
      <alignment horizontal="center" vertical="center"/>
    </xf>
    <xf numFmtId="172" fontId="13" fillId="0" borderId="51" xfId="29" applyNumberFormat="1" applyFont="1" applyFill="1" applyBorder="1" applyAlignment="1" applyProtection="1">
      <alignment horizontal="center" vertical="center"/>
    </xf>
    <xf numFmtId="0" fontId="13" fillId="9" borderId="22" xfId="29" applyFont="1" applyFill="1" applyBorder="1" applyAlignment="1" applyProtection="1">
      <alignment horizontal="center" vertical="center"/>
    </xf>
    <xf numFmtId="172" fontId="14" fillId="9" borderId="23" xfId="29" applyNumberFormat="1" applyFont="1" applyFill="1" applyBorder="1" applyAlignment="1" applyProtection="1">
      <alignment horizontal="center" vertical="center"/>
    </xf>
    <xf numFmtId="0" fontId="14" fillId="9" borderId="25" xfId="29" applyFont="1" applyFill="1" applyBorder="1" applyAlignment="1" applyProtection="1">
      <alignment horizontal="center" vertical="center"/>
    </xf>
    <xf numFmtId="180" fontId="13" fillId="0" borderId="44" xfId="16" applyNumberFormat="1" applyFont="1" applyFill="1" applyBorder="1" applyAlignment="1" applyProtection="1">
      <alignment horizontal="center" vertical="center"/>
      <protection locked="0"/>
    </xf>
    <xf numFmtId="172" fontId="13" fillId="0" borderId="30" xfId="29" applyNumberFormat="1" applyFont="1" applyFill="1" applyBorder="1" applyAlignment="1" applyProtection="1">
      <alignment horizontal="center" vertical="center"/>
    </xf>
    <xf numFmtId="172" fontId="12" fillId="8" borderId="31" xfId="16" applyNumberFormat="1" applyFont="1" applyFill="1" applyBorder="1" applyAlignment="1" applyProtection="1">
      <alignment horizontal="center" vertical="center"/>
      <protection locked="0"/>
    </xf>
    <xf numFmtId="172" fontId="12" fillId="8" borderId="44" xfId="16" applyNumberFormat="1" applyFont="1" applyFill="1" applyBorder="1" applyAlignment="1" applyProtection="1">
      <alignment horizontal="center" vertical="center"/>
      <protection locked="0"/>
    </xf>
    <xf numFmtId="180" fontId="19" fillId="0" borderId="31" xfId="16" applyNumberFormat="1" applyFont="1" applyFill="1" applyBorder="1" applyAlignment="1" applyProtection="1">
      <alignment horizontal="center" vertical="center"/>
      <protection locked="0"/>
    </xf>
    <xf numFmtId="180" fontId="19" fillId="0" borderId="44" xfId="16" applyNumberFormat="1" applyFont="1" applyFill="1" applyBorder="1" applyAlignment="1" applyProtection="1">
      <alignment horizontal="center" vertical="center"/>
      <protection locked="0"/>
    </xf>
    <xf numFmtId="172" fontId="15" fillId="9" borderId="26" xfId="16" applyFont="1" applyFill="1" applyBorder="1" applyAlignment="1" applyProtection="1">
      <alignment horizontal="center" vertical="center"/>
    </xf>
    <xf numFmtId="10" fontId="12" fillId="0" borderId="30" xfId="30" applyNumberFormat="1" applyFont="1" applyFill="1" applyBorder="1" applyAlignment="1" applyProtection="1">
      <alignment horizontal="center" vertical="center"/>
    </xf>
    <xf numFmtId="172" fontId="14" fillId="9" borderId="49" xfId="29" applyNumberFormat="1" applyFont="1" applyFill="1" applyBorder="1" applyAlignment="1" applyProtection="1">
      <alignment horizontal="center" vertical="center"/>
    </xf>
    <xf numFmtId="172" fontId="12" fillId="0" borderId="0" xfId="16" applyFont="1" applyFill="1" applyBorder="1" applyAlignment="1" applyProtection="1">
      <alignment horizontal="center" vertical="center"/>
    </xf>
    <xf numFmtId="172" fontId="12" fillId="0" borderId="0" xfId="16" applyNumberFormat="1" applyFont="1" applyBorder="1" applyAlignment="1" applyProtection="1">
      <alignment horizontal="center" vertical="center"/>
    </xf>
    <xf numFmtId="172" fontId="13" fillId="0" borderId="44" xfId="29" applyNumberFormat="1" applyFont="1" applyBorder="1" applyAlignment="1" applyProtection="1">
      <alignment horizontal="center" vertical="center"/>
    </xf>
    <xf numFmtId="172" fontId="12" fillId="0" borderId="34" xfId="16" applyFont="1" applyFill="1" applyBorder="1" applyAlignment="1" applyProtection="1">
      <alignment horizontal="center" vertical="center"/>
    </xf>
    <xf numFmtId="172" fontId="14" fillId="9" borderId="25" xfId="29" applyNumberFormat="1" applyFont="1" applyFill="1" applyBorder="1" applyAlignment="1" applyProtection="1">
      <alignment horizontal="center" vertical="center"/>
    </xf>
    <xf numFmtId="172" fontId="13" fillId="0" borderId="44" xfId="29" applyNumberFormat="1" applyFont="1" applyFill="1" applyBorder="1" applyAlignment="1" applyProtection="1">
      <alignment horizontal="center" vertical="center"/>
    </xf>
    <xf numFmtId="172" fontId="14" fillId="9" borderId="38" xfId="29" applyNumberFormat="1" applyFont="1" applyFill="1" applyBorder="1" applyAlignment="1" applyProtection="1">
      <alignment horizontal="center" vertical="center"/>
    </xf>
    <xf numFmtId="172" fontId="13" fillId="10" borderId="45" xfId="29" applyNumberFormat="1" applyFont="1" applyFill="1" applyBorder="1" applyAlignment="1" applyProtection="1">
      <alignment horizontal="center" vertical="center"/>
    </xf>
    <xf numFmtId="10" fontId="12" fillId="0" borderId="32" xfId="30" applyNumberFormat="1" applyFont="1" applyFill="1" applyBorder="1" applyAlignment="1" applyProtection="1">
      <alignment horizontal="center" vertical="center"/>
    </xf>
    <xf numFmtId="44" fontId="12" fillId="0" borderId="31" xfId="2" applyFont="1" applyFill="1" applyBorder="1" applyAlignment="1" applyProtection="1">
      <alignment horizontal="center" vertical="center"/>
      <protection locked="0"/>
    </xf>
    <xf numFmtId="44" fontId="12" fillId="0" borderId="44" xfId="2" applyFont="1" applyFill="1" applyBorder="1" applyAlignment="1" applyProtection="1">
      <alignment horizontal="center" vertical="center"/>
      <protection locked="0"/>
    </xf>
    <xf numFmtId="180" fontId="12" fillId="0" borderId="31" xfId="16" applyNumberFormat="1" applyFont="1" applyFill="1" applyBorder="1" applyAlignment="1" applyProtection="1">
      <alignment horizontal="center" vertical="center"/>
      <protection locked="0"/>
    </xf>
    <xf numFmtId="180" fontId="12" fillId="0" borderId="44" xfId="16" applyNumberFormat="1" applyFont="1" applyFill="1" applyBorder="1" applyAlignment="1" applyProtection="1">
      <alignment horizontal="center" vertical="center"/>
      <protection locked="0"/>
    </xf>
    <xf numFmtId="180" fontId="12" fillId="0" borderId="28" xfId="16" applyNumberFormat="1" applyFont="1" applyFill="1" applyBorder="1" applyAlignment="1" applyProtection="1">
      <alignment horizontal="center" vertical="center"/>
      <protection locked="0"/>
    </xf>
    <xf numFmtId="10" fontId="12" fillId="0" borderId="32" xfId="30" applyNumberFormat="1" applyFont="1" applyBorder="1" applyAlignment="1" applyProtection="1">
      <alignment horizontal="center" vertical="center"/>
    </xf>
    <xf numFmtId="180" fontId="15" fillId="9" borderId="25" xfId="16" applyNumberFormat="1" applyFont="1" applyFill="1" applyBorder="1" applyAlignment="1" applyProtection="1">
      <alignment horizontal="center" vertical="center"/>
      <protection locked="0"/>
    </xf>
    <xf numFmtId="172" fontId="14" fillId="9" borderId="26" xfId="16" applyFont="1" applyFill="1" applyBorder="1" applyAlignment="1" applyProtection="1">
      <alignment horizontal="center" vertical="center"/>
    </xf>
    <xf numFmtId="172" fontId="14" fillId="9" borderId="52" xfId="29" applyNumberFormat="1" applyFont="1" applyFill="1" applyBorder="1" applyAlignment="1" applyProtection="1">
      <alignment horizontal="center" vertical="center"/>
    </xf>
    <xf numFmtId="0" fontId="2" fillId="0" borderId="27" xfId="29" applyFont="1" applyFill="1" applyBorder="1" applyAlignment="1" applyProtection="1">
      <alignment horizontal="right" vertical="top" wrapText="1"/>
    </xf>
    <xf numFmtId="0" fontId="2" fillId="0" borderId="28" xfId="29" applyFont="1" applyFill="1" applyBorder="1" applyAlignment="1" applyProtection="1">
      <alignment horizontal="right" vertical="top" wrapText="1"/>
    </xf>
    <xf numFmtId="0" fontId="6" fillId="0" borderId="0" xfId="0" applyFont="1" applyProtection="1"/>
    <xf numFmtId="185" fontId="12" fillId="8" borderId="44" xfId="2" applyNumberFormat="1" applyFont="1" applyFill="1" applyBorder="1" applyAlignment="1" applyProtection="1">
      <alignment horizontal="center" vertical="center"/>
      <protection locked="0"/>
    </xf>
    <xf numFmtId="186" fontId="19" fillId="0" borderId="44" xfId="16" applyNumberFormat="1" applyFont="1" applyFill="1" applyBorder="1" applyAlignment="1" applyProtection="1">
      <alignment horizontal="center" vertical="center"/>
      <protection locked="0"/>
    </xf>
    <xf numFmtId="172" fontId="13" fillId="8" borderId="31" xfId="16" applyNumberFormat="1" applyFont="1" applyFill="1" applyBorder="1" applyAlignment="1" applyProtection="1">
      <alignment horizontal="center" vertical="center"/>
      <protection locked="0"/>
    </xf>
    <xf numFmtId="172" fontId="13" fillId="0" borderId="31" xfId="16" applyNumberFormat="1" applyFont="1" applyFill="1" applyBorder="1" applyAlignment="1" applyProtection="1">
      <alignment horizontal="center" vertical="center"/>
      <protection locked="0"/>
    </xf>
    <xf numFmtId="172" fontId="13" fillId="0" borderId="44" xfId="16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67" fontId="2" fillId="0" borderId="0" xfId="1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178" fontId="13" fillId="8" borderId="30" xfId="1" applyNumberFormat="1" applyFont="1" applyFill="1" applyBorder="1" applyAlignment="1" applyProtection="1">
      <alignment horizontal="right" vertical="center"/>
      <protection locked="0"/>
    </xf>
    <xf numFmtId="178" fontId="13" fillId="0" borderId="30" xfId="1" applyNumberFormat="1" applyFont="1" applyFill="1" applyBorder="1" applyAlignment="1" applyProtection="1">
      <alignment horizontal="right" vertical="center"/>
      <protection locked="0"/>
    </xf>
    <xf numFmtId="3" fontId="14" fillId="9" borderId="24" xfId="29" applyNumberFormat="1" applyFont="1" applyFill="1" applyBorder="1" applyAlignment="1" applyProtection="1">
      <alignment horizontal="right" vertical="center"/>
      <protection locked="0"/>
    </xf>
    <xf numFmtId="3" fontId="2" fillId="0" borderId="37" xfId="29" applyNumberFormat="1" applyFont="1" applyFill="1" applyBorder="1" applyAlignment="1" applyProtection="1">
      <alignment horizontal="right" vertical="top" wrapText="1"/>
    </xf>
    <xf numFmtId="43" fontId="2" fillId="0" borderId="0" xfId="1" applyFont="1" applyFill="1" applyBorder="1" applyAlignment="1" applyProtection="1">
      <alignment horizontal="center" vertical="center"/>
    </xf>
    <xf numFmtId="171" fontId="2" fillId="0" borderId="0" xfId="1" applyNumberFormat="1" applyFont="1" applyFill="1" applyBorder="1" applyAlignment="1" applyProtection="1">
      <alignment horizontal="right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43" fontId="2" fillId="0" borderId="0" xfId="1" applyFont="1" applyFill="1" applyBorder="1" applyAlignment="1" applyProtection="1">
      <alignment vertical="center"/>
    </xf>
    <xf numFmtId="182" fontId="2" fillId="0" borderId="0" xfId="1" applyNumberFormat="1" applyFont="1" applyFill="1" applyBorder="1" applyAlignment="1" applyProtection="1">
      <alignment vertical="center"/>
    </xf>
    <xf numFmtId="171" fontId="2" fillId="0" borderId="0" xfId="1" applyNumberFormat="1" applyFont="1" applyFill="1" applyBorder="1" applyAlignment="1" applyProtection="1">
      <alignment vertical="center"/>
    </xf>
    <xf numFmtId="165" fontId="2" fillId="0" borderId="0" xfId="1" applyNumberFormat="1" applyFont="1" applyFill="1" applyBorder="1" applyAlignment="1" applyProtection="1">
      <alignment vertical="center"/>
    </xf>
    <xf numFmtId="182" fontId="2" fillId="0" borderId="0" xfId="1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4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29" applyFont="1" applyFill="1" applyBorder="1" applyAlignment="1" applyProtection="1">
      <alignment horizontal="center" vertical="center"/>
    </xf>
    <xf numFmtId="172" fontId="14" fillId="0" borderId="0" xfId="29" applyNumberFormat="1" applyFont="1" applyFill="1" applyBorder="1" applyAlignment="1" applyProtection="1">
      <alignment horizontal="center" vertical="center"/>
    </xf>
    <xf numFmtId="0" fontId="14" fillId="0" borderId="0" xfId="29" applyFont="1" applyFill="1" applyBorder="1" applyAlignment="1" applyProtection="1">
      <alignment horizontal="center" vertical="center"/>
    </xf>
    <xf numFmtId="10" fontId="15" fillId="0" borderId="0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Border="1"/>
    <xf numFmtId="0" fontId="0" fillId="0" borderId="30" xfId="0" applyBorder="1"/>
    <xf numFmtId="172" fontId="0" fillId="0" borderId="0" xfId="0" applyNumberFormat="1" applyBorder="1" applyAlignment="1"/>
    <xf numFmtId="0" fontId="0" fillId="0" borderId="35" xfId="0" applyBorder="1" applyAlignment="1"/>
    <xf numFmtId="0" fontId="0" fillId="0" borderId="37" xfId="0" applyBorder="1"/>
    <xf numFmtId="172" fontId="0" fillId="0" borderId="30" xfId="0" applyNumberFormat="1" applyBorder="1"/>
    <xf numFmtId="0" fontId="0" fillId="0" borderId="23" xfId="0" applyBorder="1" applyAlignment="1"/>
    <xf numFmtId="0" fontId="0" fillId="0" borderId="29" xfId="0" applyBorder="1" applyAlignment="1"/>
    <xf numFmtId="172" fontId="0" fillId="0" borderId="29" xfId="0" applyNumberFormat="1" applyBorder="1" applyAlignment="1"/>
    <xf numFmtId="0" fontId="0" fillId="0" borderId="23" xfId="0" applyBorder="1"/>
    <xf numFmtId="172" fontId="0" fillId="0" borderId="24" xfId="0" applyNumberFormat="1" applyBorder="1" applyAlignment="1"/>
    <xf numFmtId="172" fontId="0" fillId="0" borderId="29" xfId="0" applyNumberFormat="1" applyBorder="1"/>
    <xf numFmtId="10" fontId="0" fillId="0" borderId="24" xfId="3" applyNumberFormat="1" applyFont="1" applyBorder="1"/>
    <xf numFmtId="0" fontId="2" fillId="0" borderId="37" xfId="0" applyFont="1" applyBorder="1" applyAlignment="1"/>
    <xf numFmtId="172" fontId="0" fillId="0" borderId="30" xfId="0" applyNumberFormat="1" applyBorder="1" applyAlignment="1"/>
    <xf numFmtId="0" fontId="2" fillId="0" borderId="37" xfId="0" applyFont="1" applyFill="1" applyBorder="1" applyAlignment="1"/>
    <xf numFmtId="172" fontId="0" fillId="0" borderId="23" xfId="0" applyNumberFormat="1" applyBorder="1"/>
    <xf numFmtId="0" fontId="4" fillId="0" borderId="23" xfId="29" applyFont="1" applyFill="1" applyBorder="1" applyAlignment="1" applyProtection="1">
      <alignment horizontal="left" vertical="top"/>
    </xf>
    <xf numFmtId="172" fontId="0" fillId="0" borderId="53" xfId="0" applyNumberFormat="1" applyBorder="1" applyAlignment="1"/>
    <xf numFmtId="180" fontId="0" fillId="0" borderId="35" xfId="0" applyNumberFormat="1" applyBorder="1" applyAlignment="1"/>
    <xf numFmtId="44" fontId="0" fillId="0" borderId="37" xfId="0" applyNumberFormat="1" applyBorder="1" applyAlignment="1"/>
    <xf numFmtId="180" fontId="0" fillId="0" borderId="37" xfId="0" applyNumberFormat="1" applyBorder="1" applyAlignment="1"/>
    <xf numFmtId="44" fontId="0" fillId="0" borderId="37" xfId="0" applyNumberFormat="1" applyBorder="1"/>
    <xf numFmtId="185" fontId="0" fillId="0" borderId="37" xfId="0" applyNumberFormat="1" applyBorder="1"/>
    <xf numFmtId="180" fontId="0" fillId="0" borderId="37" xfId="0" applyNumberFormat="1" applyBorder="1"/>
    <xf numFmtId="0" fontId="0" fillId="8" borderId="0" xfId="0" applyFill="1" applyAlignment="1">
      <alignment horizontal="center"/>
    </xf>
    <xf numFmtId="10" fontId="0" fillId="8" borderId="0" xfId="0" applyNumberFormat="1" applyFill="1"/>
    <xf numFmtId="0" fontId="6" fillId="8" borderId="0" xfId="0" applyFont="1" applyFill="1"/>
    <xf numFmtId="0" fontId="8" fillId="12" borderId="27" xfId="0" applyFont="1" applyFill="1" applyBorder="1" applyAlignment="1">
      <alignment horizontal="center"/>
    </xf>
    <xf numFmtId="0" fontId="8" fillId="12" borderId="28" xfId="0" applyFont="1" applyFill="1" applyBorder="1" applyAlignment="1">
      <alignment horizontal="center"/>
    </xf>
    <xf numFmtId="0" fontId="8" fillId="12" borderId="22" xfId="0" applyFont="1" applyFill="1" applyBorder="1" applyAlignment="1">
      <alignment horizontal="center"/>
    </xf>
    <xf numFmtId="165" fontId="13" fillId="0" borderId="0" xfId="1" applyNumberFormat="1" applyFont="1" applyFill="1" applyBorder="1" applyAlignment="1" applyProtection="1">
      <alignment horizontal="right" vertical="center"/>
      <protection locked="0"/>
    </xf>
    <xf numFmtId="170" fontId="13" fillId="0" borderId="0" xfId="1" applyNumberFormat="1" applyFont="1" applyFill="1" applyBorder="1" applyAlignment="1" applyProtection="1">
      <alignment horizontal="right" vertical="center"/>
      <protection locked="0"/>
    </xf>
    <xf numFmtId="165" fontId="13" fillId="0" borderId="0" xfId="29" applyNumberFormat="1" applyFont="1" applyFill="1" applyBorder="1" applyAlignment="1" applyProtection="1">
      <alignment horizontal="right" vertical="center"/>
      <protection locked="0"/>
    </xf>
    <xf numFmtId="180" fontId="15" fillId="9" borderId="22" xfId="16" applyNumberFormat="1" applyFont="1" applyFill="1" applyBorder="1" applyAlignment="1" applyProtection="1">
      <alignment horizontal="center" vertical="center"/>
      <protection locked="0"/>
    </xf>
    <xf numFmtId="0" fontId="14" fillId="9" borderId="22" xfId="29" applyFont="1" applyFill="1" applyBorder="1" applyAlignment="1" applyProtection="1">
      <alignment horizontal="right" vertical="center"/>
      <protection locked="0"/>
    </xf>
    <xf numFmtId="172" fontId="15" fillId="9" borderId="29" xfId="16" applyFont="1" applyFill="1" applyBorder="1" applyAlignment="1" applyProtection="1">
      <alignment horizontal="center" vertical="center"/>
    </xf>
    <xf numFmtId="172" fontId="15" fillId="9" borderId="39" xfId="16" applyFont="1" applyFill="1" applyBorder="1" applyAlignment="1" applyProtection="1">
      <alignment horizontal="center" vertical="center"/>
    </xf>
    <xf numFmtId="0" fontId="2" fillId="0" borderId="0" xfId="34"/>
    <xf numFmtId="0" fontId="2" fillId="0" borderId="0" xfId="34" applyFont="1" applyFill="1"/>
    <xf numFmtId="0" fontId="2" fillId="0" borderId="0" xfId="34" applyFill="1"/>
    <xf numFmtId="0" fontId="3" fillId="2" borderId="0" xfId="34" applyFont="1" applyFill="1" applyAlignment="1" applyProtection="1">
      <alignment horizontal="left"/>
    </xf>
    <xf numFmtId="0" fontId="2" fillId="0" borderId="0" xfId="34" applyFont="1" applyProtection="1"/>
    <xf numFmtId="0" fontId="2" fillId="0" borderId="0" xfId="34" applyProtection="1"/>
    <xf numFmtId="0" fontId="4" fillId="11" borderId="22" xfId="34" applyFont="1" applyFill="1" applyBorder="1" applyAlignment="1" applyProtection="1">
      <alignment horizontal="center"/>
    </xf>
    <xf numFmtId="0" fontId="3" fillId="0" borderId="0" xfId="34" applyFont="1" applyFill="1" applyAlignment="1" applyProtection="1"/>
    <xf numFmtId="0" fontId="2" fillId="0" borderId="0" xfId="34" applyAlignment="1" applyProtection="1">
      <alignment horizontal="center"/>
    </xf>
    <xf numFmtId="164" fontId="4" fillId="3" borderId="1" xfId="34" applyNumberFormat="1" applyFont="1" applyFill="1" applyBorder="1" applyAlignment="1" applyProtection="1">
      <alignment horizontal="left" vertical="center"/>
    </xf>
    <xf numFmtId="164" fontId="4" fillId="3" borderId="2" xfId="34" applyNumberFormat="1" applyFont="1" applyFill="1" applyBorder="1" applyAlignment="1" applyProtection="1">
      <alignment horizontal="center" vertical="center" wrapText="1"/>
    </xf>
    <xf numFmtId="0" fontId="2" fillId="0" borderId="3" xfId="34" applyFont="1" applyFill="1" applyBorder="1" applyAlignment="1" applyProtection="1">
      <alignment horizontal="left" vertical="center" wrapText="1"/>
    </xf>
    <xf numFmtId="0" fontId="2" fillId="0" borderId="0" xfId="34" applyFont="1" applyFill="1" applyProtection="1"/>
    <xf numFmtId="0" fontId="2" fillId="0" borderId="0" xfId="34" applyFill="1" applyProtection="1"/>
    <xf numFmtId="0" fontId="2" fillId="0" borderId="4" xfId="34" applyFont="1" applyFill="1" applyBorder="1" applyAlignment="1" applyProtection="1">
      <alignment horizontal="left" vertical="center" wrapText="1"/>
    </xf>
    <xf numFmtId="4" fontId="2" fillId="0" borderId="0" xfId="34" applyNumberFormat="1" applyProtection="1"/>
    <xf numFmtId="0" fontId="2" fillId="0" borderId="4" xfId="34" applyFont="1" applyBorder="1" applyAlignment="1" applyProtection="1">
      <alignment horizontal="left" vertical="center" wrapText="1"/>
    </xf>
    <xf numFmtId="0" fontId="6" fillId="0" borderId="0" xfId="34" applyFont="1" applyFill="1" applyBorder="1" applyProtection="1"/>
    <xf numFmtId="0" fontId="2" fillId="4" borderId="4" xfId="34" applyFont="1" applyFill="1" applyBorder="1" applyAlignment="1" applyProtection="1">
      <alignment horizontal="left" vertical="center" wrapText="1"/>
    </xf>
    <xf numFmtId="0" fontId="2" fillId="0" borderId="0" xfId="34" applyFont="1" applyFill="1" applyBorder="1" applyProtection="1"/>
    <xf numFmtId="0" fontId="2" fillId="0" borderId="6" xfId="34" applyFont="1" applyFill="1" applyBorder="1" applyAlignment="1" applyProtection="1">
      <alignment horizontal="left" vertical="center" wrapText="1"/>
    </xf>
    <xf numFmtId="0" fontId="2" fillId="0" borderId="0" xfId="34" applyFont="1" applyFill="1" applyBorder="1" applyAlignment="1" applyProtection="1">
      <alignment horizontal="left" vertical="center" wrapText="1"/>
    </xf>
    <xf numFmtId="0" fontId="2" fillId="0" borderId="0" xfId="34" applyFont="1" applyFill="1" applyBorder="1" applyAlignment="1" applyProtection="1">
      <alignment horizontal="center" vertical="center" wrapText="1"/>
    </xf>
    <xf numFmtId="0" fontId="2" fillId="0" borderId="0" xfId="34" applyFont="1" applyAlignment="1" applyProtection="1">
      <alignment horizontal="right"/>
    </xf>
    <xf numFmtId="0" fontId="4" fillId="0" borderId="0" xfId="34" applyFont="1" applyFill="1" applyBorder="1" applyAlignment="1" applyProtection="1">
      <alignment horizontal="left" vertical="top" wrapText="1"/>
    </xf>
    <xf numFmtId="170" fontId="2" fillId="0" borderId="0" xfId="34" applyNumberFormat="1" applyProtection="1"/>
    <xf numFmtId="184" fontId="2" fillId="0" borderId="0" xfId="34" applyNumberFormat="1" applyProtection="1"/>
    <xf numFmtId="182" fontId="2" fillId="0" borderId="0" xfId="34" applyNumberFormat="1" applyProtection="1"/>
    <xf numFmtId="0" fontId="16" fillId="4" borderId="8" xfId="34" applyFont="1" applyFill="1" applyBorder="1" applyAlignment="1" applyProtection="1">
      <alignment vertical="center" wrapText="1"/>
    </xf>
    <xf numFmtId="3" fontId="17" fillId="2" borderId="8" xfId="34" applyNumberFormat="1" applyFont="1" applyFill="1" applyBorder="1" applyAlignment="1" applyProtection="1">
      <alignment horizontal="center" vertical="center"/>
      <protection locked="0"/>
    </xf>
    <xf numFmtId="3" fontId="17" fillId="4" borderId="9" xfId="34" applyNumberFormat="1" applyFont="1" applyFill="1" applyBorder="1" applyAlignment="1" applyProtection="1">
      <alignment horizontal="center" vertical="center"/>
    </xf>
    <xf numFmtId="0" fontId="4" fillId="0" borderId="0" xfId="34" applyFont="1" applyProtection="1"/>
    <xf numFmtId="0" fontId="16" fillId="4" borderId="12" xfId="34" applyFont="1" applyFill="1" applyBorder="1" applyAlignment="1" applyProtection="1">
      <alignment horizontal="left" vertical="center"/>
    </xf>
    <xf numFmtId="0" fontId="4" fillId="0" borderId="13" xfId="34" applyFont="1" applyBorder="1" applyProtection="1"/>
    <xf numFmtId="169" fontId="16" fillId="0" borderId="14" xfId="34" applyNumberFormat="1" applyFont="1" applyFill="1" applyBorder="1" applyAlignment="1" applyProtection="1">
      <alignment vertical="center"/>
    </xf>
    <xf numFmtId="0" fontId="2" fillId="0" borderId="0" xfId="35" applyFont="1" applyAlignment="1" applyProtection="1">
      <alignment wrapText="1"/>
    </xf>
    <xf numFmtId="0" fontId="4" fillId="0" borderId="0" xfId="35" applyFont="1" applyFill="1" applyBorder="1" applyAlignment="1" applyProtection="1">
      <alignment horizontal="center"/>
    </xf>
    <xf numFmtId="0" fontId="2" fillId="0" borderId="0" xfId="35" applyFill="1" applyBorder="1" applyProtection="1"/>
    <xf numFmtId="0" fontId="4" fillId="0" borderId="27" xfId="35" applyFont="1" applyBorder="1" applyAlignment="1" applyProtection="1">
      <alignment horizontal="center"/>
    </xf>
    <xf numFmtId="0" fontId="4" fillId="0" borderId="47" xfId="35" applyFont="1" applyBorder="1" applyAlignment="1" applyProtection="1">
      <alignment horizontal="center"/>
    </xf>
    <xf numFmtId="0" fontId="4" fillId="0" borderId="40" xfId="35" applyFont="1" applyBorder="1" applyAlignment="1" applyProtection="1">
      <alignment horizontal="center"/>
    </xf>
    <xf numFmtId="0" fontId="4" fillId="0" borderId="32" xfId="35" applyFont="1" applyBorder="1" applyAlignment="1" applyProtection="1">
      <alignment horizontal="center"/>
    </xf>
    <xf numFmtId="0" fontId="4" fillId="0" borderId="48" xfId="35" applyFont="1" applyBorder="1" applyAlignment="1" applyProtection="1">
      <alignment horizontal="center"/>
    </xf>
    <xf numFmtId="0" fontId="4" fillId="0" borderId="28" xfId="35" quotePrefix="1" applyFont="1" applyBorder="1" applyAlignment="1" applyProtection="1">
      <alignment horizontal="center"/>
    </xf>
    <xf numFmtId="0" fontId="4" fillId="0" borderId="34" xfId="35" quotePrefix="1" applyFont="1" applyBorder="1" applyAlignment="1" applyProtection="1">
      <alignment horizontal="center"/>
    </xf>
    <xf numFmtId="0" fontId="4" fillId="0" borderId="42" xfId="35" quotePrefix="1" applyFont="1" applyBorder="1" applyAlignment="1" applyProtection="1">
      <alignment horizontal="center"/>
    </xf>
    <xf numFmtId="0" fontId="4" fillId="0" borderId="33" xfId="35" quotePrefix="1" applyFont="1" applyBorder="1" applyAlignment="1" applyProtection="1">
      <alignment horizontal="center"/>
    </xf>
    <xf numFmtId="0" fontId="4" fillId="0" borderId="43" xfId="35" quotePrefix="1" applyFont="1" applyBorder="1" applyAlignment="1" applyProtection="1">
      <alignment horizontal="center"/>
    </xf>
    <xf numFmtId="0" fontId="4" fillId="0" borderId="0" xfId="35" quotePrefix="1" applyFont="1" applyFill="1" applyBorder="1" applyAlignment="1" applyProtection="1">
      <alignment horizontal="center"/>
    </xf>
    <xf numFmtId="0" fontId="2" fillId="0" borderId="0" xfId="34" applyFont="1"/>
    <xf numFmtId="0" fontId="2" fillId="0" borderId="37" xfId="35" applyBorder="1" applyAlignment="1" applyProtection="1">
      <alignment vertical="top" wrapText="1"/>
    </xf>
    <xf numFmtId="0" fontId="13" fillId="0" borderId="31" xfId="35" applyFont="1" applyFill="1" applyBorder="1" applyAlignment="1" applyProtection="1">
      <alignment horizontal="right" vertical="center"/>
    </xf>
    <xf numFmtId="172" fontId="12" fillId="0" borderId="0" xfId="36" applyFont="1" applyBorder="1" applyAlignment="1" applyProtection="1">
      <alignment horizontal="center" vertical="center"/>
    </xf>
    <xf numFmtId="0" fontId="13" fillId="0" borderId="30" xfId="35" applyFont="1" applyFill="1" applyBorder="1" applyAlignment="1" applyProtection="1">
      <alignment horizontal="right" vertical="center"/>
      <protection locked="0"/>
    </xf>
    <xf numFmtId="172" fontId="12" fillId="0" borderId="41" xfId="36" applyNumberFormat="1" applyFont="1" applyBorder="1" applyAlignment="1" applyProtection="1">
      <alignment horizontal="center" vertical="center"/>
    </xf>
    <xf numFmtId="172" fontId="13" fillId="0" borderId="30" xfId="35" applyNumberFormat="1" applyFont="1" applyBorder="1" applyAlignment="1" applyProtection="1">
      <alignment horizontal="center" vertical="center"/>
    </xf>
    <xf numFmtId="10" fontId="12" fillId="0" borderId="30" xfId="37" applyNumberFormat="1" applyFont="1" applyBorder="1" applyAlignment="1" applyProtection="1">
      <alignment horizontal="center" vertical="center"/>
    </xf>
    <xf numFmtId="0" fontId="13" fillId="0" borderId="0" xfId="35" applyFont="1" applyFill="1" applyBorder="1" applyAlignment="1" applyProtection="1">
      <alignment horizontal="right" vertical="center"/>
      <protection locked="0"/>
    </xf>
    <xf numFmtId="172" fontId="12" fillId="0" borderId="0" xfId="36" applyNumberFormat="1" applyFont="1" applyFill="1" applyBorder="1" applyAlignment="1" applyProtection="1">
      <alignment horizontal="right" vertical="center"/>
    </xf>
    <xf numFmtId="172" fontId="13" fillId="0" borderId="0" xfId="35" applyNumberFormat="1" applyFont="1" applyFill="1" applyBorder="1" applyAlignment="1" applyProtection="1">
      <alignment horizontal="right" vertical="center"/>
    </xf>
    <xf numFmtId="10" fontId="12" fillId="0" borderId="0" xfId="37" applyNumberFormat="1" applyFont="1" applyFill="1" applyBorder="1" applyAlignment="1" applyProtection="1">
      <alignment horizontal="right" vertical="center"/>
    </xf>
    <xf numFmtId="180" fontId="12" fillId="8" borderId="31" xfId="36" applyNumberFormat="1" applyFont="1" applyFill="1" applyBorder="1" applyAlignment="1" applyProtection="1">
      <alignment horizontal="center" vertical="center"/>
      <protection locked="0"/>
    </xf>
    <xf numFmtId="181" fontId="13" fillId="0" borderId="31" xfId="35" applyNumberFormat="1" applyFont="1" applyFill="1" applyBorder="1" applyAlignment="1" applyProtection="1">
      <alignment horizontal="right" vertical="center"/>
      <protection locked="0"/>
    </xf>
    <xf numFmtId="180" fontId="12" fillId="8" borderId="44" xfId="36" applyNumberFormat="1" applyFont="1" applyFill="1" applyBorder="1" applyAlignment="1" applyProtection="1">
      <alignment horizontal="center" vertical="center"/>
      <protection locked="0"/>
    </xf>
    <xf numFmtId="181" fontId="13" fillId="0" borderId="30" xfId="35" applyNumberFormat="1" applyFont="1" applyFill="1" applyBorder="1" applyAlignment="1" applyProtection="1">
      <alignment horizontal="right" vertical="center"/>
      <protection locked="0"/>
    </xf>
    <xf numFmtId="172" fontId="12" fillId="0" borderId="41" xfId="36" applyFont="1" applyBorder="1" applyAlignment="1" applyProtection="1">
      <alignment horizontal="center" vertical="center"/>
    </xf>
    <xf numFmtId="181" fontId="13" fillId="0" borderId="0" xfId="35" applyNumberFormat="1" applyFont="1" applyFill="1" applyBorder="1" applyAlignment="1" applyProtection="1">
      <alignment horizontal="right" vertical="center"/>
      <protection locked="0"/>
    </xf>
    <xf numFmtId="172" fontId="12" fillId="0" borderId="0" xfId="36" applyFont="1" applyFill="1" applyBorder="1" applyAlignment="1" applyProtection="1">
      <alignment horizontal="right" vertical="center"/>
    </xf>
    <xf numFmtId="0" fontId="2" fillId="0" borderId="37" xfId="35" applyFont="1" applyFill="1" applyBorder="1" applyAlignment="1" applyProtection="1">
      <alignment vertical="top" wrapText="1"/>
    </xf>
    <xf numFmtId="0" fontId="2" fillId="0" borderId="31" xfId="35" applyFont="1" applyFill="1" applyBorder="1" applyAlignment="1" applyProtection="1">
      <alignment horizontal="right" vertical="center"/>
    </xf>
    <xf numFmtId="0" fontId="2" fillId="0" borderId="30" xfId="35" applyFont="1" applyFill="1" applyBorder="1" applyAlignment="1" applyProtection="1">
      <alignment horizontal="right" vertical="center"/>
      <protection locked="0"/>
    </xf>
    <xf numFmtId="10" fontId="19" fillId="0" borderId="30" xfId="37" applyNumberFormat="1" applyFont="1" applyBorder="1" applyAlignment="1" applyProtection="1">
      <alignment horizontal="center" vertical="center"/>
    </xf>
    <xf numFmtId="172" fontId="19" fillId="0" borderId="31" xfId="36" applyNumberFormat="1" applyFont="1" applyFill="1" applyBorder="1" applyAlignment="1" applyProtection="1">
      <alignment horizontal="center" vertical="center"/>
      <protection locked="0"/>
    </xf>
    <xf numFmtId="172" fontId="19" fillId="0" borderId="0" xfId="36" applyFont="1" applyFill="1" applyBorder="1" applyAlignment="1" applyProtection="1">
      <alignment horizontal="center" vertical="center"/>
    </xf>
    <xf numFmtId="172" fontId="19" fillId="0" borderId="44" xfId="36" applyNumberFormat="1" applyFont="1" applyFill="1" applyBorder="1" applyAlignment="1" applyProtection="1">
      <alignment horizontal="center" vertical="center"/>
      <protection locked="0"/>
    </xf>
    <xf numFmtId="172" fontId="19" fillId="0" borderId="41" xfId="36" applyNumberFormat="1" applyFont="1" applyFill="1" applyBorder="1" applyAlignment="1" applyProtection="1">
      <alignment horizontal="center" vertical="center"/>
    </xf>
    <xf numFmtId="172" fontId="2" fillId="0" borderId="30" xfId="35" applyNumberFormat="1" applyFont="1" applyFill="1" applyBorder="1" applyAlignment="1" applyProtection="1">
      <alignment horizontal="center" vertical="center"/>
    </xf>
    <xf numFmtId="0" fontId="2" fillId="0" borderId="35" xfId="35" applyFont="1" applyBorder="1" applyAlignment="1" applyProtection="1">
      <alignment vertical="top" wrapText="1"/>
    </xf>
    <xf numFmtId="180" fontId="12" fillId="8" borderId="28" xfId="36" applyNumberFormat="1" applyFont="1" applyFill="1" applyBorder="1" applyAlignment="1" applyProtection="1">
      <alignment horizontal="center" vertical="center"/>
      <protection locked="0"/>
    </xf>
    <xf numFmtId="181" fontId="13" fillId="0" borderId="28" xfId="35" applyNumberFormat="1" applyFont="1" applyFill="1" applyBorder="1" applyAlignment="1" applyProtection="1">
      <alignment horizontal="right" vertical="center"/>
      <protection locked="0"/>
    </xf>
    <xf numFmtId="172" fontId="12" fillId="0" borderId="34" xfId="36" applyFont="1" applyBorder="1" applyAlignment="1" applyProtection="1">
      <alignment horizontal="center" vertical="center"/>
    </xf>
    <xf numFmtId="180" fontId="12" fillId="8" borderId="42" xfId="36" applyNumberFormat="1" applyFont="1" applyFill="1" applyBorder="1" applyAlignment="1" applyProtection="1">
      <alignment horizontal="center" vertical="center"/>
      <protection locked="0"/>
    </xf>
    <xf numFmtId="181" fontId="13" fillId="0" borderId="33" xfId="35" applyNumberFormat="1" applyFont="1" applyFill="1" applyBorder="1" applyAlignment="1" applyProtection="1">
      <alignment horizontal="right" vertical="center"/>
      <protection locked="0"/>
    </xf>
    <xf numFmtId="172" fontId="12" fillId="0" borderId="43" xfId="36" applyFont="1" applyBorder="1" applyAlignment="1" applyProtection="1">
      <alignment horizontal="center" vertical="center"/>
    </xf>
    <xf numFmtId="0" fontId="4" fillId="9" borderId="35" xfId="35" applyFont="1" applyFill="1" applyBorder="1" applyAlignment="1" applyProtection="1">
      <alignment vertical="top"/>
    </xf>
    <xf numFmtId="180" fontId="15" fillId="9" borderId="28" xfId="36" applyNumberFormat="1" applyFont="1" applyFill="1" applyBorder="1" applyAlignment="1" applyProtection="1">
      <alignment horizontal="center" vertical="center"/>
      <protection locked="0"/>
    </xf>
    <xf numFmtId="0" fontId="14" fillId="9" borderId="28" xfId="35" applyFont="1" applyFill="1" applyBorder="1" applyAlignment="1" applyProtection="1">
      <alignment horizontal="right" vertical="center"/>
      <protection locked="0"/>
    </xf>
    <xf numFmtId="172" fontId="15" fillId="9" borderId="34" xfId="36" applyFont="1" applyFill="1" applyBorder="1" applyAlignment="1" applyProtection="1">
      <alignment horizontal="center" vertical="center"/>
    </xf>
    <xf numFmtId="180" fontId="15" fillId="9" borderId="42" xfId="36" applyNumberFormat="1" applyFont="1" applyFill="1" applyBorder="1" applyAlignment="1" applyProtection="1">
      <alignment horizontal="center" vertical="center"/>
      <protection locked="0"/>
    </xf>
    <xf numFmtId="0" fontId="14" fillId="9" borderId="33" xfId="35" applyFont="1" applyFill="1" applyBorder="1" applyAlignment="1" applyProtection="1">
      <alignment horizontal="right" vertical="center"/>
      <protection locked="0"/>
    </xf>
    <xf numFmtId="172" fontId="15" fillId="9" borderId="43" xfId="36" applyFont="1" applyFill="1" applyBorder="1" applyAlignment="1" applyProtection="1">
      <alignment horizontal="center" vertical="center"/>
    </xf>
    <xf numFmtId="172" fontId="14" fillId="9" borderId="24" xfId="35" applyNumberFormat="1" applyFont="1" applyFill="1" applyBorder="1" applyAlignment="1" applyProtection="1">
      <alignment horizontal="center" vertical="center"/>
    </xf>
    <xf numFmtId="10" fontId="15" fillId="9" borderId="22" xfId="37" applyNumberFormat="1" applyFont="1" applyFill="1" applyBorder="1" applyAlignment="1" applyProtection="1">
      <alignment horizontal="center" vertical="center"/>
    </xf>
    <xf numFmtId="44" fontId="13" fillId="0" borderId="0" xfId="35" applyNumberFormat="1" applyFont="1" applyFill="1" applyBorder="1" applyAlignment="1" applyProtection="1">
      <alignment horizontal="right" vertical="center"/>
      <protection locked="0"/>
    </xf>
    <xf numFmtId="10" fontId="13" fillId="0" borderId="0" xfId="35" applyNumberFormat="1" applyFont="1" applyFill="1" applyBorder="1" applyAlignment="1" applyProtection="1">
      <alignment horizontal="right" vertical="center"/>
      <protection locked="0"/>
    </xf>
    <xf numFmtId="172" fontId="14" fillId="0" borderId="0" xfId="35" applyNumberFormat="1" applyFont="1" applyFill="1" applyBorder="1" applyAlignment="1" applyProtection="1">
      <alignment horizontal="right" vertical="center"/>
    </xf>
    <xf numFmtId="10" fontId="14" fillId="0" borderId="0" xfId="37" applyNumberFormat="1" applyFont="1" applyFill="1" applyBorder="1" applyAlignment="1" applyProtection="1">
      <alignment horizontal="right" vertical="center"/>
    </xf>
    <xf numFmtId="0" fontId="2" fillId="0" borderId="37" xfId="35" applyFont="1" applyBorder="1" applyAlignment="1" applyProtection="1">
      <alignment vertical="top" wrapText="1"/>
    </xf>
    <xf numFmtId="172" fontId="12" fillId="8" borderId="31" xfId="36" applyNumberFormat="1" applyFont="1" applyFill="1" applyBorder="1" applyAlignment="1" applyProtection="1">
      <alignment horizontal="center" vertical="center"/>
      <protection locked="0"/>
    </xf>
    <xf numFmtId="172" fontId="12" fillId="8" borderId="44" xfId="36" applyNumberFormat="1" applyFont="1" applyFill="1" applyBorder="1" applyAlignment="1" applyProtection="1">
      <alignment horizontal="center" vertical="center"/>
      <protection locked="0"/>
    </xf>
    <xf numFmtId="0" fontId="4" fillId="9" borderId="23" xfId="35" applyFont="1" applyFill="1" applyBorder="1" applyAlignment="1" applyProtection="1">
      <alignment vertical="top"/>
    </xf>
    <xf numFmtId="0" fontId="13" fillId="9" borderId="22" xfId="35" applyFont="1" applyFill="1" applyBorder="1" applyAlignment="1" applyProtection="1">
      <alignment horizontal="center" vertical="center"/>
      <protection locked="0"/>
    </xf>
    <xf numFmtId="0" fontId="13" fillId="9" borderId="22" xfId="35" applyFont="1" applyFill="1" applyBorder="1" applyAlignment="1" applyProtection="1">
      <alignment horizontal="right" vertical="center"/>
      <protection locked="0"/>
    </xf>
    <xf numFmtId="172" fontId="14" fillId="9" borderId="29" xfId="35" applyNumberFormat="1" applyFont="1" applyFill="1" applyBorder="1" applyAlignment="1" applyProtection="1">
      <alignment horizontal="center" vertical="center"/>
    </xf>
    <xf numFmtId="0" fontId="13" fillId="9" borderId="25" xfId="35" applyFont="1" applyFill="1" applyBorder="1" applyAlignment="1" applyProtection="1">
      <alignment horizontal="center" vertical="center"/>
      <protection locked="0"/>
    </xf>
    <xf numFmtId="0" fontId="13" fillId="9" borderId="24" xfId="35" applyFont="1" applyFill="1" applyBorder="1" applyAlignment="1" applyProtection="1">
      <alignment horizontal="right" vertical="center"/>
      <protection locked="0"/>
    </xf>
    <xf numFmtId="172" fontId="14" fillId="9" borderId="22" xfId="35" applyNumberFormat="1" applyFont="1" applyFill="1" applyBorder="1" applyAlignment="1" applyProtection="1">
      <alignment horizontal="center" vertical="center"/>
    </xf>
    <xf numFmtId="0" fontId="2" fillId="0" borderId="37" xfId="35" applyBorder="1" applyAlignment="1" applyProtection="1">
      <alignment vertical="center" wrapText="1"/>
    </xf>
    <xf numFmtId="10" fontId="12" fillId="0" borderId="0" xfId="36" applyNumberFormat="1" applyFont="1" applyFill="1" applyBorder="1" applyAlignment="1" applyProtection="1">
      <alignment horizontal="right" vertical="center"/>
    </xf>
    <xf numFmtId="0" fontId="2" fillId="0" borderId="35" xfId="35" applyBorder="1" applyAlignment="1" applyProtection="1">
      <alignment horizontal="left" vertical="center" wrapText="1"/>
    </xf>
    <xf numFmtId="0" fontId="14" fillId="9" borderId="25" xfId="35" applyFont="1" applyFill="1" applyBorder="1" applyAlignment="1" applyProtection="1">
      <alignment horizontal="center" vertical="center"/>
      <protection locked="0"/>
    </xf>
    <xf numFmtId="0" fontId="14" fillId="9" borderId="24" xfId="35" applyFont="1" applyFill="1" applyBorder="1" applyAlignment="1" applyProtection="1">
      <alignment horizontal="right" vertical="center"/>
      <protection locked="0"/>
    </xf>
    <xf numFmtId="172" fontId="14" fillId="9" borderId="39" xfId="35" applyNumberFormat="1" applyFont="1" applyFill="1" applyBorder="1" applyAlignment="1" applyProtection="1">
      <alignment horizontal="center" vertical="center"/>
    </xf>
    <xf numFmtId="0" fontId="14" fillId="0" borderId="0" xfId="35" applyFont="1" applyFill="1" applyBorder="1" applyAlignment="1" applyProtection="1">
      <alignment horizontal="right" vertical="center"/>
      <protection locked="0"/>
    </xf>
    <xf numFmtId="180" fontId="13" fillId="0" borderId="31" xfId="36" applyNumberFormat="1" applyFont="1" applyFill="1" applyBorder="1" applyAlignment="1" applyProtection="1">
      <alignment horizontal="center" vertical="center"/>
      <protection locked="0"/>
    </xf>
    <xf numFmtId="172" fontId="13" fillId="0" borderId="0" xfId="36" applyFont="1" applyFill="1" applyBorder="1" applyAlignment="1" applyProtection="1">
      <alignment horizontal="center" vertical="center"/>
    </xf>
    <xf numFmtId="180" fontId="13" fillId="0" borderId="44" xfId="36" applyNumberFormat="1" applyFont="1" applyFill="1" applyBorder="1" applyAlignment="1" applyProtection="1">
      <alignment horizontal="center" vertical="center"/>
      <protection locked="0"/>
    </xf>
    <xf numFmtId="172" fontId="13" fillId="0" borderId="41" xfId="36" applyFont="1" applyFill="1" applyBorder="1" applyAlignment="1" applyProtection="1">
      <alignment horizontal="center" vertical="center"/>
    </xf>
    <xf numFmtId="172" fontId="13" fillId="0" borderId="30" xfId="35" applyNumberFormat="1" applyFont="1" applyFill="1" applyBorder="1" applyAlignment="1" applyProtection="1">
      <alignment horizontal="center" vertical="center"/>
    </xf>
    <xf numFmtId="172" fontId="13" fillId="0" borderId="0" xfId="36" applyFont="1" applyFill="1" applyBorder="1" applyAlignment="1" applyProtection="1">
      <alignment horizontal="right" vertical="center"/>
    </xf>
    <xf numFmtId="10" fontId="13" fillId="0" borderId="0" xfId="37" applyNumberFormat="1" applyFont="1" applyFill="1" applyBorder="1" applyAlignment="1" applyProtection="1">
      <alignment horizontal="right" vertical="center"/>
    </xf>
    <xf numFmtId="0" fontId="2" fillId="0" borderId="37" xfId="35" applyFill="1" applyBorder="1" applyAlignment="1" applyProtection="1">
      <alignment vertical="top" wrapText="1"/>
    </xf>
    <xf numFmtId="172" fontId="13" fillId="8" borderId="31" xfId="36" applyNumberFormat="1" applyFont="1" applyFill="1" applyBorder="1" applyAlignment="1" applyProtection="1">
      <alignment horizontal="center" vertical="center"/>
      <protection locked="0"/>
    </xf>
    <xf numFmtId="172" fontId="13" fillId="0" borderId="0" xfId="36" applyFont="1" applyBorder="1" applyAlignment="1" applyProtection="1">
      <alignment horizontal="center" vertical="center"/>
    </xf>
    <xf numFmtId="172" fontId="13" fillId="8" borderId="44" xfId="36" applyNumberFormat="1" applyFont="1" applyFill="1" applyBorder="1" applyAlignment="1" applyProtection="1">
      <alignment horizontal="center" vertical="center"/>
      <protection locked="0"/>
    </xf>
    <xf numFmtId="180" fontId="14" fillId="9" borderId="22" xfId="36" applyNumberFormat="1" applyFont="1" applyFill="1" applyBorder="1" applyAlignment="1" applyProtection="1">
      <alignment horizontal="center" vertical="center"/>
      <protection locked="0"/>
    </xf>
    <xf numFmtId="172" fontId="14" fillId="9" borderId="29" xfId="36" applyFont="1" applyFill="1" applyBorder="1" applyAlignment="1" applyProtection="1">
      <alignment horizontal="center" vertical="center"/>
    </xf>
    <xf numFmtId="180" fontId="14" fillId="9" borderId="25" xfId="36" applyNumberFormat="1" applyFont="1" applyFill="1" applyBorder="1" applyAlignment="1" applyProtection="1">
      <alignment horizontal="center" vertical="center"/>
      <protection locked="0"/>
    </xf>
    <xf numFmtId="172" fontId="14" fillId="9" borderId="39" xfId="36" applyFont="1" applyFill="1" applyBorder="1" applyAlignment="1" applyProtection="1">
      <alignment horizontal="center" vertical="center"/>
    </xf>
    <xf numFmtId="0" fontId="2" fillId="10" borderId="20" xfId="35" applyFont="1" applyFill="1" applyBorder="1" applyAlignment="1" applyProtection="1">
      <alignment wrapText="1"/>
    </xf>
    <xf numFmtId="180" fontId="13" fillId="10" borderId="36" xfId="36" applyNumberFormat="1" applyFont="1" applyFill="1" applyBorder="1" applyAlignment="1" applyProtection="1">
      <alignment horizontal="center" vertical="center"/>
      <protection locked="0"/>
    </xf>
    <xf numFmtId="0" fontId="13" fillId="10" borderId="19" xfId="35" applyFont="1" applyFill="1" applyBorder="1" applyAlignment="1" applyProtection="1">
      <alignment horizontal="right" vertical="center"/>
      <protection locked="0"/>
    </xf>
    <xf numFmtId="172" fontId="13" fillId="10" borderId="15" xfId="36" applyFont="1" applyFill="1" applyBorder="1" applyAlignment="1" applyProtection="1">
      <alignment horizontal="center" vertical="center"/>
    </xf>
    <xf numFmtId="180" fontId="13" fillId="10" borderId="45" xfId="36" applyNumberFormat="1" applyFont="1" applyFill="1" applyBorder="1" applyAlignment="1" applyProtection="1">
      <alignment horizontal="center" vertical="center"/>
      <protection locked="0"/>
    </xf>
    <xf numFmtId="0" fontId="13" fillId="10" borderId="36" xfId="35" applyFont="1" applyFill="1" applyBorder="1" applyAlignment="1" applyProtection="1">
      <alignment horizontal="right" vertical="center"/>
      <protection locked="0"/>
    </xf>
    <xf numFmtId="172" fontId="13" fillId="10" borderId="46" xfId="36" applyFont="1" applyFill="1" applyBorder="1" applyAlignment="1" applyProtection="1">
      <alignment horizontal="center" vertical="center"/>
    </xf>
    <xf numFmtId="172" fontId="13" fillId="10" borderId="36" xfId="35" applyNumberFormat="1" applyFont="1" applyFill="1" applyBorder="1" applyAlignment="1" applyProtection="1">
      <alignment horizontal="center" vertical="center"/>
    </xf>
    <xf numFmtId="10" fontId="13" fillId="10" borderId="36" xfId="37" applyNumberFormat="1" applyFont="1" applyFill="1" applyBorder="1" applyAlignment="1" applyProtection="1">
      <alignment horizontal="center" vertical="center"/>
    </xf>
    <xf numFmtId="0" fontId="4" fillId="0" borderId="37" xfId="35" applyFont="1" applyFill="1" applyBorder="1" applyAlignment="1" applyProtection="1">
      <alignment vertical="top"/>
    </xf>
    <xf numFmtId="9" fontId="13" fillId="0" borderId="31" xfId="35" applyNumberFormat="1" applyFont="1" applyFill="1" applyBorder="1" applyAlignment="1" applyProtection="1">
      <alignment horizontal="center" vertical="center"/>
    </xf>
    <xf numFmtId="9" fontId="13" fillId="0" borderId="0" xfId="35" applyNumberFormat="1" applyFont="1" applyFill="1" applyBorder="1" applyAlignment="1" applyProtection="1">
      <alignment horizontal="right" vertical="center"/>
    </xf>
    <xf numFmtId="172" fontId="14" fillId="0" borderId="37" xfId="35" applyNumberFormat="1" applyFont="1" applyFill="1" applyBorder="1" applyAlignment="1" applyProtection="1">
      <alignment horizontal="center" vertical="center"/>
    </xf>
    <xf numFmtId="9" fontId="14" fillId="0" borderId="44" xfId="35" applyNumberFormat="1" applyFont="1" applyFill="1" applyBorder="1" applyAlignment="1" applyProtection="1">
      <alignment horizontal="center" vertical="center"/>
    </xf>
    <xf numFmtId="9" fontId="14" fillId="0" borderId="31" xfId="35" applyNumberFormat="1" applyFont="1" applyFill="1" applyBorder="1" applyAlignment="1" applyProtection="1">
      <alignment horizontal="right" vertical="center"/>
    </xf>
    <xf numFmtId="172" fontId="14" fillId="0" borderId="50" xfId="35" applyNumberFormat="1" applyFont="1" applyFill="1" applyBorder="1" applyAlignment="1" applyProtection="1">
      <alignment horizontal="center" vertical="center"/>
    </xf>
    <xf numFmtId="9" fontId="14" fillId="0" borderId="0" xfId="35" applyNumberFormat="1" applyFont="1" applyFill="1" applyBorder="1" applyAlignment="1" applyProtection="1">
      <alignment horizontal="right" vertical="center"/>
    </xf>
    <xf numFmtId="0" fontId="2" fillId="0" borderId="37" xfId="35" applyFont="1" applyFill="1" applyBorder="1" applyAlignment="1" applyProtection="1">
      <alignment horizontal="left" vertical="top"/>
    </xf>
    <xf numFmtId="0" fontId="13" fillId="0" borderId="0" xfId="35" applyFont="1" applyFill="1" applyBorder="1" applyAlignment="1" applyProtection="1">
      <alignment horizontal="right" vertical="center"/>
    </xf>
    <xf numFmtId="172" fontId="13" fillId="0" borderId="37" xfId="35" applyNumberFormat="1" applyFont="1" applyFill="1" applyBorder="1" applyAlignment="1" applyProtection="1">
      <alignment horizontal="center" vertical="center"/>
    </xf>
    <xf numFmtId="9" fontId="13" fillId="0" borderId="44" xfId="35" applyNumberFormat="1" applyFont="1" applyFill="1" applyBorder="1" applyAlignment="1" applyProtection="1">
      <alignment horizontal="center" vertical="center"/>
    </xf>
    <xf numFmtId="172" fontId="13" fillId="0" borderId="41" xfId="35" applyNumberFormat="1" applyFont="1" applyFill="1" applyBorder="1" applyAlignment="1" applyProtection="1">
      <alignment horizontal="center" vertical="center"/>
    </xf>
    <xf numFmtId="0" fontId="4" fillId="9" borderId="23" xfId="35" applyFont="1" applyFill="1" applyBorder="1" applyAlignment="1" applyProtection="1">
      <alignment horizontal="left" vertical="top"/>
    </xf>
    <xf numFmtId="0" fontId="13" fillId="9" borderId="22" xfId="35" applyFont="1" applyFill="1" applyBorder="1" applyAlignment="1" applyProtection="1">
      <alignment horizontal="center" vertical="center"/>
    </xf>
    <xf numFmtId="0" fontId="13" fillId="9" borderId="29" xfId="35" applyFont="1" applyFill="1" applyBorder="1" applyAlignment="1" applyProtection="1">
      <alignment horizontal="right" vertical="center"/>
    </xf>
    <xf numFmtId="172" fontId="14" fillId="9" borderId="23" xfId="35" applyNumberFormat="1" applyFont="1" applyFill="1" applyBorder="1" applyAlignment="1" applyProtection="1">
      <alignment horizontal="center" vertical="center"/>
    </xf>
    <xf numFmtId="0" fontId="14" fillId="9" borderId="25" xfId="35" applyFont="1" applyFill="1" applyBorder="1" applyAlignment="1" applyProtection="1">
      <alignment horizontal="center" vertical="center"/>
    </xf>
    <xf numFmtId="0" fontId="14" fillId="9" borderId="22" xfId="35" applyFont="1" applyFill="1" applyBorder="1" applyAlignment="1" applyProtection="1">
      <alignment horizontal="right" vertical="center"/>
    </xf>
    <xf numFmtId="0" fontId="14" fillId="0" borderId="0" xfId="35" applyFont="1" applyFill="1" applyBorder="1" applyAlignment="1" applyProtection="1">
      <alignment horizontal="right" vertical="center"/>
    </xf>
    <xf numFmtId="0" fontId="2" fillId="0" borderId="0" xfId="34" applyAlignment="1"/>
    <xf numFmtId="0" fontId="2" fillId="0" borderId="0" xfId="34" applyFill="1" applyBorder="1"/>
    <xf numFmtId="0" fontId="4" fillId="0" borderId="23" xfId="35" applyFont="1" applyFill="1" applyBorder="1" applyAlignment="1" applyProtection="1">
      <alignment horizontal="left" vertical="top"/>
    </xf>
    <xf numFmtId="0" fontId="2" fillId="0" borderId="37" xfId="34" applyFont="1" applyBorder="1" applyAlignment="1"/>
    <xf numFmtId="44" fontId="2" fillId="0" borderId="37" xfId="34" applyNumberFormat="1" applyBorder="1" applyAlignment="1"/>
    <xf numFmtId="0" fontId="2" fillId="0" borderId="0" xfId="34" applyBorder="1" applyAlignment="1"/>
    <xf numFmtId="172" fontId="2" fillId="0" borderId="0" xfId="34" applyNumberFormat="1" applyBorder="1" applyAlignment="1"/>
    <xf numFmtId="44" fontId="2" fillId="0" borderId="37" xfId="34" applyNumberFormat="1" applyBorder="1"/>
    <xf numFmtId="0" fontId="2" fillId="0" borderId="0" xfId="34" applyBorder="1"/>
    <xf numFmtId="172" fontId="2" fillId="0" borderId="30" xfId="34" applyNumberFormat="1" applyBorder="1"/>
    <xf numFmtId="0" fontId="2" fillId="0" borderId="30" xfId="34" applyBorder="1"/>
    <xf numFmtId="0" fontId="2" fillId="0" borderId="37" xfId="34" applyFont="1" applyFill="1" applyBorder="1" applyAlignment="1"/>
    <xf numFmtId="180" fontId="2" fillId="0" borderId="37" xfId="34" applyNumberFormat="1" applyBorder="1" applyAlignment="1"/>
    <xf numFmtId="185" fontId="2" fillId="0" borderId="37" xfId="34" applyNumberFormat="1" applyBorder="1"/>
    <xf numFmtId="0" fontId="2" fillId="0" borderId="35" xfId="34" applyBorder="1" applyAlignment="1"/>
    <xf numFmtId="0" fontId="2" fillId="0" borderId="23" xfId="34" applyBorder="1" applyAlignment="1"/>
    <xf numFmtId="0" fontId="2" fillId="0" borderId="29" xfId="34" applyBorder="1" applyAlignment="1"/>
    <xf numFmtId="172" fontId="2" fillId="0" borderId="29" xfId="34" applyNumberFormat="1" applyBorder="1" applyAlignment="1"/>
    <xf numFmtId="0" fontId="2" fillId="0" borderId="23" xfId="34" applyBorder="1"/>
    <xf numFmtId="0" fontId="2" fillId="0" borderId="29" xfId="34" applyBorder="1"/>
    <xf numFmtId="172" fontId="2" fillId="0" borderId="24" xfId="34" applyNumberFormat="1" applyBorder="1" applyAlignment="1"/>
    <xf numFmtId="172" fontId="2" fillId="0" borderId="29" xfId="34" applyNumberFormat="1" applyBorder="1"/>
    <xf numFmtId="0" fontId="16" fillId="4" borderId="0" xfId="0" applyFont="1" applyFill="1" applyBorder="1" applyAlignment="1" applyProtection="1">
      <alignment vertical="center" wrapText="1"/>
    </xf>
    <xf numFmtId="168" fontId="17" fillId="2" borderId="8" xfId="1" applyNumberFormat="1" applyFont="1" applyFill="1" applyBorder="1" applyAlignment="1" applyProtection="1">
      <alignment vertical="center"/>
    </xf>
    <xf numFmtId="0" fontId="16" fillId="4" borderId="8" xfId="0" applyFont="1" applyFill="1" applyBorder="1" applyAlignment="1" applyProtection="1">
      <alignment horizontal="left" vertical="center"/>
    </xf>
    <xf numFmtId="0" fontId="4" fillId="0" borderId="15" xfId="0" applyFont="1" applyBorder="1" applyProtection="1"/>
    <xf numFmtId="169" fontId="16" fillId="0" borderId="9" xfId="0" applyNumberFormat="1" applyFont="1" applyFill="1" applyBorder="1" applyAlignment="1" applyProtection="1">
      <alignment vertical="center"/>
    </xf>
    <xf numFmtId="172" fontId="12" fillId="0" borderId="31" xfId="16" applyNumberFormat="1" applyFont="1" applyFill="1" applyBorder="1" applyAlignment="1" applyProtection="1">
      <alignment horizontal="center" vertical="center"/>
      <protection locked="0"/>
    </xf>
    <xf numFmtId="172" fontId="12" fillId="0" borderId="44" xfId="16" applyNumberFormat="1" applyFont="1" applyFill="1" applyBorder="1" applyAlignment="1" applyProtection="1">
      <alignment horizontal="center" vertical="center"/>
      <protection locked="0"/>
    </xf>
    <xf numFmtId="172" fontId="12" fillId="0" borderId="41" xfId="16" applyNumberFormat="1" applyFont="1" applyFill="1" applyBorder="1" applyAlignment="1" applyProtection="1">
      <alignment horizontal="center" vertical="center"/>
    </xf>
    <xf numFmtId="172" fontId="12" fillId="0" borderId="41" xfId="16" applyFont="1" applyFill="1" applyBorder="1" applyAlignment="1" applyProtection="1">
      <alignment horizontal="center" vertical="center"/>
    </xf>
    <xf numFmtId="10" fontId="19" fillId="0" borderId="30" xfId="37" applyNumberFormat="1" applyFont="1" applyFill="1" applyBorder="1" applyAlignment="1" applyProtection="1">
      <alignment horizontal="center" vertical="center"/>
    </xf>
    <xf numFmtId="180" fontId="12" fillId="0" borderId="31" xfId="36" applyNumberFormat="1" applyFont="1" applyFill="1" applyBorder="1" applyAlignment="1" applyProtection="1">
      <alignment horizontal="center" vertical="center"/>
      <protection locked="0"/>
    </xf>
    <xf numFmtId="172" fontId="12" fillId="0" borderId="0" xfId="36" applyFont="1" applyFill="1" applyBorder="1" applyAlignment="1" applyProtection="1">
      <alignment horizontal="center" vertical="center"/>
    </xf>
    <xf numFmtId="180" fontId="12" fillId="0" borderId="44" xfId="36" applyNumberFormat="1" applyFont="1" applyFill="1" applyBorder="1" applyAlignment="1" applyProtection="1">
      <alignment horizontal="center" vertical="center"/>
      <protection locked="0"/>
    </xf>
    <xf numFmtId="172" fontId="12" fillId="0" borderId="41" xfId="36" applyFont="1" applyFill="1" applyBorder="1" applyAlignment="1" applyProtection="1">
      <alignment horizontal="center" vertical="center"/>
    </xf>
    <xf numFmtId="10" fontId="12" fillId="0" borderId="30" xfId="37" applyNumberFormat="1" applyFont="1" applyFill="1" applyBorder="1" applyAlignment="1" applyProtection="1">
      <alignment horizontal="center" vertical="center"/>
    </xf>
    <xf numFmtId="0" fontId="2" fillId="0" borderId="37" xfId="29" quotePrefix="1" applyFont="1" applyFill="1" applyBorder="1" applyAlignment="1" applyProtection="1">
      <alignment vertical="top" wrapText="1"/>
    </xf>
    <xf numFmtId="10" fontId="19" fillId="0" borderId="30" xfId="30" applyNumberFormat="1" applyFont="1" applyFill="1" applyBorder="1" applyAlignment="1" applyProtection="1">
      <alignment horizontal="center" vertical="center"/>
    </xf>
    <xf numFmtId="185" fontId="12" fillId="0" borderId="44" xfId="2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left" vertical="center" wrapText="1"/>
    </xf>
    <xf numFmtId="164" fontId="4" fillId="0" borderId="8" xfId="0" applyNumberFormat="1" applyFont="1" applyFill="1" applyBorder="1" applyAlignment="1" applyProtection="1">
      <alignment horizontal="left" vertical="center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2" xfId="34" applyNumberFormat="1" applyFont="1" applyFill="1" applyBorder="1" applyAlignment="1" applyProtection="1">
      <alignment horizontal="center" vertical="center" wrapText="1"/>
    </xf>
    <xf numFmtId="43" fontId="2" fillId="0" borderId="4" xfId="1" applyFont="1" applyFill="1" applyBorder="1" applyAlignment="1" applyProtection="1">
      <alignment vertical="center"/>
    </xf>
    <xf numFmtId="168" fontId="17" fillId="0" borderId="0" xfId="1" applyNumberFormat="1" applyFont="1" applyFill="1" applyBorder="1" applyAlignment="1" applyProtection="1">
      <alignment vertical="center"/>
    </xf>
    <xf numFmtId="3" fontId="17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170" fontId="16" fillId="0" borderId="0" xfId="3" applyNumberFormat="1" applyFont="1" applyFill="1" applyBorder="1" applyAlignment="1" applyProtection="1">
      <alignment horizontal="center" vertical="center"/>
    </xf>
    <xf numFmtId="0" fontId="16" fillId="4" borderId="54" xfId="0" applyFont="1" applyFill="1" applyBorder="1" applyAlignment="1" applyProtection="1">
      <alignment horizontal="left" vertical="center"/>
    </xf>
    <xf numFmtId="3" fontId="17" fillId="0" borderId="0" xfId="34" applyNumberFormat="1" applyFont="1" applyFill="1" applyBorder="1" applyAlignment="1" applyProtection="1">
      <alignment horizontal="center" vertical="center"/>
    </xf>
    <xf numFmtId="164" fontId="4" fillId="0" borderId="2" xfId="34" applyNumberFormat="1" applyFont="1" applyFill="1" applyBorder="1" applyAlignment="1" applyProtection="1">
      <alignment horizontal="left" vertical="center"/>
    </xf>
    <xf numFmtId="0" fontId="2" fillId="0" borderId="4" xfId="35" applyFont="1" applyFill="1" applyBorder="1" applyAlignment="1" applyProtection="1">
      <alignment vertical="top" wrapText="1"/>
    </xf>
    <xf numFmtId="0" fontId="2" fillId="0" borderId="7" xfId="35" applyFont="1" applyFill="1" applyBorder="1" applyAlignment="1" applyProtection="1">
      <alignment vertical="top" wrapText="1"/>
    </xf>
    <xf numFmtId="4" fontId="2" fillId="0" borderId="4" xfId="34" applyNumberFormat="1" applyFont="1" applyFill="1" applyBorder="1" applyAlignment="1" applyProtection="1">
      <alignment horizontal="center" vertical="center" wrapText="1"/>
    </xf>
    <xf numFmtId="164" fontId="2" fillId="0" borderId="4" xfId="34" applyNumberFormat="1" applyFont="1" applyFill="1" applyBorder="1" applyAlignment="1" applyProtection="1">
      <alignment horizontal="center" vertical="center" wrapText="1"/>
    </xf>
    <xf numFmtId="4" fontId="2" fillId="0" borderId="7" xfId="34" applyNumberFormat="1" applyFont="1" applyFill="1" applyBorder="1" applyAlignment="1" applyProtection="1">
      <alignment horizontal="center" vertical="center" wrapText="1"/>
    </xf>
    <xf numFmtId="164" fontId="4" fillId="0" borderId="4" xfId="34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left" vertical="center"/>
    </xf>
    <xf numFmtId="0" fontId="2" fillId="0" borderId="4" xfId="29" applyFont="1" applyFill="1" applyBorder="1" applyAlignment="1" applyProtection="1">
      <alignment vertical="top" wrapText="1"/>
    </xf>
    <xf numFmtId="0" fontId="2" fillId="0" borderId="7" xfId="29" applyFont="1" applyFill="1" applyBorder="1" applyAlignment="1" applyProtection="1">
      <alignment vertical="top" wrapText="1"/>
    </xf>
    <xf numFmtId="4" fontId="2" fillId="0" borderId="4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center" vertical="center" wrapText="1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55" xfId="0" applyNumberFormat="1" applyFont="1" applyFill="1" applyBorder="1" applyAlignment="1" applyProtection="1">
      <alignment horizontal="center" vertical="center" wrapText="1"/>
    </xf>
    <xf numFmtId="164" fontId="2" fillId="0" borderId="56" xfId="0" applyNumberFormat="1" applyFont="1" applyFill="1" applyBorder="1" applyAlignment="1" applyProtection="1">
      <alignment horizontal="center" vertical="center" wrapText="1"/>
    </xf>
    <xf numFmtId="0" fontId="2" fillId="0" borderId="3" xfId="29" applyFont="1" applyFill="1" applyBorder="1" applyAlignment="1" applyProtection="1">
      <alignment vertical="top" wrapText="1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left" vertical="center"/>
    </xf>
    <xf numFmtId="164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0" fillId="0" borderId="2" xfId="0" applyFill="1" applyBorder="1" applyProtection="1"/>
    <xf numFmtId="0" fontId="9" fillId="8" borderId="0" xfId="0" applyFont="1" applyFill="1" applyAlignment="1">
      <alignment wrapText="1"/>
    </xf>
    <xf numFmtId="0" fontId="9" fillId="8" borderId="0" xfId="0" applyFont="1" applyFill="1" applyAlignment="1"/>
    <xf numFmtId="0" fontId="8" fillId="12" borderId="23" xfId="0" applyFont="1" applyFill="1" applyBorder="1" applyAlignment="1">
      <alignment horizontal="center" wrapText="1"/>
    </xf>
    <xf numFmtId="0" fontId="8" fillId="12" borderId="24" xfId="0" applyFont="1" applyFill="1" applyBorder="1" applyAlignment="1">
      <alignment horizontal="center" wrapText="1"/>
    </xf>
    <xf numFmtId="0" fontId="8" fillId="12" borderId="22" xfId="0" applyFont="1" applyFill="1" applyBorder="1" applyAlignment="1">
      <alignment horizontal="center"/>
    </xf>
    <xf numFmtId="0" fontId="8" fillId="12" borderId="27" xfId="0" applyFont="1" applyFill="1" applyBorder="1" applyAlignment="1">
      <alignment horizontal="center" wrapText="1"/>
    </xf>
    <xf numFmtId="0" fontId="9" fillId="12" borderId="28" xfId="0" applyFont="1" applyFill="1" applyBorder="1" applyAlignment="1">
      <alignment horizontal="center" wrapText="1"/>
    </xf>
    <xf numFmtId="0" fontId="4" fillId="0" borderId="0" xfId="29" applyFont="1" applyFill="1" applyBorder="1" applyAlignment="1" applyProtection="1">
      <alignment horizontal="center"/>
    </xf>
    <xf numFmtId="0" fontId="4" fillId="0" borderId="0" xfId="29" applyFont="1" applyFill="1" applyBorder="1" applyAlignment="1" applyProtection="1">
      <alignment horizontal="center" wrapText="1"/>
    </xf>
    <xf numFmtId="0" fontId="5" fillId="0" borderId="0" xfId="29" applyFill="1" applyBorder="1" applyAlignment="1" applyProtection="1">
      <alignment wrapText="1"/>
    </xf>
    <xf numFmtId="0" fontId="4" fillId="0" borderId="23" xfId="29" applyFont="1" applyBorder="1" applyAlignment="1" applyProtection="1">
      <alignment horizontal="center"/>
    </xf>
    <xf numFmtId="0" fontId="4" fillId="0" borderId="29" xfId="29" applyFont="1" applyBorder="1" applyAlignment="1" applyProtection="1">
      <alignment horizontal="center"/>
    </xf>
    <xf numFmtId="0" fontId="4" fillId="0" borderId="24" xfId="29" applyFont="1" applyBorder="1" applyAlignment="1" applyProtection="1">
      <alignment horizontal="center"/>
    </xf>
    <xf numFmtId="0" fontId="4" fillId="0" borderId="32" xfId="29" applyFont="1" applyFill="1" applyBorder="1" applyAlignment="1" applyProtection="1">
      <alignment horizontal="center" wrapText="1"/>
    </xf>
    <xf numFmtId="0" fontId="5" fillId="0" borderId="33" xfId="29" applyBorder="1" applyAlignment="1" applyProtection="1">
      <alignment wrapText="1"/>
    </xf>
    <xf numFmtId="0" fontId="3" fillId="5" borderId="0" xfId="0" applyFont="1" applyFill="1" applyAlignment="1" applyProtection="1">
      <alignment horizontal="left"/>
      <protection locked="0"/>
    </xf>
    <xf numFmtId="0" fontId="4" fillId="0" borderId="38" xfId="29" applyFont="1" applyBorder="1" applyAlignment="1" applyProtection="1">
      <alignment horizontal="center"/>
    </xf>
    <xf numFmtId="0" fontId="4" fillId="0" borderId="39" xfId="29" applyFont="1" applyBorder="1" applyAlignment="1" applyProtection="1">
      <alignment horizontal="center"/>
    </xf>
    <xf numFmtId="0" fontId="3" fillId="0" borderId="27" xfId="0" applyNumberFormat="1" applyFont="1" applyBorder="1" applyAlignment="1" applyProtection="1">
      <alignment horizontal="center" vertical="center" wrapText="1"/>
    </xf>
    <xf numFmtId="0" fontId="0" fillId="0" borderId="28" xfId="0" applyNumberFormat="1" applyBorder="1" applyAlignment="1">
      <alignment horizontal="center" wrapText="1"/>
    </xf>
    <xf numFmtId="0" fontId="4" fillId="0" borderId="0" xfId="35" applyFont="1" applyFill="1" applyBorder="1" applyAlignment="1" applyProtection="1">
      <alignment horizontal="center"/>
    </xf>
    <xf numFmtId="0" fontId="3" fillId="0" borderId="27" xfId="34" applyNumberFormat="1" applyFont="1" applyBorder="1" applyAlignment="1" applyProtection="1">
      <alignment horizontal="center" vertical="center" wrapText="1"/>
    </xf>
    <xf numFmtId="0" fontId="2" fillId="0" borderId="28" xfId="34" applyNumberFormat="1" applyBorder="1" applyAlignment="1">
      <alignment horizontal="center" wrapText="1"/>
    </xf>
    <xf numFmtId="0" fontId="4" fillId="0" borderId="32" xfId="35" applyFont="1" applyFill="1" applyBorder="1" applyAlignment="1" applyProtection="1">
      <alignment horizontal="center" wrapText="1"/>
    </xf>
    <xf numFmtId="0" fontId="2" fillId="0" borderId="33" xfId="35" applyBorder="1" applyAlignment="1" applyProtection="1">
      <alignment wrapText="1"/>
    </xf>
    <xf numFmtId="0" fontId="4" fillId="0" borderId="0" xfId="35" applyFont="1" applyFill="1" applyBorder="1" applyAlignment="1" applyProtection="1">
      <alignment horizontal="center" wrapText="1"/>
    </xf>
    <xf numFmtId="0" fontId="2" fillId="0" borderId="0" xfId="35" applyFill="1" applyBorder="1" applyAlignment="1" applyProtection="1">
      <alignment wrapText="1"/>
    </xf>
    <xf numFmtId="0" fontId="4" fillId="0" borderId="23" xfId="35" applyFont="1" applyBorder="1" applyAlignment="1" applyProtection="1">
      <alignment horizontal="center"/>
    </xf>
    <xf numFmtId="0" fontId="4" fillId="0" borderId="29" xfId="35" applyFont="1" applyBorder="1" applyAlignment="1" applyProtection="1">
      <alignment horizontal="center"/>
    </xf>
    <xf numFmtId="0" fontId="4" fillId="0" borderId="24" xfId="35" applyFont="1" applyBorder="1" applyAlignment="1" applyProtection="1">
      <alignment horizontal="center"/>
    </xf>
    <xf numFmtId="0" fontId="3" fillId="5" borderId="0" xfId="34" applyFont="1" applyFill="1" applyAlignment="1" applyProtection="1">
      <alignment horizontal="left"/>
      <protection locked="0"/>
    </xf>
    <xf numFmtId="0" fontId="4" fillId="0" borderId="38" xfId="35" applyFont="1" applyBorder="1" applyAlignment="1" applyProtection="1">
      <alignment horizontal="center"/>
    </xf>
    <xf numFmtId="0" fontId="4" fillId="0" borderId="39" xfId="35" applyFont="1" applyBorder="1" applyAlignment="1" applyProtection="1">
      <alignment horizontal="center"/>
    </xf>
    <xf numFmtId="0" fontId="4" fillId="0" borderId="35" xfId="29" applyFont="1" applyBorder="1" applyAlignment="1" applyProtection="1">
      <alignment horizontal="center"/>
    </xf>
    <xf numFmtId="0" fontId="4" fillId="0" borderId="34" xfId="29" applyFont="1" applyBorder="1" applyAlignment="1" applyProtection="1">
      <alignment horizontal="center"/>
    </xf>
    <xf numFmtId="0" fontId="18" fillId="0" borderId="28" xfId="0" applyNumberFormat="1" applyFont="1" applyBorder="1" applyAlignment="1">
      <alignment horizontal="center" wrapText="1"/>
    </xf>
    <xf numFmtId="0" fontId="4" fillId="0" borderId="40" xfId="29" applyFont="1" applyFill="1" applyBorder="1" applyAlignment="1" applyProtection="1">
      <alignment horizontal="center" wrapText="1"/>
    </xf>
    <xf numFmtId="0" fontId="5" fillId="0" borderId="42" xfId="29" applyBorder="1" applyAlignment="1" applyProtection="1">
      <alignment wrapText="1"/>
    </xf>
    <xf numFmtId="0" fontId="3" fillId="0" borderId="28" xfId="0" applyNumberFormat="1" applyFont="1" applyBorder="1" applyAlignment="1">
      <alignment horizontal="center" wrapText="1"/>
    </xf>
    <xf numFmtId="0" fontId="3" fillId="0" borderId="27" xfId="0" applyNumberFormat="1" applyFont="1" applyBorder="1" applyAlignment="1" applyProtection="1">
      <alignment vertical="center" wrapText="1"/>
    </xf>
    <xf numFmtId="0" fontId="18" fillId="0" borderId="28" xfId="0" applyNumberFormat="1" applyFont="1" applyBorder="1" applyAlignment="1">
      <alignment wrapText="1"/>
    </xf>
  </cellXfs>
  <cellStyles count="38">
    <cellStyle name="$" xfId="5"/>
    <cellStyle name="$.00" xfId="6"/>
    <cellStyle name="$_9. Rev2Cost_GDPIPI" xfId="7"/>
    <cellStyle name="$_lists" xfId="8"/>
    <cellStyle name="$_lists_4. Current Monthly Fixed Charge" xfId="9"/>
    <cellStyle name="$_Sheet4" xfId="10"/>
    <cellStyle name="$M" xfId="11"/>
    <cellStyle name="$M.00" xfId="12"/>
    <cellStyle name="$M_9. Rev2Cost_GDPIPI" xfId="13"/>
    <cellStyle name="Comma" xfId="1" builtinId="3"/>
    <cellStyle name="Comma 2" xfId="14"/>
    <cellStyle name="Comma 3" xfId="32"/>
    <cellStyle name="Comma0" xfId="15"/>
    <cellStyle name="Currency" xfId="2" builtinId="4"/>
    <cellStyle name="Currency 2" xfId="16"/>
    <cellStyle name="Currency 2 2" xfId="36"/>
    <cellStyle name="Currency 3" xfId="33"/>
    <cellStyle name="Currency0" xfId="17"/>
    <cellStyle name="Date" xfId="18"/>
    <cellStyle name="Fixed" xfId="19"/>
    <cellStyle name="Grey" xfId="20"/>
    <cellStyle name="Input [yellow]" xfId="21"/>
    <cellStyle name="M" xfId="22"/>
    <cellStyle name="M.00" xfId="23"/>
    <cellStyle name="M_9. Rev2Cost_GDPIPI" xfId="24"/>
    <cellStyle name="M_lists" xfId="25"/>
    <cellStyle name="M_lists_4. Current Monthly Fixed Charge" xfId="26"/>
    <cellStyle name="M_Sheet4" xfId="27"/>
    <cellStyle name="Normal" xfId="0" builtinId="0"/>
    <cellStyle name="Normal - Style1" xfId="28"/>
    <cellStyle name="Normal 2" xfId="29"/>
    <cellStyle name="Normal 2 2" xfId="35"/>
    <cellStyle name="Normal 3" xfId="4"/>
    <cellStyle name="Normal 4" xfId="34"/>
    <cellStyle name="Percent" xfId="3" builtinId="5"/>
    <cellStyle name="Percent [2]" xfId="31"/>
    <cellStyle name="Percent 2" xfId="30"/>
    <cellStyle name="Percent 2 2" xfId="37"/>
  </cellStyles>
  <dxfs count="0"/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B\Rates\2012%20Rate%20Application\OEB%20Models\Rate%20Generator\Rate%20Generator%20Model%20091311\Whitby%20Hydro%202012_IRM_Rate_Generator%20v1.3%20092911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Current MFC"/>
      <sheetName val="5. Current DVR"/>
      <sheetName val="6. Current Rate_Riders"/>
      <sheetName val="7. Current RTSR-Network"/>
      <sheetName val="8. Current RTSR-Connection"/>
      <sheetName val="9. 2012 Cont. Sched. Def_Var"/>
      <sheetName val="10. Billing Det. for Def_Var"/>
      <sheetName val="11. Cost Allocation Def_Var"/>
      <sheetName val="12. Calc. of Def_Var RR"/>
      <sheetName val="13. Proposed MFC"/>
      <sheetName val="14. Proposed Rate_Riders"/>
      <sheetName val="15. Proposed RTSR-Network"/>
      <sheetName val="16. Proposed RTSR-Connection"/>
      <sheetName val="17. GDP-IPI - X"/>
      <sheetName val="HIDDEN FINAL MFC"/>
      <sheetName val="HIDDEN FINAL DVC"/>
      <sheetName val="HIDDEN FINAL RATE RIDERS"/>
      <sheetName val="HIDDEN FINAL DEF_VAR"/>
      <sheetName val="HIDDEN RTSR_NET"/>
      <sheetName val="HIDDEN RTSR_CONNECT"/>
      <sheetName val="18. LF - Current and Proposed"/>
      <sheetName val="19. Other Charges"/>
      <sheetName val="HIDDEN LF AND CHARGES"/>
      <sheetName val="20. 2012 Final Tariff"/>
      <sheetName val="21. Bill Impacts"/>
      <sheetName val="hidden1"/>
      <sheetName val="DRC SSS WMSR SPC RRRP"/>
      <sheetName val="CURRENT RATES"/>
      <sheetName val="PROPOSED RATES"/>
      <sheetName val="listclasses worksheet 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Residential</v>
          </cell>
        </row>
        <row r="2">
          <cell r="A2" t="str">
            <v>General Service Less Than 50 kW</v>
          </cell>
        </row>
        <row r="3">
          <cell r="A3" t="str">
            <v>General Service 50 to 4,999 kW</v>
          </cell>
        </row>
        <row r="4">
          <cell r="A4" t="str">
            <v>Unmetered Scattered Load</v>
          </cell>
        </row>
        <row r="5">
          <cell r="A5" t="str">
            <v>Sentinel Lighting</v>
          </cell>
        </row>
        <row r="6">
          <cell r="A6" t="str">
            <v>Street Lighting</v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</sheetData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C35" sqref="C35"/>
    </sheetView>
  </sheetViews>
  <sheetFormatPr defaultRowHeight="12.75" x14ac:dyDescent="0.2"/>
  <cols>
    <col min="1" max="1" width="13.7109375" style="21" customWidth="1"/>
    <col min="2" max="2" width="8.140625" style="21" bestFit="1" customWidth="1"/>
    <col min="3" max="3" width="6.140625" style="21" bestFit="1" customWidth="1"/>
    <col min="4" max="4" width="9.28515625" style="21" customWidth="1"/>
    <col min="5" max="5" width="10.28515625" style="21" bestFit="1" customWidth="1"/>
    <col min="6" max="6" width="9.85546875" style="21" customWidth="1"/>
    <col min="7" max="7" width="10.28515625" style="21" bestFit="1" customWidth="1"/>
    <col min="8" max="8" width="8.85546875" style="21" customWidth="1"/>
    <col min="9" max="9" width="10.28515625" style="21" bestFit="1" customWidth="1"/>
    <col min="10" max="10" width="8.28515625" style="21" customWidth="1"/>
    <col min="11" max="11" width="10.85546875" style="21" bestFit="1" customWidth="1"/>
    <col min="12" max="12" width="8.85546875" style="21" customWidth="1"/>
    <col min="13" max="13" width="12.42578125" style="21" bestFit="1" customWidth="1"/>
    <col min="14" max="16384" width="9.140625" style="21"/>
  </cols>
  <sheetData>
    <row r="1" spans="1:13" x14ac:dyDescent="0.2">
      <c r="A1" s="20" t="s">
        <v>140</v>
      </c>
      <c r="D1" s="118"/>
      <c r="E1" s="118"/>
      <c r="F1" s="118"/>
      <c r="G1" s="118"/>
    </row>
    <row r="3" spans="1:13" s="321" customFormat="1" ht="26.25" customHeight="1" x14ac:dyDescent="0.2">
      <c r="A3" s="573" t="s">
        <v>26</v>
      </c>
      <c r="B3" s="324"/>
      <c r="C3" s="324"/>
      <c r="D3" s="573" t="s">
        <v>89</v>
      </c>
      <c r="E3" s="570" t="s">
        <v>90</v>
      </c>
      <c r="F3" s="571"/>
      <c r="G3" s="570" t="s">
        <v>91</v>
      </c>
      <c r="H3" s="571"/>
      <c r="I3" s="572" t="s">
        <v>92</v>
      </c>
      <c r="J3" s="572"/>
      <c r="K3" s="572" t="s">
        <v>76</v>
      </c>
      <c r="L3" s="572"/>
    </row>
    <row r="4" spans="1:13" s="321" customFormat="1" x14ac:dyDescent="0.2">
      <c r="A4" s="574"/>
      <c r="B4" s="325" t="s">
        <v>88</v>
      </c>
      <c r="C4" s="325" t="s">
        <v>15</v>
      </c>
      <c r="D4" s="574"/>
      <c r="E4" s="326" t="s">
        <v>27</v>
      </c>
      <c r="F4" s="326" t="s">
        <v>28</v>
      </c>
      <c r="G4" s="326" t="s">
        <v>27</v>
      </c>
      <c r="H4" s="326" t="s">
        <v>28</v>
      </c>
      <c r="I4" s="326" t="s">
        <v>27</v>
      </c>
      <c r="J4" s="326" t="s">
        <v>28</v>
      </c>
      <c r="K4" s="326" t="s">
        <v>27</v>
      </c>
      <c r="L4" s="326" t="s">
        <v>28</v>
      </c>
    </row>
    <row r="5" spans="1:13" ht="24.75" customHeight="1" x14ac:dyDescent="0.2">
      <c r="A5" s="22" t="s">
        <v>0</v>
      </c>
      <c r="B5" s="23">
        <f>'Res '!C49</f>
        <v>750</v>
      </c>
      <c r="C5" s="23"/>
      <c r="D5" s="24" t="s">
        <v>40</v>
      </c>
      <c r="E5" s="25">
        <f>'Res '!I59</f>
        <v>0.77500000000000568</v>
      </c>
      <c r="F5" s="119">
        <f>'Res '!J59</f>
        <v>2.4328990739287577E-2</v>
      </c>
      <c r="G5" s="25">
        <f>+'Res '!I66</f>
        <v>0.33500000000000796</v>
      </c>
      <c r="H5" s="119">
        <f>+'Res '!J66</f>
        <v>9.4519163802785269E-3</v>
      </c>
      <c r="I5" s="25">
        <f>+'Res '!I69</f>
        <v>0.49181000000000807</v>
      </c>
      <c r="J5" s="119">
        <f>+'Res '!J69</f>
        <v>1.0594958367270578E-2</v>
      </c>
      <c r="K5" s="26">
        <f>+'Res '!I84</f>
        <v>0.51640049999998894</v>
      </c>
      <c r="L5" s="119">
        <f>+'Res '!J84</f>
        <v>4.4169111882027207E-3</v>
      </c>
      <c r="M5" s="322"/>
    </row>
    <row r="6" spans="1:13" ht="24.75" customHeight="1" x14ac:dyDescent="0.2">
      <c r="A6" s="128" t="s">
        <v>75</v>
      </c>
      <c r="B6" s="23">
        <f>+'Res recalc 10th percentile '!C49</f>
        <v>396</v>
      </c>
      <c r="C6" s="23"/>
      <c r="D6" s="24" t="s">
        <v>40</v>
      </c>
      <c r="E6" s="25">
        <f>+'Res recalc 10th percentile '!I59</f>
        <v>2.3680000000000021</v>
      </c>
      <c r="F6" s="119">
        <f>+'Res recalc 10th percentile '!J59</f>
        <v>8.1890112322248729E-2</v>
      </c>
      <c r="G6" s="25">
        <f>+'Res recalc 10th percentile '!I66</f>
        <v>2.4943999999999988</v>
      </c>
      <c r="H6" s="119">
        <f>+'Res recalc 10th percentile '!J66</f>
        <v>7.9989981129157658E-2</v>
      </c>
      <c r="I6" s="25">
        <f>+'Res recalc 10th percentile '!I69</f>
        <v>2.5771956800000027</v>
      </c>
      <c r="J6" s="119">
        <f>+'Res recalc 10th percentile '!J69</f>
        <v>6.9692356727106414E-2</v>
      </c>
      <c r="K6" s="26">
        <f>+'Res recalc 10th percentile '!I84</f>
        <v>2.7060554639999879</v>
      </c>
      <c r="L6" s="119">
        <f>+'Res recalc 10th percentile '!J84</f>
        <v>3.6105554800802513E-2</v>
      </c>
      <c r="M6" s="322"/>
    </row>
    <row r="7" spans="1:13" ht="24.75" customHeight="1" x14ac:dyDescent="0.2">
      <c r="A7" s="22" t="s">
        <v>30</v>
      </c>
      <c r="B7" s="23">
        <f>+'GS&lt;50'!C48</f>
        <v>2000</v>
      </c>
      <c r="C7" s="23"/>
      <c r="D7" s="24" t="s">
        <v>40</v>
      </c>
      <c r="E7" s="25">
        <f>'GS&lt;50'!I58</f>
        <v>2.1899999999999977</v>
      </c>
      <c r="F7" s="119">
        <f>'GS&lt;50'!J58</f>
        <v>3.1785195936139293E-2</v>
      </c>
      <c r="G7" s="25">
        <f>+'GS&lt;50'!I65</f>
        <v>0.78999999999999204</v>
      </c>
      <c r="H7" s="119">
        <f>+'GS&lt;50'!J65</f>
        <v>1.0239775622925626E-2</v>
      </c>
      <c r="I7" s="25">
        <f>+'GS&lt;50'!I68</f>
        <v>1.2081599999999924</v>
      </c>
      <c r="J7" s="119">
        <f>+'GS&lt;50'!J68</f>
        <v>1.1626719930008642E-2</v>
      </c>
      <c r="K7" s="26">
        <f>+'GS&lt;50'!I83</f>
        <v>1.2685680000000161</v>
      </c>
      <c r="L7" s="119">
        <f>+'GS&lt;50'!J83</f>
        <v>4.1569453591801435E-3</v>
      </c>
    </row>
    <row r="8" spans="1:13" ht="24.75" customHeight="1" x14ac:dyDescent="0.2">
      <c r="A8" s="22" t="s">
        <v>31</v>
      </c>
      <c r="B8" s="23">
        <f>+'GS&gt;50 '!C48</f>
        <v>40000</v>
      </c>
      <c r="C8" s="23">
        <f>+'GS&gt;50 '!E48</f>
        <v>100</v>
      </c>
      <c r="D8" s="27" t="s">
        <v>29</v>
      </c>
      <c r="E8" s="25">
        <f>'GS&gt;50 '!I56</f>
        <v>28.879999999999882</v>
      </c>
      <c r="F8" s="119">
        <f>'GS&gt;50 '!J56</f>
        <v>4.870069644693998E-2</v>
      </c>
      <c r="G8" s="25">
        <f>+'GS&gt;50 '!I63</f>
        <v>48.069999999999936</v>
      </c>
      <c r="H8" s="119">
        <f>+'GS&gt;50 '!J63</f>
        <v>6.0621606665526497E-2</v>
      </c>
      <c r="I8" s="25">
        <f>+'GS&gt;50 '!I66</f>
        <v>56.019999999999754</v>
      </c>
      <c r="J8" s="119">
        <f>+'GS&gt;50 '!J66</f>
        <v>4.3316165636315962E-2</v>
      </c>
      <c r="K8" s="26">
        <f>+'GS&gt;50 '!I79</f>
        <v>63.302599999999984</v>
      </c>
      <c r="L8" s="119">
        <f>+'GS&gt;50 '!J79</f>
        <v>9.12286621500716E-3</v>
      </c>
      <c r="M8" s="322"/>
    </row>
    <row r="9" spans="1:13" ht="24.75" customHeight="1" x14ac:dyDescent="0.2">
      <c r="A9" s="28" t="s">
        <v>32</v>
      </c>
      <c r="B9" s="23">
        <f>+USL!C43</f>
        <v>500</v>
      </c>
      <c r="C9" s="23"/>
      <c r="D9" s="24" t="s">
        <v>41</v>
      </c>
      <c r="E9" s="25">
        <f>USL!I51</f>
        <v>0.76000000000000512</v>
      </c>
      <c r="F9" s="120">
        <f>USL!J51</f>
        <v>2.9733959311424307E-2</v>
      </c>
      <c r="G9" s="25">
        <f>+USL!I57</f>
        <v>0.26000000000000512</v>
      </c>
      <c r="H9" s="120">
        <f>+USL!J57</f>
        <v>9.5210543469107876E-3</v>
      </c>
      <c r="I9" s="25">
        <f>+USL!I60</f>
        <v>0.36454000000000519</v>
      </c>
      <c r="J9" s="119">
        <f>+USL!J60</f>
        <v>1.0722250360751787E-2</v>
      </c>
      <c r="K9" s="26">
        <f>+USL!I74</f>
        <v>0.3827670000000154</v>
      </c>
      <c r="L9" s="119">
        <f>+USL!J74</f>
        <v>4.6564569668601976E-3</v>
      </c>
      <c r="M9" s="322"/>
    </row>
    <row r="10" spans="1:13" ht="24.75" customHeight="1" x14ac:dyDescent="0.2">
      <c r="A10" s="22" t="s">
        <v>25</v>
      </c>
      <c r="B10" s="23">
        <f>+'SL '!C40</f>
        <v>150</v>
      </c>
      <c r="C10" s="23">
        <f>+'SL '!E40</f>
        <v>1</v>
      </c>
      <c r="D10" s="24" t="s">
        <v>41</v>
      </c>
      <c r="E10" s="25">
        <f>'SL '!I47</f>
        <v>2.9999999999997584E-2</v>
      </c>
      <c r="F10" s="119">
        <f>'SL '!J47</f>
        <v>1.4214641080311577E-3</v>
      </c>
      <c r="G10" s="25">
        <f>+'SL '!I50</f>
        <v>-0.9366000000000021</v>
      </c>
      <c r="H10" s="119">
        <f>+'SL '!J50</f>
        <v>-4.3302232103847781E-2</v>
      </c>
      <c r="I10" s="25">
        <f>+'SL '!I53</f>
        <v>-0.87170000000000059</v>
      </c>
      <c r="J10" s="119">
        <f>+'SL '!J53</f>
        <v>-3.4196423282440824E-2</v>
      </c>
      <c r="K10" s="26">
        <f>+'SL '!I67</f>
        <v>-0.91528499999999724</v>
      </c>
      <c r="L10" s="119">
        <f>+'SL '!J67</f>
        <v>-2.2378521302172636E-2</v>
      </c>
      <c r="M10" s="322"/>
    </row>
    <row r="11" spans="1:13" ht="24.75" customHeight="1" x14ac:dyDescent="0.2">
      <c r="A11" s="22" t="s">
        <v>33</v>
      </c>
      <c r="B11" s="23">
        <f>+'ST '!C45</f>
        <v>420000</v>
      </c>
      <c r="C11" s="23">
        <f>+'ST '!E45</f>
        <v>1074</v>
      </c>
      <c r="D11" s="27" t="s">
        <v>29</v>
      </c>
      <c r="E11" s="25">
        <f>'ST '!I53</f>
        <v>182.15120000000024</v>
      </c>
      <c r="F11" s="119">
        <f>'ST '!J53</f>
        <v>6.3141712641549769E-3</v>
      </c>
      <c r="G11" s="25">
        <f>+'ST '!I60</f>
        <v>311.00960000000123</v>
      </c>
      <c r="H11" s="119">
        <f>+'ST '!J60</f>
        <v>1.004962461319191E-2</v>
      </c>
      <c r="I11" s="25">
        <f>+'ST '!I63</f>
        <v>378.34939999999915</v>
      </c>
      <c r="J11" s="119">
        <f>+'ST '!J63</f>
        <v>1.0796130003428489E-2</v>
      </c>
      <c r="K11" s="26">
        <f>+'ST '!I76</f>
        <v>427.53482199998689</v>
      </c>
      <c r="L11" s="119">
        <f>+'ST '!J76</f>
        <v>4.2552154966233645E-3</v>
      </c>
      <c r="M11" s="322"/>
    </row>
    <row r="12" spans="1:13" x14ac:dyDescent="0.2">
      <c r="B12" s="29"/>
      <c r="C12" s="29"/>
      <c r="D12" s="30"/>
      <c r="E12" s="30"/>
      <c r="F12" s="30"/>
    </row>
    <row r="13" spans="1:13" x14ac:dyDescent="0.2">
      <c r="A13" s="158" t="s">
        <v>34</v>
      </c>
      <c r="B13" s="125"/>
      <c r="C13" s="125"/>
      <c r="D13" s="123"/>
      <c r="E13" s="123"/>
      <c r="F13" s="123"/>
      <c r="G13" s="124"/>
      <c r="H13" s="124"/>
      <c r="I13" s="124"/>
      <c r="J13" s="124"/>
      <c r="K13" s="124"/>
      <c r="L13" s="124"/>
    </row>
    <row r="14" spans="1:13" x14ac:dyDescent="0.2">
      <c r="A14" s="159" t="s">
        <v>95</v>
      </c>
      <c r="B14" s="124"/>
      <c r="C14" s="124"/>
      <c r="D14" s="124"/>
      <c r="E14" s="124"/>
      <c r="F14" s="123"/>
      <c r="G14" s="124"/>
      <c r="H14" s="124"/>
      <c r="I14" s="124"/>
      <c r="J14" s="124"/>
      <c r="K14" s="124"/>
      <c r="L14" s="124"/>
    </row>
    <row r="15" spans="1:13" x14ac:dyDescent="0.2">
      <c r="A15" s="159" t="s">
        <v>108</v>
      </c>
      <c r="B15" s="124"/>
      <c r="C15" s="124"/>
      <c r="D15" s="124"/>
      <c r="E15" s="124"/>
      <c r="F15" s="124"/>
      <c r="G15" s="126"/>
      <c r="H15" s="124"/>
      <c r="I15" s="126"/>
      <c r="J15" s="124"/>
      <c r="K15" s="126"/>
      <c r="L15" s="124"/>
    </row>
    <row r="16" spans="1:13" x14ac:dyDescent="0.2">
      <c r="A16" s="568" t="s">
        <v>109</v>
      </c>
      <c r="B16" s="569"/>
      <c r="C16" s="569"/>
      <c r="D16" s="569"/>
      <c r="E16" s="569"/>
      <c r="F16" s="569"/>
      <c r="G16" s="569"/>
      <c r="H16" s="569"/>
      <c r="I16" s="569"/>
      <c r="J16" s="569"/>
      <c r="K16" s="569"/>
      <c r="L16" s="569"/>
    </row>
    <row r="17" spans="1:12" x14ac:dyDescent="0.2">
      <c r="A17" s="160" t="s">
        <v>98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</row>
    <row r="18" spans="1:12" x14ac:dyDescent="0.2">
      <c r="A18" s="159" t="s">
        <v>93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</row>
    <row r="19" spans="1:12" x14ac:dyDescent="0.2">
      <c r="A19" s="159" t="s">
        <v>99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</row>
    <row r="20" spans="1:12" x14ac:dyDescent="0.2">
      <c r="A20" s="124" t="s">
        <v>74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</row>
    <row r="21" spans="1:12" x14ac:dyDescent="0.2">
      <c r="A21" s="159" t="s">
        <v>100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</row>
    <row r="22" spans="1:12" x14ac:dyDescent="0.2">
      <c r="A22" s="124" t="s">
        <v>94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</row>
    <row r="23" spans="1:12" x14ac:dyDescent="0.2">
      <c r="A23" s="124" t="s">
        <v>102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</row>
    <row r="25" spans="1:12" s="323" customFormat="1" ht="11.25" x14ac:dyDescent="0.2">
      <c r="A25" s="323" t="s">
        <v>107</v>
      </c>
    </row>
  </sheetData>
  <mergeCells count="7">
    <mergeCell ref="A16:L16"/>
    <mergeCell ref="G3:H3"/>
    <mergeCell ref="I3:J3"/>
    <mergeCell ref="K3:L3"/>
    <mergeCell ref="A3:A4"/>
    <mergeCell ref="D3:D4"/>
    <mergeCell ref="E3:F3"/>
  </mergeCells>
  <phoneticPr fontId="6" type="noConversion"/>
  <pageMargins left="0.75" right="0.75" top="1" bottom="1" header="0.5" footer="0.5"/>
  <pageSetup scale="81" orientation="portrait" r:id="rId1"/>
  <headerFooter alignWithMargins="0"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9"/>
  <sheetViews>
    <sheetView showGridLines="0" tabSelected="1" topLeftCell="A9" zoomScale="90" workbookViewId="0">
      <selection activeCell="D25" sqref="D25"/>
    </sheetView>
  </sheetViews>
  <sheetFormatPr defaultRowHeight="12.75" x14ac:dyDescent="0.2"/>
  <cols>
    <col min="1" max="1" width="2.28515625" customWidth="1"/>
    <col min="2" max="2" width="44.42578125" customWidth="1"/>
    <col min="3" max="3" width="11" customWidth="1"/>
    <col min="4" max="4" width="11.140625" customWidth="1"/>
    <col min="5" max="5" width="13" customWidth="1"/>
    <col min="6" max="6" width="12.42578125" customWidth="1"/>
    <col min="7" max="7" width="9.85546875" bestFit="1" customWidth="1"/>
    <col min="8" max="8" width="13.140625" customWidth="1"/>
    <col min="9" max="9" width="10.7109375" bestFit="1" customWidth="1"/>
    <col min="10" max="10" width="11.140625" bestFit="1" customWidth="1"/>
    <col min="11" max="13" width="13.140625" customWidth="1"/>
    <col min="16" max="16" width="9.85546875" bestFit="1" customWidth="1"/>
    <col min="17" max="17" width="12.28515625" customWidth="1"/>
    <col min="19" max="19" width="9.85546875" bestFit="1" customWidth="1"/>
  </cols>
  <sheetData>
    <row r="1" spans="2:13" hidden="1" x14ac:dyDescent="0.2"/>
    <row r="2" spans="2:13" hidden="1" x14ac:dyDescent="0.2"/>
    <row r="3" spans="2:13" hidden="1" x14ac:dyDescent="0.2"/>
    <row r="4" spans="2:13" hidden="1" x14ac:dyDescent="0.2"/>
    <row r="5" spans="2:13" hidden="1" x14ac:dyDescent="0.2"/>
    <row r="6" spans="2:13" hidden="1" x14ac:dyDescent="0.2"/>
    <row r="7" spans="2:13" hidden="1" x14ac:dyDescent="0.2"/>
    <row r="8" spans="2:13" hidden="1" x14ac:dyDescent="0.2">
      <c r="E8" s="148"/>
      <c r="F8" s="133"/>
      <c r="G8" s="133"/>
      <c r="H8" s="133"/>
      <c r="I8" s="133"/>
      <c r="J8" s="133"/>
    </row>
    <row r="9" spans="2:13" ht="18" x14ac:dyDescent="0.25">
      <c r="B9" s="1" t="s">
        <v>22</v>
      </c>
      <c r="C9" s="142"/>
      <c r="D9" s="2"/>
      <c r="E9" s="145" t="s">
        <v>83</v>
      </c>
      <c r="F9" s="142" t="s">
        <v>84</v>
      </c>
      <c r="G9" s="2"/>
      <c r="H9" s="2"/>
      <c r="I9" s="2"/>
      <c r="J9" s="2"/>
      <c r="K9" s="2"/>
      <c r="L9" s="2"/>
      <c r="M9" s="2"/>
    </row>
    <row r="10" spans="2:13" x14ac:dyDescent="0.2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ht="18" x14ac:dyDescent="0.25">
      <c r="B11" s="583" t="s">
        <v>69</v>
      </c>
      <c r="C11" s="583"/>
      <c r="D11" s="583"/>
      <c r="E11" s="583"/>
      <c r="F11" s="3"/>
      <c r="G11" s="3"/>
      <c r="H11" s="2"/>
      <c r="I11" s="2"/>
      <c r="J11" s="2"/>
      <c r="K11" s="2"/>
      <c r="L11" s="2"/>
      <c r="M11" s="2"/>
    </row>
    <row r="12" spans="2:13" ht="13.5" thickBot="1" x14ac:dyDescent="0.25">
      <c r="B12" s="2"/>
      <c r="C12" s="144">
        <v>2017</v>
      </c>
      <c r="D12" s="144">
        <v>2018</v>
      </c>
      <c r="F12" s="2"/>
      <c r="G12" s="2"/>
      <c r="H12" s="2"/>
      <c r="I12" s="2"/>
      <c r="J12" s="2"/>
      <c r="K12" s="2"/>
      <c r="L12" s="2"/>
      <c r="M12" s="2"/>
    </row>
    <row r="13" spans="2:13" ht="26.25" thickBot="1" x14ac:dyDescent="0.25">
      <c r="B13" s="4" t="s">
        <v>1</v>
      </c>
      <c r="C13" s="91" t="s">
        <v>2</v>
      </c>
      <c r="D13" s="91" t="s">
        <v>44</v>
      </c>
      <c r="E13" s="2"/>
      <c r="F13" s="2"/>
      <c r="G13" s="2"/>
      <c r="H13" s="2"/>
      <c r="I13" s="2"/>
      <c r="J13" s="2"/>
      <c r="K13" s="2"/>
      <c r="L13" s="2"/>
      <c r="M13" s="2"/>
    </row>
    <row r="14" spans="2:13" x14ac:dyDescent="0.2">
      <c r="B14" s="141" t="s">
        <v>3</v>
      </c>
      <c r="C14" s="6">
        <v>24.57</v>
      </c>
      <c r="D14" s="6">
        <v>29.18</v>
      </c>
      <c r="E14" s="143" t="s">
        <v>77</v>
      </c>
      <c r="F14" s="16" t="s">
        <v>73</v>
      </c>
      <c r="G14" s="16"/>
      <c r="H14" s="16"/>
      <c r="I14" s="280" t="s">
        <v>73</v>
      </c>
      <c r="J14" s="16"/>
      <c r="K14" s="16"/>
      <c r="L14" s="2"/>
      <c r="M14" s="2"/>
    </row>
    <row r="15" spans="2:13" x14ac:dyDescent="0.2">
      <c r="B15" s="93" t="s">
        <v>78</v>
      </c>
      <c r="C15" s="7">
        <v>-1.1399999999999999</v>
      </c>
      <c r="D15" s="7">
        <v>0</v>
      </c>
      <c r="E15" s="143" t="s">
        <v>77</v>
      </c>
      <c r="F15" s="2" t="s">
        <v>73</v>
      </c>
      <c r="G15" s="127"/>
      <c r="H15" s="2"/>
      <c r="I15" s="280" t="s">
        <v>73</v>
      </c>
      <c r="J15" s="2"/>
      <c r="K15" s="2"/>
      <c r="L15" s="2"/>
      <c r="M15" s="2"/>
    </row>
    <row r="16" spans="2:13" x14ac:dyDescent="0.2">
      <c r="B16" s="532" t="s">
        <v>4</v>
      </c>
      <c r="C16" s="8">
        <v>2.2000000000000002</v>
      </c>
      <c r="D16" s="8">
        <v>0</v>
      </c>
      <c r="E16" s="143" t="s">
        <v>77</v>
      </c>
      <c r="F16" s="2" t="s">
        <v>73</v>
      </c>
      <c r="G16" s="127"/>
      <c r="H16" s="2"/>
      <c r="I16" s="280" t="s">
        <v>73</v>
      </c>
      <c r="J16" s="2"/>
      <c r="K16" s="2"/>
      <c r="L16" s="2"/>
      <c r="M16" s="2"/>
    </row>
    <row r="17" spans="2:13" x14ac:dyDescent="0.2">
      <c r="B17" s="32" t="s">
        <v>42</v>
      </c>
      <c r="C17" s="7">
        <v>0.79</v>
      </c>
      <c r="D17" s="7">
        <v>0.79</v>
      </c>
      <c r="E17" s="155" t="s">
        <v>77</v>
      </c>
      <c r="F17" s="2" t="s">
        <v>73</v>
      </c>
      <c r="G17" s="2"/>
      <c r="H17" s="2"/>
      <c r="I17" s="280" t="s">
        <v>73</v>
      </c>
      <c r="J17" s="2"/>
      <c r="K17" s="2"/>
      <c r="L17" s="2"/>
      <c r="M17" s="2"/>
    </row>
    <row r="18" spans="2:13" x14ac:dyDescent="0.2">
      <c r="B18" s="9" t="s">
        <v>5</v>
      </c>
      <c r="C18" s="139">
        <v>7.6E-3</v>
      </c>
      <c r="D18" s="139">
        <v>3.8E-3</v>
      </c>
      <c r="E18" s="155" t="s">
        <v>14</v>
      </c>
      <c r="F18" s="2" t="s">
        <v>73</v>
      </c>
      <c r="G18" s="2"/>
      <c r="H18" s="2"/>
      <c r="I18" s="281" t="s">
        <v>73</v>
      </c>
      <c r="J18" s="2"/>
      <c r="K18" s="2"/>
      <c r="L18" s="2"/>
      <c r="M18" s="2"/>
    </row>
    <row r="19" spans="2:13" x14ac:dyDescent="0.2">
      <c r="B19" s="9" t="s">
        <v>97</v>
      </c>
      <c r="C19" s="139">
        <v>6.9999999999999999E-4</v>
      </c>
      <c r="D19" s="7">
        <v>0</v>
      </c>
      <c r="E19" s="155" t="s">
        <v>14</v>
      </c>
      <c r="F19" s="2"/>
      <c r="G19" s="2"/>
      <c r="H19" s="2"/>
      <c r="I19" s="281" t="s">
        <v>73</v>
      </c>
      <c r="J19" s="2"/>
      <c r="K19" s="2"/>
      <c r="L19" s="2"/>
      <c r="M19" s="2"/>
    </row>
    <row r="20" spans="2:13" x14ac:dyDescent="0.2">
      <c r="B20" s="9" t="s">
        <v>112</v>
      </c>
      <c r="C20" s="139"/>
      <c r="D20" s="139">
        <v>2.0000000000000001E-4</v>
      </c>
      <c r="E20" s="155" t="s">
        <v>14</v>
      </c>
      <c r="F20" s="2"/>
      <c r="G20" s="2"/>
      <c r="H20" s="2"/>
      <c r="I20" s="281" t="s">
        <v>73</v>
      </c>
      <c r="J20" s="2"/>
      <c r="K20" s="2"/>
      <c r="L20" s="2"/>
      <c r="M20" s="2"/>
    </row>
    <row r="21" spans="2:13" x14ac:dyDescent="0.2">
      <c r="B21" s="9" t="s">
        <v>110</v>
      </c>
      <c r="C21" s="139"/>
      <c r="D21" s="139">
        <v>-2.8E-3</v>
      </c>
      <c r="E21" s="155" t="s">
        <v>14</v>
      </c>
      <c r="F21" s="2" t="s">
        <v>73</v>
      </c>
      <c r="G21" s="2"/>
      <c r="H21" s="2"/>
      <c r="I21" s="281" t="s">
        <v>73</v>
      </c>
      <c r="J21" s="2"/>
      <c r="K21" s="2"/>
      <c r="L21" s="2"/>
      <c r="M21" s="2"/>
    </row>
    <row r="22" spans="2:13" x14ac:dyDescent="0.2">
      <c r="B22" s="9" t="s">
        <v>111</v>
      </c>
      <c r="C22" s="139"/>
      <c r="D22" s="139">
        <v>1.2999999999999999E-3</v>
      </c>
      <c r="E22" s="155" t="s">
        <v>14</v>
      </c>
      <c r="F22" s="16" t="s">
        <v>73</v>
      </c>
      <c r="G22" s="16"/>
      <c r="H22" s="2"/>
      <c r="I22" s="281" t="s">
        <v>73</v>
      </c>
      <c r="J22" s="2"/>
      <c r="K22" s="2"/>
      <c r="L22" s="2"/>
      <c r="M22" s="2"/>
    </row>
    <row r="23" spans="2:13" x14ac:dyDescent="0.2">
      <c r="B23" s="93" t="s">
        <v>82</v>
      </c>
      <c r="C23" s="139">
        <f>IF(E9="RPP",-C22,0)</f>
        <v>0</v>
      </c>
      <c r="D23" s="139">
        <f>IF(E9="RPP",-D22,0)</f>
        <v>-1.2999999999999999E-3</v>
      </c>
      <c r="E23" s="155" t="s">
        <v>14</v>
      </c>
      <c r="F23" s="16" t="s">
        <v>73</v>
      </c>
      <c r="G23" s="16"/>
      <c r="H23" s="2"/>
      <c r="I23" s="281" t="s">
        <v>73</v>
      </c>
      <c r="J23" s="2"/>
      <c r="K23" s="2"/>
      <c r="L23" s="2"/>
      <c r="M23" s="2"/>
    </row>
    <row r="24" spans="2:13" x14ac:dyDescent="0.2">
      <c r="B24" s="9" t="s">
        <v>6</v>
      </c>
      <c r="C24" s="153">
        <v>7.7000000000000002E-3</v>
      </c>
      <c r="D24" s="153">
        <v>7.4999999999999997E-3</v>
      </c>
      <c r="E24" s="155" t="s">
        <v>14</v>
      </c>
      <c r="F24" s="16" t="s">
        <v>73</v>
      </c>
      <c r="G24" s="2"/>
      <c r="H24" s="2"/>
      <c r="I24" s="281" t="s">
        <v>73</v>
      </c>
      <c r="J24" s="2"/>
      <c r="K24" s="2"/>
      <c r="L24" s="2"/>
      <c r="M24" s="2"/>
    </row>
    <row r="25" spans="2:13" ht="30" customHeight="1" x14ac:dyDescent="0.2">
      <c r="B25" s="9" t="s">
        <v>7</v>
      </c>
      <c r="C25" s="153">
        <v>6.3E-3</v>
      </c>
      <c r="D25" s="153">
        <v>6.7000000000000002E-3</v>
      </c>
      <c r="E25" s="155" t="s">
        <v>14</v>
      </c>
      <c r="F25" s="16" t="s">
        <v>73</v>
      </c>
      <c r="G25" s="2"/>
      <c r="H25" s="2"/>
      <c r="I25" s="281" t="s">
        <v>73</v>
      </c>
      <c r="J25" s="2"/>
      <c r="K25" s="2"/>
      <c r="L25" s="2"/>
      <c r="M25" s="2"/>
    </row>
    <row r="26" spans="2:13" x14ac:dyDescent="0.2">
      <c r="B26" s="9" t="s">
        <v>8</v>
      </c>
      <c r="C26" s="11">
        <v>3.2000000000000002E-3</v>
      </c>
      <c r="D26" s="11">
        <v>3.2000000000000002E-3</v>
      </c>
      <c r="E26" s="155" t="s">
        <v>14</v>
      </c>
      <c r="F26" s="2"/>
      <c r="G26" s="2"/>
      <c r="H26" s="2"/>
      <c r="I26" s="136" t="s">
        <v>73</v>
      </c>
      <c r="J26" s="2"/>
      <c r="K26" s="2"/>
      <c r="L26" s="2"/>
      <c r="M26" s="2"/>
    </row>
    <row r="27" spans="2:13" x14ac:dyDescent="0.2">
      <c r="B27" s="9" t="s">
        <v>103</v>
      </c>
      <c r="C27" s="11">
        <v>4.0000000000000002E-4</v>
      </c>
      <c r="D27" s="11">
        <v>4.0000000000000002E-4</v>
      </c>
      <c r="E27" s="155" t="s">
        <v>14</v>
      </c>
      <c r="F27" s="2"/>
      <c r="G27" s="2"/>
      <c r="H27" s="2"/>
      <c r="I27" s="136" t="s">
        <v>73</v>
      </c>
      <c r="J27" s="2"/>
      <c r="K27" s="2"/>
      <c r="L27" s="2"/>
      <c r="M27" s="2"/>
    </row>
    <row r="28" spans="2:13" x14ac:dyDescent="0.2">
      <c r="B28" s="9" t="s">
        <v>104</v>
      </c>
      <c r="C28" s="11">
        <v>2.9999999999999997E-4</v>
      </c>
      <c r="D28" s="11">
        <v>2.9999999999999997E-4</v>
      </c>
      <c r="E28" s="155" t="s">
        <v>14</v>
      </c>
      <c r="F28" s="2"/>
      <c r="G28" s="2"/>
      <c r="H28" s="2"/>
      <c r="I28" s="136" t="s">
        <v>73</v>
      </c>
      <c r="J28" s="2"/>
      <c r="K28" s="2"/>
      <c r="L28" s="2"/>
      <c r="M28" s="2"/>
    </row>
    <row r="29" spans="2:13" x14ac:dyDescent="0.2">
      <c r="B29" s="93" t="s">
        <v>81</v>
      </c>
      <c r="C29" s="11"/>
      <c r="D29" s="11"/>
      <c r="E29" s="164" t="s">
        <v>105</v>
      </c>
      <c r="F29" s="2"/>
      <c r="G29" s="2"/>
      <c r="H29" s="2"/>
      <c r="I29" s="136" t="s">
        <v>73</v>
      </c>
      <c r="J29" s="2"/>
      <c r="K29" s="2"/>
      <c r="L29" s="2"/>
      <c r="M29" s="2"/>
    </row>
    <row r="30" spans="2:13" ht="23.25" customHeight="1" x14ac:dyDescent="0.2">
      <c r="B30" s="9" t="s">
        <v>10</v>
      </c>
      <c r="C30" s="12">
        <v>0.25</v>
      </c>
      <c r="D30" s="12">
        <v>0.25</v>
      </c>
      <c r="E30" s="155" t="s">
        <v>77</v>
      </c>
      <c r="F30" s="2"/>
      <c r="G30" s="2"/>
      <c r="H30" s="2"/>
      <c r="I30" s="282" t="s">
        <v>73</v>
      </c>
      <c r="J30" s="2"/>
      <c r="K30" s="2"/>
      <c r="L30" s="2"/>
      <c r="M30" s="2"/>
    </row>
    <row r="31" spans="2:13" x14ac:dyDescent="0.2">
      <c r="B31" s="9" t="s">
        <v>11</v>
      </c>
      <c r="C31" s="13"/>
      <c r="D31" s="13"/>
      <c r="E31" s="155" t="s">
        <v>14</v>
      </c>
      <c r="F31" s="2"/>
      <c r="G31" s="2"/>
      <c r="H31" s="2"/>
      <c r="I31" s="136" t="s">
        <v>73</v>
      </c>
      <c r="J31" s="2"/>
      <c r="K31" s="2"/>
      <c r="L31" s="2"/>
      <c r="M31" s="2"/>
    </row>
    <row r="32" spans="2:13" ht="13.5" thickBot="1" x14ac:dyDescent="0.25">
      <c r="B32" s="14" t="s">
        <v>12</v>
      </c>
      <c r="C32" s="15">
        <v>1.0454000000000001</v>
      </c>
      <c r="D32" s="15">
        <v>1.0454000000000001</v>
      </c>
      <c r="E32" s="16"/>
      <c r="F32" s="2"/>
      <c r="G32" s="2"/>
      <c r="H32" s="2"/>
      <c r="I32" s="136" t="s">
        <v>73</v>
      </c>
      <c r="J32" s="2"/>
      <c r="K32" s="2"/>
      <c r="L32" s="2"/>
      <c r="M32" s="2"/>
    </row>
    <row r="33" spans="2:13" x14ac:dyDescent="0.2">
      <c r="B33" s="92"/>
      <c r="C33" s="2"/>
      <c r="D33" s="2"/>
      <c r="F33" s="2"/>
      <c r="G33" s="2"/>
      <c r="H33" s="2"/>
      <c r="I33" s="2"/>
      <c r="J33" s="142"/>
      <c r="K33" s="2"/>
      <c r="L33" s="2"/>
      <c r="M33" s="2"/>
    </row>
    <row r="34" spans="2:13" ht="13.5" thickBot="1" x14ac:dyDescent="0.25">
      <c r="B34" s="275" t="s">
        <v>126</v>
      </c>
      <c r="C34" s="144">
        <v>2018</v>
      </c>
      <c r="D34" s="144">
        <v>2018</v>
      </c>
      <c r="E34" s="85"/>
      <c r="F34" s="2"/>
      <c r="G34" s="2"/>
      <c r="H34" s="2"/>
      <c r="I34" s="2"/>
      <c r="J34" s="142"/>
      <c r="K34" s="2"/>
      <c r="L34" s="2"/>
      <c r="M34" s="2"/>
    </row>
    <row r="35" spans="2:13" ht="13.5" thickBot="1" x14ac:dyDescent="0.25">
      <c r="B35" s="533" t="s">
        <v>1</v>
      </c>
      <c r="C35" s="534" t="s">
        <v>127</v>
      </c>
      <c r="D35" s="534" t="s">
        <v>128</v>
      </c>
      <c r="E35" s="85"/>
      <c r="F35" s="2"/>
      <c r="G35" s="2"/>
      <c r="H35" s="2"/>
      <c r="I35" s="2"/>
      <c r="J35" s="142"/>
      <c r="K35" s="2"/>
      <c r="L35" s="2"/>
      <c r="M35" s="2"/>
    </row>
    <row r="36" spans="2:13" ht="15" customHeight="1" x14ac:dyDescent="0.2">
      <c r="B36" s="560" t="s">
        <v>123</v>
      </c>
      <c r="C36" s="562">
        <v>0.6</v>
      </c>
      <c r="D36" s="563"/>
      <c r="E36" s="85"/>
      <c r="F36" s="2"/>
      <c r="G36" s="289"/>
      <c r="H36" s="272"/>
      <c r="I36" s="2"/>
      <c r="J36" s="142"/>
      <c r="K36" s="2"/>
      <c r="L36" s="2"/>
      <c r="M36" s="2"/>
    </row>
    <row r="37" spans="2:13" ht="15" customHeight="1" x14ac:dyDescent="0.2">
      <c r="B37" s="552" t="s">
        <v>124</v>
      </c>
      <c r="C37" s="556"/>
      <c r="D37" s="556">
        <v>1E-3</v>
      </c>
      <c r="E37" s="85"/>
      <c r="F37" s="2"/>
      <c r="G37" s="290"/>
      <c r="H37" s="290"/>
      <c r="I37" s="2"/>
      <c r="J37" s="142"/>
      <c r="K37" s="2"/>
      <c r="L37" s="2"/>
      <c r="M37" s="2"/>
    </row>
    <row r="38" spans="2:13" ht="15" customHeight="1" thickBot="1" x14ac:dyDescent="0.25">
      <c r="B38" s="553" t="s">
        <v>125</v>
      </c>
      <c r="C38" s="555">
        <v>0.76</v>
      </c>
      <c r="D38" s="555"/>
      <c r="E38" s="85" t="s">
        <v>73</v>
      </c>
      <c r="F38" s="2"/>
      <c r="G38" s="289"/>
      <c r="H38" s="289"/>
      <c r="I38" s="2"/>
      <c r="J38" s="142"/>
      <c r="K38" s="2"/>
      <c r="L38" s="2"/>
      <c r="M38" s="2"/>
    </row>
    <row r="39" spans="2:13" x14ac:dyDescent="0.2">
      <c r="B39" s="271"/>
      <c r="C39" s="272"/>
      <c r="D39" s="272"/>
      <c r="E39" s="85"/>
      <c r="F39" s="2"/>
      <c r="G39" s="2"/>
      <c r="H39" s="2"/>
      <c r="I39" s="2"/>
      <c r="J39" s="142"/>
      <c r="K39" s="2"/>
      <c r="L39" s="2"/>
      <c r="M39" s="2"/>
    </row>
    <row r="40" spans="2:13" x14ac:dyDescent="0.2">
      <c r="B40" s="92"/>
      <c r="C40" s="2"/>
      <c r="D40" s="2"/>
      <c r="E40" s="85"/>
      <c r="F40" s="2"/>
      <c r="G40" s="2"/>
      <c r="H40" s="2"/>
      <c r="I40" s="2"/>
      <c r="J40" s="142"/>
      <c r="K40" s="2"/>
      <c r="L40" s="2"/>
      <c r="M40" s="2"/>
    </row>
    <row r="41" spans="2:13" x14ac:dyDescent="0.2">
      <c r="B41" s="92"/>
      <c r="C41" s="2"/>
      <c r="D41" s="2"/>
      <c r="E41" s="85"/>
      <c r="F41" s="2"/>
      <c r="G41" s="2"/>
      <c r="H41" s="2"/>
      <c r="I41" s="2"/>
      <c r="J41" s="142"/>
      <c r="K41" s="2"/>
      <c r="L41" s="2"/>
      <c r="M41" s="2"/>
    </row>
    <row r="42" spans="2:13" x14ac:dyDescent="0.2">
      <c r="B42" s="92" t="s">
        <v>35</v>
      </c>
      <c r="C42" s="136">
        <v>7.6999999999999999E-2</v>
      </c>
      <c r="D42" s="136">
        <v>7.6999999999999999E-2</v>
      </c>
      <c r="E42" s="86"/>
      <c r="F42" s="2"/>
      <c r="G42" s="2"/>
      <c r="H42" s="2"/>
      <c r="I42" s="2"/>
      <c r="J42" s="165"/>
      <c r="K42" s="2"/>
      <c r="L42" s="2"/>
      <c r="M42" s="2"/>
    </row>
    <row r="43" spans="2:13" x14ac:dyDescent="0.2">
      <c r="B43" s="92" t="s">
        <v>36</v>
      </c>
      <c r="C43" s="136">
        <v>0.09</v>
      </c>
      <c r="D43" s="136">
        <v>0.09</v>
      </c>
      <c r="E43" s="86"/>
      <c r="F43" s="2"/>
      <c r="G43" s="2"/>
      <c r="H43" s="2"/>
      <c r="I43" s="2"/>
      <c r="J43" s="2"/>
      <c r="K43" s="2"/>
      <c r="L43" s="2"/>
      <c r="M43" s="2"/>
    </row>
    <row r="44" spans="2:13" x14ac:dyDescent="0.2">
      <c r="B44" s="92" t="s">
        <v>37</v>
      </c>
      <c r="C44" s="136">
        <v>6.5000000000000002E-2</v>
      </c>
      <c r="D44" s="136">
        <v>6.5000000000000002E-2</v>
      </c>
      <c r="E44" s="86">
        <v>0.65</v>
      </c>
      <c r="F44" s="87">
        <f>C44*E44</f>
        <v>4.2250000000000003E-2</v>
      </c>
      <c r="G44" s="2"/>
      <c r="H44" s="2"/>
      <c r="I44" s="2"/>
      <c r="J44" s="2"/>
      <c r="K44" s="2"/>
      <c r="L44" s="2"/>
      <c r="M44" s="2"/>
    </row>
    <row r="45" spans="2:13" x14ac:dyDescent="0.2">
      <c r="B45" s="92" t="s">
        <v>38</v>
      </c>
      <c r="C45" s="136">
        <v>9.5000000000000001E-2</v>
      </c>
      <c r="D45" s="136">
        <v>9.5000000000000001E-2</v>
      </c>
      <c r="E45" s="86">
        <v>0.17</v>
      </c>
      <c r="F45" s="87">
        <f>C45*E45</f>
        <v>1.6150000000000001E-2</v>
      </c>
      <c r="G45" s="2"/>
      <c r="H45" s="2"/>
      <c r="I45" s="2"/>
      <c r="J45" s="2"/>
      <c r="K45" s="2"/>
      <c r="L45" s="2"/>
      <c r="M45" s="2"/>
    </row>
    <row r="46" spans="2:13" x14ac:dyDescent="0.2">
      <c r="B46" s="92" t="s">
        <v>39</v>
      </c>
      <c r="C46" s="136">
        <v>0.13200000000000001</v>
      </c>
      <c r="D46" s="136">
        <v>0.13200000000000001</v>
      </c>
      <c r="E46" s="86">
        <v>0.18</v>
      </c>
      <c r="F46" s="87">
        <f>C46*E46</f>
        <v>2.376E-2</v>
      </c>
      <c r="G46" s="2"/>
      <c r="H46" s="2"/>
      <c r="I46" s="2"/>
      <c r="J46" s="2"/>
      <c r="K46" s="2"/>
      <c r="L46" s="2"/>
      <c r="M46" s="2"/>
    </row>
    <row r="47" spans="2:13" x14ac:dyDescent="0.2">
      <c r="B47" s="92"/>
      <c r="C47" s="2"/>
      <c r="D47" s="2"/>
      <c r="E47" s="2"/>
      <c r="F47" s="87"/>
      <c r="G47" s="2"/>
      <c r="H47" s="2"/>
      <c r="I47" s="2"/>
      <c r="J47" s="2"/>
      <c r="K47" s="2"/>
      <c r="L47" s="2"/>
      <c r="M47" s="2"/>
    </row>
    <row r="48" spans="2:13" ht="13.5" thickBot="1" x14ac:dyDescent="0.25">
      <c r="B48" s="9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7" ht="13.5" thickBot="1" x14ac:dyDescent="0.25">
      <c r="B49" s="102" t="s">
        <v>13</v>
      </c>
      <c r="C49" s="103">
        <v>750</v>
      </c>
      <c r="D49" s="104" t="s">
        <v>14</v>
      </c>
      <c r="E49" s="537"/>
      <c r="F49" s="538" t="s">
        <v>73</v>
      </c>
      <c r="G49" s="107"/>
      <c r="H49" s="108" t="s">
        <v>16</v>
      </c>
      <c r="I49" s="109"/>
      <c r="J49" s="110">
        <f>C32</f>
        <v>1.0454000000000001</v>
      </c>
      <c r="K49" s="2"/>
      <c r="L49" s="2"/>
      <c r="M49" s="2"/>
    </row>
    <row r="50" spans="1:17" x14ac:dyDescent="0.2">
      <c r="B50" s="94"/>
      <c r="C50" s="578" t="s">
        <v>43</v>
      </c>
      <c r="D50" s="579"/>
      <c r="E50" s="579"/>
      <c r="F50" s="584" t="s">
        <v>44</v>
      </c>
      <c r="G50" s="579"/>
      <c r="H50" s="585"/>
      <c r="I50" s="579" t="s">
        <v>45</v>
      </c>
      <c r="J50" s="580"/>
      <c r="K50" s="63"/>
      <c r="L50" s="131"/>
      <c r="M50" s="131"/>
      <c r="N50" s="63"/>
      <c r="O50" s="64"/>
      <c r="P50" s="575"/>
      <c r="Q50" s="575"/>
    </row>
    <row r="51" spans="1:17" x14ac:dyDescent="0.2">
      <c r="B51" s="586" t="str">
        <f>B11</f>
        <v>RESIDENTIAL (RPP TOU)</v>
      </c>
      <c r="C51" s="33" t="s">
        <v>46</v>
      </c>
      <c r="D51" s="33" t="s">
        <v>20</v>
      </c>
      <c r="E51" s="79" t="s">
        <v>47</v>
      </c>
      <c r="F51" s="74" t="s">
        <v>46</v>
      </c>
      <c r="G51" s="34" t="s">
        <v>20</v>
      </c>
      <c r="H51" s="80" t="s">
        <v>47</v>
      </c>
      <c r="I51" s="581" t="s">
        <v>27</v>
      </c>
      <c r="J51" s="581" t="s">
        <v>28</v>
      </c>
      <c r="K51" s="63"/>
      <c r="L51" s="131"/>
      <c r="M51" s="131"/>
      <c r="N51" s="63"/>
      <c r="O51" s="64"/>
      <c r="P51" s="576"/>
      <c r="Q51" s="576"/>
    </row>
    <row r="52" spans="1:17" x14ac:dyDescent="0.2">
      <c r="B52" s="587"/>
      <c r="C52" s="35" t="s">
        <v>48</v>
      </c>
      <c r="D52" s="35"/>
      <c r="E52" s="73" t="s">
        <v>48</v>
      </c>
      <c r="F52" s="75" t="s">
        <v>48</v>
      </c>
      <c r="G52" s="36"/>
      <c r="H52" s="76" t="s">
        <v>48</v>
      </c>
      <c r="I52" s="582"/>
      <c r="J52" s="582"/>
      <c r="K52" s="66"/>
      <c r="L52" s="66"/>
      <c r="M52" s="66"/>
      <c r="N52" s="66"/>
      <c r="O52" s="64"/>
      <c r="P52" s="577"/>
      <c r="Q52" s="577"/>
    </row>
    <row r="53" spans="1:17" ht="14.25" x14ac:dyDescent="0.2">
      <c r="A53" s="31" t="s">
        <v>132</v>
      </c>
      <c r="B53" s="95" t="s">
        <v>49</v>
      </c>
      <c r="C53" s="180">
        <f>C14</f>
        <v>24.57</v>
      </c>
      <c r="D53" s="37">
        <v>1</v>
      </c>
      <c r="E53" s="181">
        <f t="shared" ref="E53:E58" si="0">D53*C53</f>
        <v>24.57</v>
      </c>
      <c r="F53" s="182">
        <f>D14</f>
        <v>29.18</v>
      </c>
      <c r="G53" s="38">
        <v>1</v>
      </c>
      <c r="H53" s="183">
        <f>G53*F53</f>
        <v>29.18</v>
      </c>
      <c r="I53" s="184">
        <f t="shared" ref="I53:I73" si="1">H53-E53</f>
        <v>4.6099999999999994</v>
      </c>
      <c r="J53" s="185">
        <f t="shared" ref="J53:J79" si="2">IF((H53)=0,"",(I53/E53))</f>
        <v>0.18762718762718761</v>
      </c>
      <c r="K53" s="56"/>
      <c r="L53" s="56"/>
      <c r="M53" s="56"/>
      <c r="N53" s="67"/>
      <c r="O53" s="56"/>
      <c r="P53" s="61"/>
      <c r="Q53" s="68"/>
    </row>
    <row r="54" spans="1:17" ht="14.25" x14ac:dyDescent="0.2">
      <c r="A54" s="31" t="s">
        <v>132</v>
      </c>
      <c r="B54" s="529" t="s">
        <v>118</v>
      </c>
      <c r="C54" s="190">
        <f>C16</f>
        <v>2.2000000000000002</v>
      </c>
      <c r="D54" s="129">
        <f>+D53</f>
        <v>1</v>
      </c>
      <c r="E54" s="191">
        <f t="shared" si="0"/>
        <v>2.2000000000000002</v>
      </c>
      <c r="F54" s="255"/>
      <c r="G54" s="130">
        <f>+G53</f>
        <v>1</v>
      </c>
      <c r="H54" s="192">
        <f>+F54*G54</f>
        <v>0</v>
      </c>
      <c r="I54" s="237">
        <f t="shared" si="1"/>
        <v>-2.2000000000000002</v>
      </c>
      <c r="J54" s="530" t="str">
        <f t="shared" si="2"/>
        <v/>
      </c>
      <c r="K54" s="56"/>
      <c r="L54" s="56"/>
      <c r="M54" s="56"/>
      <c r="N54" s="67"/>
      <c r="O54" s="56"/>
      <c r="P54" s="61"/>
      <c r="Q54" s="68"/>
    </row>
    <row r="55" spans="1:17" ht="14.25" x14ac:dyDescent="0.2">
      <c r="A55" s="31" t="s">
        <v>134</v>
      </c>
      <c r="B55" s="96" t="s">
        <v>5</v>
      </c>
      <c r="C55" s="256">
        <f>C18</f>
        <v>7.6E-3</v>
      </c>
      <c r="D55" s="39">
        <f>C49</f>
        <v>750</v>
      </c>
      <c r="E55" s="245">
        <f t="shared" si="0"/>
        <v>5.7</v>
      </c>
      <c r="F55" s="531">
        <f>D18</f>
        <v>3.8E-3</v>
      </c>
      <c r="G55" s="40">
        <f>+C49</f>
        <v>750</v>
      </c>
      <c r="H55" s="522">
        <f t="shared" ref="H55:H58" si="3">G55*F55</f>
        <v>2.85</v>
      </c>
      <c r="I55" s="237">
        <f t="shared" si="1"/>
        <v>-2.85</v>
      </c>
      <c r="J55" s="243">
        <f t="shared" si="2"/>
        <v>-0.5</v>
      </c>
      <c r="K55" s="58"/>
      <c r="L55" s="58"/>
      <c r="M55" s="58"/>
      <c r="N55" s="69"/>
      <c r="O55" s="56"/>
      <c r="P55" s="61"/>
      <c r="Q55" s="68"/>
    </row>
    <row r="56" spans="1:17" ht="14.25" x14ac:dyDescent="0.2">
      <c r="B56" s="97" t="s">
        <v>130</v>
      </c>
      <c r="C56" s="256"/>
      <c r="D56" s="39"/>
      <c r="E56" s="245">
        <f t="shared" si="0"/>
        <v>0</v>
      </c>
      <c r="F56" s="531">
        <f>+C36</f>
        <v>0.6</v>
      </c>
      <c r="G56" s="40">
        <f>+G53</f>
        <v>1</v>
      </c>
      <c r="H56" s="522">
        <f t="shared" si="3"/>
        <v>0.6</v>
      </c>
      <c r="I56" s="237">
        <f t="shared" si="1"/>
        <v>0.6</v>
      </c>
      <c r="J56" s="243" t="e">
        <f t="shared" si="2"/>
        <v>#DIV/0!</v>
      </c>
      <c r="K56" s="58"/>
      <c r="L56" s="58"/>
      <c r="M56" s="58"/>
      <c r="N56" s="69"/>
      <c r="O56" s="56"/>
      <c r="P56" s="61"/>
      <c r="Q56" s="68"/>
    </row>
    <row r="57" spans="1:17" ht="14.25" x14ac:dyDescent="0.2">
      <c r="B57" s="97" t="s">
        <v>79</v>
      </c>
      <c r="C57" s="190">
        <f>C15</f>
        <v>-1.1399999999999999</v>
      </c>
      <c r="D57" s="129">
        <f>+D53</f>
        <v>1</v>
      </c>
      <c r="E57" s="191">
        <f t="shared" si="0"/>
        <v>-1.1399999999999999</v>
      </c>
      <c r="F57" s="182">
        <f>D15</f>
        <v>0</v>
      </c>
      <c r="G57" s="130">
        <f>+G53</f>
        <v>1</v>
      </c>
      <c r="H57" s="192">
        <f t="shared" si="3"/>
        <v>0</v>
      </c>
      <c r="I57" s="184">
        <f t="shared" si="1"/>
        <v>1.1399999999999999</v>
      </c>
      <c r="J57" s="189" t="str">
        <f t="shared" si="2"/>
        <v/>
      </c>
      <c r="K57" s="56"/>
      <c r="L57" s="56"/>
      <c r="M57" s="56"/>
      <c r="N57" s="67"/>
      <c r="O57" s="56"/>
      <c r="P57" s="61"/>
      <c r="Q57" s="68"/>
    </row>
    <row r="58" spans="1:17" ht="14.25" x14ac:dyDescent="0.2">
      <c r="B58" s="171" t="s">
        <v>119</v>
      </c>
      <c r="C58" s="194">
        <f>C19</f>
        <v>6.9999999999999999E-4</v>
      </c>
      <c r="D58" s="41">
        <f>C49</f>
        <v>750</v>
      </c>
      <c r="E58" s="195">
        <f t="shared" si="0"/>
        <v>0.52500000000000002</v>
      </c>
      <c r="F58" s="266">
        <f>D19</f>
        <v>0</v>
      </c>
      <c r="G58" s="42">
        <f>+C49</f>
        <v>750</v>
      </c>
      <c r="H58" s="197">
        <f t="shared" si="3"/>
        <v>0</v>
      </c>
      <c r="I58" s="184">
        <f t="shared" si="1"/>
        <v>-0.52500000000000002</v>
      </c>
      <c r="J58" s="185" t="str">
        <f t="shared" si="2"/>
        <v/>
      </c>
      <c r="K58" s="58"/>
      <c r="L58" s="329"/>
      <c r="M58" s="328"/>
      <c r="N58" s="69"/>
      <c r="O58" s="56"/>
      <c r="P58" s="61"/>
      <c r="Q58" s="68"/>
    </row>
    <row r="59" spans="1:17" ht="15" x14ac:dyDescent="0.2">
      <c r="B59" s="43" t="s">
        <v>50</v>
      </c>
      <c r="C59" s="198"/>
      <c r="D59" s="83"/>
      <c r="E59" s="199">
        <f>SUM(E53:E58)</f>
        <v>31.854999999999997</v>
      </c>
      <c r="F59" s="260"/>
      <c r="G59" s="84"/>
      <c r="H59" s="201">
        <f>SUM(H53:H58)</f>
        <v>32.630000000000003</v>
      </c>
      <c r="I59" s="202">
        <f t="shared" si="1"/>
        <v>0.77500000000000568</v>
      </c>
      <c r="J59" s="203">
        <f t="shared" si="2"/>
        <v>2.4328990739287577E-2</v>
      </c>
      <c r="K59" s="56"/>
      <c r="L59" s="132"/>
      <c r="M59" s="122"/>
      <c r="N59" s="69"/>
      <c r="O59" s="122"/>
      <c r="P59" s="59"/>
      <c r="Q59" s="60"/>
    </row>
    <row r="60" spans="1:17" ht="15.75" customHeight="1" x14ac:dyDescent="0.2">
      <c r="B60" s="97" t="s">
        <v>51</v>
      </c>
      <c r="C60" s="186">
        <f>C76*E44+C77*E45+C78*E46</f>
        <v>8.2160000000000011E-2</v>
      </c>
      <c r="D60" s="44">
        <f>$C49*($C32-1)</f>
        <v>34.050000000000082</v>
      </c>
      <c r="E60" s="181">
        <f>C60*D60</f>
        <v>2.797548000000007</v>
      </c>
      <c r="F60" s="187">
        <f>C60</f>
        <v>8.2160000000000011E-2</v>
      </c>
      <c r="G60" s="44">
        <f>$C49*($C32-1)</f>
        <v>34.050000000000082</v>
      </c>
      <c r="H60" s="188">
        <f>F60*G60</f>
        <v>2.797548000000007</v>
      </c>
      <c r="I60" s="184">
        <f t="shared" si="1"/>
        <v>0</v>
      </c>
      <c r="J60" s="185">
        <f t="shared" si="2"/>
        <v>0</v>
      </c>
      <c r="K60" s="70"/>
      <c r="L60" s="137"/>
      <c r="M60" s="70"/>
      <c r="N60" s="69"/>
      <c r="O60" s="56"/>
      <c r="P60" s="61"/>
      <c r="Q60" s="68"/>
    </row>
    <row r="61" spans="1:17" ht="14.25" x14ac:dyDescent="0.2">
      <c r="B61" s="97" t="s">
        <v>129</v>
      </c>
      <c r="C61" s="256"/>
      <c r="D61" s="44"/>
      <c r="E61" s="245">
        <f>D61*C61</f>
        <v>0</v>
      </c>
      <c r="F61" s="257">
        <f>+D37</f>
        <v>1E-3</v>
      </c>
      <c r="G61" s="44">
        <f>+C49</f>
        <v>750</v>
      </c>
      <c r="H61" s="522">
        <f>G61*F61</f>
        <v>0.75</v>
      </c>
      <c r="I61" s="237">
        <f t="shared" si="1"/>
        <v>0.75</v>
      </c>
      <c r="J61" s="243" t="e">
        <f t="shared" si="2"/>
        <v>#DIV/0!</v>
      </c>
      <c r="K61" s="70"/>
      <c r="L61" s="328"/>
      <c r="M61" s="70"/>
      <c r="N61" s="69"/>
      <c r="O61" s="56"/>
      <c r="P61" s="61"/>
      <c r="Q61" s="68"/>
    </row>
    <row r="62" spans="1:17" ht="14.25" x14ac:dyDescent="0.2">
      <c r="B62" s="97" t="s">
        <v>125</v>
      </c>
      <c r="C62" s="256"/>
      <c r="D62" s="44"/>
      <c r="E62" s="245">
        <f>D62*C62</f>
        <v>0</v>
      </c>
      <c r="F62" s="520">
        <f>+C38</f>
        <v>0.76</v>
      </c>
      <c r="G62" s="44">
        <v>1</v>
      </c>
      <c r="H62" s="522">
        <f>G62*F62</f>
        <v>0.76</v>
      </c>
      <c r="I62" s="237">
        <f t="shared" si="1"/>
        <v>0.76</v>
      </c>
      <c r="J62" s="243" t="e">
        <f t="shared" si="2"/>
        <v>#DIV/0!</v>
      </c>
      <c r="K62" s="70"/>
      <c r="L62" s="137"/>
      <c r="M62" s="70"/>
      <c r="N62" s="69"/>
      <c r="O62" s="56"/>
      <c r="P62" s="61"/>
      <c r="Q62" s="68"/>
    </row>
    <row r="63" spans="1:17" ht="14.25" x14ac:dyDescent="0.2">
      <c r="B63" s="97" t="s">
        <v>52</v>
      </c>
      <c r="C63" s="186"/>
      <c r="D63" s="44"/>
      <c r="E63" s="181">
        <f>D63*C63</f>
        <v>0</v>
      </c>
      <c r="F63" s="187">
        <f>+D21</f>
        <v>-2.8E-3</v>
      </c>
      <c r="G63" s="44">
        <f>+C49</f>
        <v>750</v>
      </c>
      <c r="H63" s="188">
        <f>G63*F63</f>
        <v>-2.1</v>
      </c>
      <c r="I63" s="184">
        <f t="shared" si="1"/>
        <v>-2.1</v>
      </c>
      <c r="J63" s="185" t="e">
        <f t="shared" si="2"/>
        <v>#DIV/0!</v>
      </c>
      <c r="K63" s="70"/>
      <c r="L63" s="70"/>
      <c r="M63" s="70"/>
      <c r="N63" s="69"/>
      <c r="O63" s="56"/>
      <c r="P63" s="61"/>
      <c r="Q63" s="68"/>
    </row>
    <row r="64" spans="1:17" ht="14.25" x14ac:dyDescent="0.2">
      <c r="B64" s="97" t="s">
        <v>113</v>
      </c>
      <c r="C64" s="186"/>
      <c r="D64" s="44"/>
      <c r="E64" s="181">
        <f>D64*C64</f>
        <v>0</v>
      </c>
      <c r="F64" s="187">
        <f>D20</f>
        <v>2.0000000000000001E-4</v>
      </c>
      <c r="G64" s="44">
        <f>+C49</f>
        <v>750</v>
      </c>
      <c r="H64" s="188">
        <f>G64*F64</f>
        <v>0.15</v>
      </c>
      <c r="I64" s="184">
        <f t="shared" si="1"/>
        <v>0.15</v>
      </c>
      <c r="J64" s="185" t="e">
        <f t="shared" si="2"/>
        <v>#DIV/0!</v>
      </c>
      <c r="K64" s="70"/>
      <c r="L64" s="327"/>
      <c r="M64" s="70"/>
      <c r="N64" s="69"/>
      <c r="O64" s="56"/>
      <c r="P64" s="61"/>
      <c r="Q64" s="68"/>
    </row>
    <row r="65" spans="2:19" ht="14.25" x14ac:dyDescent="0.2">
      <c r="B65" s="98" t="s">
        <v>53</v>
      </c>
      <c r="C65" s="238">
        <f>C17</f>
        <v>0.79</v>
      </c>
      <c r="D65" s="44">
        <f>D53</f>
        <v>1</v>
      </c>
      <c r="E65" s="181">
        <f>D65*C65</f>
        <v>0.79</v>
      </c>
      <c r="F65" s="239">
        <f>D17</f>
        <v>0.79</v>
      </c>
      <c r="G65" s="44">
        <f>+G53</f>
        <v>1</v>
      </c>
      <c r="H65" s="188">
        <f>G65*F65</f>
        <v>0.79</v>
      </c>
      <c r="I65" s="184">
        <f t="shared" si="1"/>
        <v>0</v>
      </c>
      <c r="J65" s="185">
        <f t="shared" si="2"/>
        <v>0</v>
      </c>
      <c r="K65" s="70"/>
      <c r="L65" s="70"/>
      <c r="M65" s="70"/>
      <c r="N65" s="69"/>
      <c r="O65" s="56"/>
      <c r="P65" s="61"/>
      <c r="Q65" s="68"/>
    </row>
    <row r="66" spans="2:19" ht="15" x14ac:dyDescent="0.2">
      <c r="B66" s="57" t="s">
        <v>54</v>
      </c>
      <c r="C66" s="204"/>
      <c r="D66" s="45"/>
      <c r="E66" s="205">
        <f>SUM(E60:E65)+E59</f>
        <v>35.442548000000002</v>
      </c>
      <c r="F66" s="206"/>
      <c r="G66" s="46"/>
      <c r="H66" s="208">
        <f>SUM(H60:H65)+H59</f>
        <v>35.77754800000001</v>
      </c>
      <c r="I66" s="202">
        <f t="shared" si="1"/>
        <v>0.33500000000000796</v>
      </c>
      <c r="J66" s="203">
        <f t="shared" si="2"/>
        <v>9.4519163802785269E-3</v>
      </c>
      <c r="K66" s="56"/>
      <c r="L66" s="56"/>
      <c r="M66" s="56"/>
      <c r="N66" s="59"/>
      <c r="O66" s="56"/>
      <c r="P66" s="59"/>
      <c r="Q66" s="60"/>
    </row>
    <row r="67" spans="2:19" ht="14.25" x14ac:dyDescent="0.2">
      <c r="B67" s="99" t="s">
        <v>55</v>
      </c>
      <c r="C67" s="186">
        <f>C24</f>
        <v>7.7000000000000002E-3</v>
      </c>
      <c r="D67" s="72">
        <f>C49+D60</f>
        <v>784.05000000000007</v>
      </c>
      <c r="E67" s="181">
        <f>D67*C67</f>
        <v>6.0371850000000009</v>
      </c>
      <c r="F67" s="187">
        <f>D24</f>
        <v>7.4999999999999997E-3</v>
      </c>
      <c r="G67" s="276">
        <f>+C49+G60</f>
        <v>784.05000000000007</v>
      </c>
      <c r="H67" s="188">
        <f>G67*F67</f>
        <v>5.8803749999999999</v>
      </c>
      <c r="I67" s="184">
        <f t="shared" si="1"/>
        <v>-0.156810000000001</v>
      </c>
      <c r="J67" s="185">
        <f t="shared" si="2"/>
        <v>-2.5974025974026135E-2</v>
      </c>
      <c r="K67" s="70"/>
      <c r="L67" s="70"/>
      <c r="M67" s="70"/>
      <c r="N67" s="121"/>
      <c r="O67" s="56"/>
      <c r="P67" s="61"/>
      <c r="Q67" s="68"/>
    </row>
    <row r="68" spans="2:19" ht="21.75" customHeight="1" x14ac:dyDescent="0.2">
      <c r="B68" s="100" t="s">
        <v>56</v>
      </c>
      <c r="C68" s="186">
        <f>C25</f>
        <v>6.3E-3</v>
      </c>
      <c r="D68" s="72">
        <f>+C49+D60</f>
        <v>784.05000000000007</v>
      </c>
      <c r="E68" s="181">
        <f>D68*C68</f>
        <v>4.9395150000000001</v>
      </c>
      <c r="F68" s="187">
        <f>D25</f>
        <v>6.7000000000000002E-3</v>
      </c>
      <c r="G68" s="276">
        <f>+C49+G60</f>
        <v>784.05000000000007</v>
      </c>
      <c r="H68" s="188">
        <f>G68*F68</f>
        <v>5.2531350000000003</v>
      </c>
      <c r="I68" s="184">
        <f t="shared" si="1"/>
        <v>0.31362000000000023</v>
      </c>
      <c r="J68" s="185">
        <f t="shared" si="2"/>
        <v>6.3492063492063544E-2</v>
      </c>
      <c r="K68" s="70"/>
      <c r="L68" s="328"/>
      <c r="M68" s="70"/>
      <c r="N68" s="69"/>
      <c r="O68" s="56"/>
      <c r="P68" s="61"/>
      <c r="Q68" s="68"/>
    </row>
    <row r="69" spans="2:19" ht="15" x14ac:dyDescent="0.2">
      <c r="B69" s="57" t="s">
        <v>57</v>
      </c>
      <c r="C69" s="204"/>
      <c r="D69" s="45"/>
      <c r="E69" s="205">
        <f>SUM(E66:E68)</f>
        <v>46.419248000000003</v>
      </c>
      <c r="F69" s="207"/>
      <c r="G69" s="49"/>
      <c r="H69" s="208">
        <f>SUM(H66:H68)</f>
        <v>46.911058000000011</v>
      </c>
      <c r="I69" s="202">
        <f t="shared" si="1"/>
        <v>0.49181000000000807</v>
      </c>
      <c r="J69" s="203">
        <f t="shared" si="2"/>
        <v>1.0594958367270578E-2</v>
      </c>
      <c r="K69" s="54"/>
      <c r="L69" s="54"/>
      <c r="M69" s="54"/>
      <c r="N69" s="59"/>
      <c r="O69" s="54"/>
    </row>
    <row r="70" spans="2:19" ht="14.25" x14ac:dyDescent="0.2">
      <c r="B70" s="97" t="s">
        <v>58</v>
      </c>
      <c r="C70" s="209">
        <f>C26</f>
        <v>3.2000000000000002E-3</v>
      </c>
      <c r="D70" s="44">
        <f>C49+D60</f>
        <v>784.05000000000007</v>
      </c>
      <c r="E70" s="210">
        <f>D70*C70</f>
        <v>2.5089600000000005</v>
      </c>
      <c r="F70" s="187">
        <f>D26</f>
        <v>3.2000000000000002E-3</v>
      </c>
      <c r="G70" s="277">
        <f>+C49+G60</f>
        <v>784.05000000000007</v>
      </c>
      <c r="H70" s="211">
        <f>G70*F70</f>
        <v>2.5089600000000005</v>
      </c>
      <c r="I70" s="184">
        <f t="shared" si="1"/>
        <v>0</v>
      </c>
      <c r="J70" s="185">
        <f t="shared" si="2"/>
        <v>0</v>
      </c>
      <c r="K70" s="70"/>
      <c r="L70" s="70"/>
      <c r="M70" s="70"/>
      <c r="N70" s="71"/>
      <c r="O70" s="56"/>
      <c r="P70" s="61"/>
      <c r="Q70" s="62"/>
    </row>
    <row r="71" spans="2:19" ht="14.25" x14ac:dyDescent="0.2">
      <c r="B71" s="97" t="s">
        <v>103</v>
      </c>
      <c r="C71" s="209">
        <f>C27</f>
        <v>4.0000000000000002E-4</v>
      </c>
      <c r="D71" s="166">
        <f>C49+D60</f>
        <v>784.05000000000007</v>
      </c>
      <c r="E71" s="212">
        <f>D71*C71</f>
        <v>0.31362000000000007</v>
      </c>
      <c r="F71" s="187">
        <f>D27</f>
        <v>4.0000000000000002E-4</v>
      </c>
      <c r="G71" s="277">
        <f>+C49+G60</f>
        <v>784.05000000000007</v>
      </c>
      <c r="H71" s="211">
        <f>G71*F71</f>
        <v>0.31362000000000007</v>
      </c>
      <c r="I71" s="184">
        <f t="shared" si="1"/>
        <v>0</v>
      </c>
      <c r="J71" s="185">
        <f t="shared" si="2"/>
        <v>0</v>
      </c>
      <c r="K71" s="70"/>
      <c r="L71" s="70"/>
      <c r="M71" s="70"/>
      <c r="N71" s="71"/>
      <c r="O71" s="56"/>
      <c r="P71" s="61"/>
      <c r="Q71" s="62"/>
    </row>
    <row r="72" spans="2:19" ht="14.25" x14ac:dyDescent="0.2">
      <c r="B72" s="96" t="s">
        <v>59</v>
      </c>
      <c r="C72" s="209">
        <f>C28</f>
        <v>2.9999999999999997E-4</v>
      </c>
      <c r="D72" s="166">
        <f>+C49+D60</f>
        <v>784.05000000000007</v>
      </c>
      <c r="E72" s="212">
        <f>D72*C72</f>
        <v>0.23521500000000001</v>
      </c>
      <c r="F72" s="187">
        <f>D28</f>
        <v>2.9999999999999997E-4</v>
      </c>
      <c r="G72" s="277">
        <f>+C49+G60</f>
        <v>784.05000000000007</v>
      </c>
      <c r="H72" s="211">
        <f>G72*F72</f>
        <v>0.23521500000000001</v>
      </c>
      <c r="I72" s="184">
        <f t="shared" si="1"/>
        <v>0</v>
      </c>
      <c r="J72" s="185">
        <f t="shared" si="2"/>
        <v>0</v>
      </c>
      <c r="K72" s="70"/>
      <c r="L72" s="70"/>
      <c r="M72" s="70"/>
      <c r="N72" s="71"/>
      <c r="O72" s="56"/>
      <c r="P72" s="61"/>
      <c r="Q72" s="62"/>
    </row>
    <row r="73" spans="2:19" ht="14.25" x14ac:dyDescent="0.2">
      <c r="B73" s="95" t="s">
        <v>60</v>
      </c>
      <c r="C73" s="268">
        <f>C30</f>
        <v>0.25</v>
      </c>
      <c r="D73" s="47">
        <f>D53</f>
        <v>1</v>
      </c>
      <c r="E73" s="213">
        <f>D73*C73</f>
        <v>0.25</v>
      </c>
      <c r="F73" s="239">
        <f>D30</f>
        <v>0.25</v>
      </c>
      <c r="G73" s="48">
        <f>+G53</f>
        <v>1</v>
      </c>
      <c r="H73" s="211">
        <f>G73*F73</f>
        <v>0.25</v>
      </c>
      <c r="I73" s="184">
        <f t="shared" si="1"/>
        <v>0</v>
      </c>
      <c r="J73" s="185">
        <f t="shared" si="2"/>
        <v>0</v>
      </c>
      <c r="K73" s="70"/>
      <c r="L73" s="70"/>
      <c r="M73" s="70"/>
      <c r="N73" s="71"/>
      <c r="O73" s="56"/>
      <c r="P73" s="61"/>
      <c r="Q73" s="62"/>
    </row>
    <row r="74" spans="2:19" ht="15" x14ac:dyDescent="0.2">
      <c r="B74" s="57" t="s">
        <v>65</v>
      </c>
      <c r="C74" s="204"/>
      <c r="D74" s="45"/>
      <c r="E74" s="205">
        <f>SUM(E70:E73)</f>
        <v>3.3077950000000009</v>
      </c>
      <c r="F74" s="207"/>
      <c r="G74" s="49"/>
      <c r="H74" s="208">
        <f>SUM(H70:H73)</f>
        <v>3.3077950000000009</v>
      </c>
      <c r="I74" s="202">
        <f>SUM(I70:I73)</f>
        <v>0</v>
      </c>
      <c r="J74" s="203">
        <f t="shared" si="2"/>
        <v>0</v>
      </c>
      <c r="K74" s="70"/>
      <c r="L74" s="70"/>
      <c r="M74" s="70"/>
      <c r="N74" s="71"/>
      <c r="O74" s="56"/>
      <c r="P74" s="61"/>
      <c r="Q74" s="62"/>
    </row>
    <row r="75" spans="2:19" ht="15" x14ac:dyDescent="0.2">
      <c r="B75" s="57" t="s">
        <v>11</v>
      </c>
      <c r="C75" s="214">
        <f>C31</f>
        <v>0</v>
      </c>
      <c r="D75" s="134">
        <f>C49</f>
        <v>750</v>
      </c>
      <c r="E75" s="215">
        <f>D75*C75</f>
        <v>0</v>
      </c>
      <c r="F75" s="216">
        <f>D31</f>
        <v>0</v>
      </c>
      <c r="G75" s="135">
        <f>D75</f>
        <v>750</v>
      </c>
      <c r="H75" s="217">
        <f>G75*F75</f>
        <v>0</v>
      </c>
      <c r="I75" s="202">
        <f>H75-E75</f>
        <v>0</v>
      </c>
      <c r="J75" s="203" t="str">
        <f t="shared" si="2"/>
        <v/>
      </c>
      <c r="K75" s="70"/>
      <c r="L75" s="70"/>
      <c r="M75" s="70"/>
      <c r="N75" s="71"/>
      <c r="O75" s="56"/>
      <c r="P75" s="61"/>
      <c r="Q75" s="62"/>
    </row>
    <row r="76" spans="2:19" ht="14.25" x14ac:dyDescent="0.2">
      <c r="B76" s="97" t="s">
        <v>61</v>
      </c>
      <c r="C76" s="209">
        <f>C44</f>
        <v>6.5000000000000002E-2</v>
      </c>
      <c r="D76" s="44">
        <f>ROUND($C$49*$E44,2)</f>
        <v>487.5</v>
      </c>
      <c r="E76" s="218">
        <f>D76*C76</f>
        <v>31.6875</v>
      </c>
      <c r="F76" s="187">
        <f>C76</f>
        <v>6.5000000000000002E-2</v>
      </c>
      <c r="G76" s="44">
        <f>ROUND($C$49*$E44,2)</f>
        <v>487.5</v>
      </c>
      <c r="H76" s="211">
        <f>G76*F76</f>
        <v>31.6875</v>
      </c>
      <c r="I76" s="184">
        <f>H76-E76</f>
        <v>0</v>
      </c>
      <c r="J76" s="185">
        <f t="shared" si="2"/>
        <v>0</v>
      </c>
      <c r="K76" s="70"/>
      <c r="L76" s="70"/>
      <c r="M76" s="70"/>
      <c r="N76" s="71"/>
      <c r="O76" s="56"/>
      <c r="P76" s="61"/>
      <c r="Q76" s="62"/>
    </row>
    <row r="77" spans="2:19" ht="14.25" x14ac:dyDescent="0.2">
      <c r="B77" s="97" t="s">
        <v>62</v>
      </c>
      <c r="C77" s="209">
        <f>C45</f>
        <v>9.5000000000000001E-2</v>
      </c>
      <c r="D77" s="44">
        <f>ROUND($C$49*$E45,2)</f>
        <v>127.5</v>
      </c>
      <c r="E77" s="218">
        <f>D77*C77</f>
        <v>12.112500000000001</v>
      </c>
      <c r="F77" s="187">
        <f>C77</f>
        <v>9.5000000000000001E-2</v>
      </c>
      <c r="G77" s="44">
        <f>ROUND($C$49*$E45,2)</f>
        <v>127.5</v>
      </c>
      <c r="H77" s="211">
        <f>G77*F77</f>
        <v>12.112500000000001</v>
      </c>
      <c r="I77" s="184">
        <f>H77-E77</f>
        <v>0</v>
      </c>
      <c r="J77" s="185">
        <f t="shared" si="2"/>
        <v>0</v>
      </c>
      <c r="K77" s="70"/>
      <c r="L77" s="70"/>
      <c r="M77" s="70"/>
      <c r="N77" s="71"/>
      <c r="O77" s="56"/>
      <c r="P77" s="61"/>
      <c r="Q77" s="62"/>
    </row>
    <row r="78" spans="2:19" ht="14.25" x14ac:dyDescent="0.2">
      <c r="B78" s="97" t="s">
        <v>63</v>
      </c>
      <c r="C78" s="209">
        <f>C46</f>
        <v>0.13200000000000001</v>
      </c>
      <c r="D78" s="44">
        <f>ROUND($C$49*$E46,2)</f>
        <v>135</v>
      </c>
      <c r="E78" s="218">
        <f>D78*C78</f>
        <v>17.82</v>
      </c>
      <c r="F78" s="187">
        <f>C78</f>
        <v>0.13200000000000001</v>
      </c>
      <c r="G78" s="44">
        <f>ROUND($C$49*$E46,2)</f>
        <v>135</v>
      </c>
      <c r="H78" s="211">
        <f>G78*F78</f>
        <v>17.82</v>
      </c>
      <c r="I78" s="184">
        <f>H78-E78</f>
        <v>0</v>
      </c>
      <c r="J78" s="185">
        <f t="shared" si="2"/>
        <v>0</v>
      </c>
      <c r="K78" s="70"/>
      <c r="L78" s="70"/>
      <c r="M78" s="70"/>
      <c r="N78" s="71"/>
      <c r="O78" s="56"/>
      <c r="P78" s="61"/>
      <c r="Q78" s="62"/>
    </row>
    <row r="79" spans="2:19" ht="15.75" thickBot="1" x14ac:dyDescent="0.25">
      <c r="B79" s="57" t="s">
        <v>66</v>
      </c>
      <c r="C79" s="204"/>
      <c r="D79" s="45"/>
      <c r="E79" s="205">
        <f>SUM(E76:E78)</f>
        <v>61.62</v>
      </c>
      <c r="F79" s="207"/>
      <c r="G79" s="49"/>
      <c r="H79" s="208">
        <f>SUM(H76:H78)</f>
        <v>61.62</v>
      </c>
      <c r="I79" s="202">
        <f>H79-E79</f>
        <v>0</v>
      </c>
      <c r="J79" s="203">
        <f t="shared" si="2"/>
        <v>0</v>
      </c>
      <c r="K79" s="70"/>
      <c r="L79" s="138"/>
      <c r="M79" s="70"/>
      <c r="N79" s="71"/>
      <c r="O79" s="56"/>
      <c r="P79" s="61"/>
      <c r="Q79" s="62"/>
    </row>
    <row r="80" spans="2:19" ht="7.5" customHeight="1" thickBot="1" x14ac:dyDescent="0.25">
      <c r="B80" s="101"/>
      <c r="C80" s="219"/>
      <c r="D80" s="50"/>
      <c r="E80" s="220"/>
      <c r="F80" s="221"/>
      <c r="G80" s="51"/>
      <c r="H80" s="222"/>
      <c r="I80" s="223"/>
      <c r="J80" s="224"/>
      <c r="K80" s="56"/>
      <c r="L80" s="56"/>
      <c r="M80" s="56"/>
      <c r="N80" s="71"/>
      <c r="O80" s="56"/>
      <c r="P80" s="61"/>
      <c r="Q80" s="62"/>
      <c r="S80" s="61"/>
    </row>
    <row r="81" spans="2:19" ht="15" x14ac:dyDescent="0.2">
      <c r="B81" s="81" t="s">
        <v>64</v>
      </c>
      <c r="C81" s="225"/>
      <c r="D81" s="52"/>
      <c r="E81" s="226">
        <f>E79+E75+E74+E69</f>
        <v>111.34704300000001</v>
      </c>
      <c r="F81" s="227"/>
      <c r="G81" s="53"/>
      <c r="H81" s="228">
        <f>H79+H75+H74+H69</f>
        <v>111.83885300000001</v>
      </c>
      <c r="I81" s="184">
        <f>H81-E81</f>
        <v>0.49181000000000097</v>
      </c>
      <c r="J81" s="185">
        <f>IF((H81)=0,"",(I81/E81))</f>
        <v>4.4169111882028239E-3</v>
      </c>
      <c r="K81" s="77"/>
      <c r="L81" s="77"/>
      <c r="M81" s="77"/>
      <c r="N81" s="59"/>
      <c r="O81" s="54"/>
      <c r="P81" s="59"/>
      <c r="Q81" s="59"/>
      <c r="S81" s="59"/>
    </row>
    <row r="82" spans="2:19" ht="14.25" x14ac:dyDescent="0.2">
      <c r="B82" s="82" t="s">
        <v>21</v>
      </c>
      <c r="C82" s="225">
        <v>0.13</v>
      </c>
      <c r="D82" s="55"/>
      <c r="E82" s="229">
        <f>E81*C82</f>
        <v>14.475115590000001</v>
      </c>
      <c r="F82" s="230">
        <v>0.13</v>
      </c>
      <c r="G82" s="37"/>
      <c r="H82" s="231">
        <f>H81*F82</f>
        <v>14.539050890000002</v>
      </c>
      <c r="I82" s="184">
        <f>H82-E82</f>
        <v>6.3935300000000694E-2</v>
      </c>
      <c r="J82" s="185">
        <f>IF((H82)=0,"",(I82/E82))</f>
        <v>4.4169111882028629E-3</v>
      </c>
      <c r="K82" s="55"/>
      <c r="L82" s="55"/>
      <c r="M82" s="55"/>
      <c r="N82" s="61"/>
      <c r="O82" s="56"/>
      <c r="P82" s="61"/>
      <c r="Q82" s="62"/>
    </row>
    <row r="83" spans="2:19" ht="14.25" x14ac:dyDescent="0.2">
      <c r="B83" s="82" t="s">
        <v>101</v>
      </c>
      <c r="C83" s="225">
        <v>-0.08</v>
      </c>
      <c r="D83" s="55"/>
      <c r="E83" s="232">
        <f>+E81*C83</f>
        <v>-8.9077634400000019</v>
      </c>
      <c r="F83" s="230">
        <v>-0.08</v>
      </c>
      <c r="G83" s="37"/>
      <c r="H83" s="231">
        <f>+H81*F83</f>
        <v>-8.9471082400000022</v>
      </c>
      <c r="I83" s="184">
        <f>H83-E83</f>
        <v>-3.9344800000000291E-2</v>
      </c>
      <c r="J83" s="185">
        <f>IF((H83)=0,"",(I83/E83))</f>
        <v>4.4169111882028473E-3</v>
      </c>
      <c r="K83" s="55"/>
      <c r="L83" s="55"/>
      <c r="M83" s="55"/>
      <c r="N83" s="61"/>
      <c r="O83" s="56"/>
      <c r="P83" s="61"/>
      <c r="Q83" s="62"/>
    </row>
    <row r="84" spans="2:19" ht="15" x14ac:dyDescent="0.2">
      <c r="B84" s="88" t="s">
        <v>87</v>
      </c>
      <c r="C84" s="233"/>
      <c r="D84" s="89"/>
      <c r="E84" s="234">
        <f>SUM(E81:E83)</f>
        <v>116.91439515000002</v>
      </c>
      <c r="F84" s="235"/>
      <c r="G84" s="90"/>
      <c r="H84" s="208">
        <f>SUM(H81:H83)</f>
        <v>117.43079565000001</v>
      </c>
      <c r="I84" s="202">
        <f>H84-E84</f>
        <v>0.51640049999998894</v>
      </c>
      <c r="J84" s="203">
        <f>IF((H84)=0,"",(I84/E84))</f>
        <v>4.4169111882027207E-3</v>
      </c>
      <c r="K84" s="78"/>
      <c r="L84" s="78"/>
      <c r="M84" s="78"/>
      <c r="N84" s="59"/>
      <c r="O84" s="54"/>
      <c r="P84" s="59"/>
      <c r="Q84" s="60"/>
    </row>
    <row r="85" spans="2:19" ht="15" x14ac:dyDescent="0.2">
      <c r="B85" s="162"/>
      <c r="C85" s="291"/>
      <c r="D85" s="55"/>
      <c r="E85" s="292"/>
      <c r="F85" s="293"/>
      <c r="G85" s="78"/>
      <c r="H85" s="292"/>
      <c r="I85" s="292"/>
      <c r="J85" s="294"/>
      <c r="K85" s="78"/>
      <c r="L85" s="78"/>
      <c r="M85" s="78"/>
      <c r="N85" s="59"/>
      <c r="O85" s="54"/>
      <c r="P85" s="59"/>
      <c r="Q85" s="60"/>
    </row>
    <row r="86" spans="2:19" x14ac:dyDescent="0.2">
      <c r="B86" s="313" t="s">
        <v>131</v>
      </c>
      <c r="C86" s="578" t="s">
        <v>43</v>
      </c>
      <c r="D86" s="579"/>
      <c r="E86" s="580"/>
      <c r="F86" s="578" t="s">
        <v>44</v>
      </c>
      <c r="G86" s="579"/>
      <c r="H86" s="580"/>
      <c r="I86" s="579" t="s">
        <v>45</v>
      </c>
      <c r="J86" s="580"/>
      <c r="K86" s="19"/>
      <c r="L86" s="19"/>
      <c r="M86" s="19"/>
      <c r="N86" s="19"/>
      <c r="O86" s="19"/>
      <c r="P86" s="19"/>
      <c r="Q86" s="19"/>
    </row>
    <row r="87" spans="2:19" x14ac:dyDescent="0.2">
      <c r="B87" s="309" t="s">
        <v>133</v>
      </c>
      <c r="C87" s="314">
        <f>SUM(C53:C54)</f>
        <v>26.77</v>
      </c>
      <c r="D87" s="295"/>
      <c r="E87" s="310">
        <f>SUM(E53:E54)</f>
        <v>26.77</v>
      </c>
      <c r="F87" s="314">
        <f>SUM(F53:F54)</f>
        <v>29.18</v>
      </c>
      <c r="G87" s="296"/>
      <c r="H87" s="301">
        <f>SUM(H53:H54)</f>
        <v>29.18</v>
      </c>
      <c r="I87" s="300"/>
      <c r="J87" s="297"/>
      <c r="K87" s="19"/>
      <c r="L87" s="19"/>
      <c r="M87" s="19"/>
      <c r="N87" s="19"/>
      <c r="O87" s="19"/>
      <c r="P87" s="19"/>
      <c r="Q87" s="19"/>
    </row>
    <row r="88" spans="2:19" x14ac:dyDescent="0.2">
      <c r="B88" s="311" t="s">
        <v>135</v>
      </c>
      <c r="C88" s="315">
        <f>SUM(C55:C55)</f>
        <v>7.6E-3</v>
      </c>
      <c r="D88" s="295"/>
      <c r="E88" s="310">
        <f>SUM(E55:E55)</f>
        <v>5.7</v>
      </c>
      <c r="F88" s="315">
        <f>SUM(F55:F55)</f>
        <v>3.8E-3</v>
      </c>
      <c r="G88" s="296"/>
      <c r="H88" s="301">
        <f>+H55</f>
        <v>2.85</v>
      </c>
      <c r="I88" s="300"/>
      <c r="J88" s="297"/>
      <c r="K88" s="19"/>
      <c r="L88" s="19"/>
      <c r="M88" s="19"/>
      <c r="N88" s="19"/>
      <c r="O88" s="19"/>
      <c r="P88" s="19"/>
      <c r="Q88" s="19"/>
    </row>
    <row r="89" spans="2:19" x14ac:dyDescent="0.2">
      <c r="B89" s="299"/>
      <c r="C89" s="302"/>
      <c r="D89" s="303"/>
      <c r="E89" s="306">
        <f>SUM(E87:E88)</f>
        <v>32.47</v>
      </c>
      <c r="F89" s="305"/>
      <c r="G89" s="18"/>
      <c r="H89" s="306">
        <f>SUM(H87:H88)</f>
        <v>32.03</v>
      </c>
      <c r="I89" s="312">
        <f>+H89-E89</f>
        <v>-0.43999999999999773</v>
      </c>
      <c r="J89" s="308">
        <f>+I89/E89</f>
        <v>-1.3550970126270333E-2</v>
      </c>
      <c r="K89" s="19"/>
      <c r="L89" s="19"/>
      <c r="M89" s="19"/>
      <c r="N89" s="19"/>
      <c r="O89" s="19"/>
      <c r="P89" s="19"/>
      <c r="Q89" s="19"/>
    </row>
  </sheetData>
  <mergeCells count="13">
    <mergeCell ref="C86:E86"/>
    <mergeCell ref="F86:H86"/>
    <mergeCell ref="I86:J86"/>
    <mergeCell ref="B11:E11"/>
    <mergeCell ref="F50:H50"/>
    <mergeCell ref="B51:B52"/>
    <mergeCell ref="P50:Q50"/>
    <mergeCell ref="P51:P52"/>
    <mergeCell ref="Q51:Q52"/>
    <mergeCell ref="C50:E50"/>
    <mergeCell ref="I50:J50"/>
    <mergeCell ref="I51:I52"/>
    <mergeCell ref="J51:J52"/>
  </mergeCells>
  <phoneticPr fontId="6" type="noConversion"/>
  <pageMargins left="0.75" right="0.75" top="1" bottom="1" header="0.5" footer="0.5"/>
  <pageSetup scale="74" orientation="landscape" r:id="rId1"/>
  <headerFooter alignWithMargins="0">
    <oddFooter>&amp;R&amp;F</oddFooter>
  </headerFooter>
  <ignoredErrors>
    <ignoredError sqref="D55 C65:D65 C75:D78 C53 F53 C57:C58 C60:D60 C67:D68 C70:D73 D58 F60:G61 F64:G65 F67:G68 F70:G73 F75:G78 F57:G58 G55 G63" unlockedFormula="1"/>
    <ignoredError sqref="H66 E69 H69 E74 H74:I74 E66" formula="1"/>
    <ignoredError sqref="J63:J64" evalError="1"/>
    <ignoredError sqref="C55 F55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9"/>
  <sheetViews>
    <sheetView showGridLines="0" topLeftCell="A24" zoomScale="90" workbookViewId="0">
      <selection activeCell="G21" sqref="G21"/>
    </sheetView>
  </sheetViews>
  <sheetFormatPr defaultRowHeight="12.75" x14ac:dyDescent="0.2"/>
  <cols>
    <col min="1" max="1" width="2.5703125" style="334" customWidth="1"/>
    <col min="2" max="2" width="44.42578125" style="334" customWidth="1"/>
    <col min="3" max="3" width="11" style="334" customWidth="1"/>
    <col min="4" max="4" width="11.140625" style="334" customWidth="1"/>
    <col min="5" max="5" width="13" style="334" customWidth="1"/>
    <col min="6" max="7" width="9.85546875" style="334" bestFit="1" customWidth="1"/>
    <col min="8" max="8" width="13.140625" style="334" customWidth="1"/>
    <col min="9" max="9" width="10.7109375" style="334" bestFit="1" customWidth="1"/>
    <col min="10" max="10" width="11.140625" style="334" bestFit="1" customWidth="1"/>
    <col min="11" max="13" width="13.140625" style="334" customWidth="1"/>
    <col min="14" max="15" width="9.140625" style="334"/>
    <col min="16" max="16" width="9.85546875" style="334" bestFit="1" customWidth="1"/>
    <col min="17" max="17" width="12.28515625" style="334" customWidth="1"/>
    <col min="18" max="18" width="9.140625" style="334"/>
    <col min="19" max="19" width="9.85546875" style="334" bestFit="1" customWidth="1"/>
    <col min="20" max="16384" width="9.140625" style="334"/>
  </cols>
  <sheetData>
    <row r="1" spans="2:13" hidden="1" x14ac:dyDescent="0.2"/>
    <row r="2" spans="2:13" hidden="1" x14ac:dyDescent="0.2"/>
    <row r="3" spans="2:13" hidden="1" x14ac:dyDescent="0.2"/>
    <row r="4" spans="2:13" hidden="1" x14ac:dyDescent="0.2"/>
    <row r="5" spans="2:13" hidden="1" x14ac:dyDescent="0.2"/>
    <row r="6" spans="2:13" hidden="1" x14ac:dyDescent="0.2"/>
    <row r="7" spans="2:13" hidden="1" x14ac:dyDescent="0.2"/>
    <row r="8" spans="2:13" hidden="1" x14ac:dyDescent="0.2">
      <c r="E8" s="335"/>
      <c r="F8" s="336"/>
      <c r="G8" s="336"/>
      <c r="H8" s="336"/>
      <c r="I8" s="336"/>
      <c r="J8" s="336"/>
    </row>
    <row r="9" spans="2:13" ht="18" x14ac:dyDescent="0.25">
      <c r="B9" s="337" t="s">
        <v>22</v>
      </c>
      <c r="C9" s="338"/>
      <c r="D9" s="339"/>
      <c r="E9" s="340" t="s">
        <v>83</v>
      </c>
      <c r="F9" s="338" t="s">
        <v>84</v>
      </c>
      <c r="G9" s="339"/>
      <c r="H9" s="339"/>
      <c r="I9" s="339"/>
      <c r="J9" s="339"/>
      <c r="K9" s="339"/>
      <c r="L9" s="339"/>
      <c r="M9" s="339"/>
    </row>
    <row r="10" spans="2:13" x14ac:dyDescent="0.2"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</row>
    <row r="11" spans="2:13" ht="18" x14ac:dyDescent="0.25">
      <c r="B11" s="598" t="s">
        <v>141</v>
      </c>
      <c r="C11" s="598"/>
      <c r="D11" s="598"/>
      <c r="E11" s="598"/>
      <c r="F11" s="341"/>
      <c r="G11" s="341"/>
      <c r="H11" s="339"/>
      <c r="I11" s="339"/>
      <c r="J11" s="339"/>
      <c r="K11" s="339"/>
      <c r="L11" s="339"/>
      <c r="M11" s="339"/>
    </row>
    <row r="12" spans="2:13" ht="13.5" thickBot="1" x14ac:dyDescent="0.25">
      <c r="B12" s="339"/>
      <c r="C12" s="342">
        <v>2017</v>
      </c>
      <c r="D12" s="342">
        <v>2018</v>
      </c>
      <c r="F12" s="339"/>
      <c r="G12" s="339"/>
      <c r="H12" s="339"/>
      <c r="I12" s="339"/>
      <c r="J12" s="339"/>
      <c r="K12" s="339"/>
      <c r="L12" s="339"/>
      <c r="M12" s="339"/>
    </row>
    <row r="13" spans="2:13" ht="26.25" thickBot="1" x14ac:dyDescent="0.25">
      <c r="B13" s="343" t="s">
        <v>1</v>
      </c>
      <c r="C13" s="344" t="s">
        <v>2</v>
      </c>
      <c r="D13" s="344" t="s">
        <v>44</v>
      </c>
      <c r="E13" s="339"/>
      <c r="F13" s="339"/>
      <c r="G13" s="339"/>
      <c r="H13" s="339"/>
      <c r="I13" s="339"/>
      <c r="J13" s="339"/>
      <c r="K13" s="339"/>
      <c r="L13" s="339"/>
      <c r="M13" s="339"/>
    </row>
    <row r="14" spans="2:13" x14ac:dyDescent="0.2">
      <c r="B14" s="345" t="s">
        <v>3</v>
      </c>
      <c r="C14" s="6">
        <v>24.57</v>
      </c>
      <c r="D14" s="6">
        <v>29.18</v>
      </c>
      <c r="E14" s="346" t="s">
        <v>77</v>
      </c>
      <c r="F14" s="347" t="s">
        <v>73</v>
      </c>
      <c r="G14" s="347"/>
      <c r="H14" s="347"/>
      <c r="I14" s="280" t="s">
        <v>73</v>
      </c>
      <c r="J14" s="347"/>
      <c r="K14" s="347"/>
      <c r="L14" s="339"/>
      <c r="M14" s="339"/>
    </row>
    <row r="15" spans="2:13" x14ac:dyDescent="0.2">
      <c r="B15" s="348" t="s">
        <v>78</v>
      </c>
      <c r="C15" s="7">
        <v>-1.1399999999999999</v>
      </c>
      <c r="D15" s="7">
        <v>0</v>
      </c>
      <c r="E15" s="346" t="s">
        <v>77</v>
      </c>
      <c r="F15" s="339" t="s">
        <v>73</v>
      </c>
      <c r="G15" s="349"/>
      <c r="H15" s="339"/>
      <c r="I15" s="280" t="s">
        <v>73</v>
      </c>
      <c r="J15" s="339"/>
      <c r="K15" s="339"/>
      <c r="L15" s="339"/>
      <c r="M15" s="339"/>
    </row>
    <row r="16" spans="2:13" x14ac:dyDescent="0.2">
      <c r="B16" s="348" t="s">
        <v>4</v>
      </c>
      <c r="C16" s="8">
        <v>2.2000000000000002</v>
      </c>
      <c r="D16" s="8">
        <v>0</v>
      </c>
      <c r="E16" s="346" t="s">
        <v>77</v>
      </c>
      <c r="F16" s="339" t="s">
        <v>73</v>
      </c>
      <c r="G16" s="349"/>
      <c r="H16" s="339"/>
      <c r="I16" s="280" t="s">
        <v>73</v>
      </c>
      <c r="J16" s="339"/>
      <c r="K16" s="339"/>
      <c r="L16" s="339"/>
      <c r="M16" s="339"/>
    </row>
    <row r="17" spans="2:13" x14ac:dyDescent="0.2">
      <c r="B17" s="352" t="s">
        <v>42</v>
      </c>
      <c r="C17" s="7">
        <v>0.79</v>
      </c>
      <c r="D17" s="7">
        <v>0.79</v>
      </c>
      <c r="E17" s="353" t="s">
        <v>77</v>
      </c>
      <c r="F17" s="339" t="s">
        <v>73</v>
      </c>
      <c r="G17" s="339"/>
      <c r="H17" s="339"/>
      <c r="I17" s="280" t="s">
        <v>73</v>
      </c>
      <c r="J17" s="339"/>
      <c r="K17" s="339"/>
      <c r="L17" s="339"/>
      <c r="M17" s="339"/>
    </row>
    <row r="18" spans="2:13" ht="13.5" customHeight="1" x14ac:dyDescent="0.2">
      <c r="B18" s="350" t="s">
        <v>5</v>
      </c>
      <c r="C18" s="139">
        <v>7.6E-3</v>
      </c>
      <c r="D18" s="139">
        <v>3.8E-3</v>
      </c>
      <c r="E18" s="353" t="s">
        <v>14</v>
      </c>
      <c r="F18" s="339" t="s">
        <v>73</v>
      </c>
      <c r="G18" s="339"/>
      <c r="H18" s="339"/>
      <c r="I18" s="281" t="s">
        <v>73</v>
      </c>
      <c r="J18" s="339"/>
      <c r="K18" s="339"/>
      <c r="L18" s="339"/>
      <c r="M18" s="339"/>
    </row>
    <row r="19" spans="2:13" x14ac:dyDescent="0.2">
      <c r="B19" s="350" t="s">
        <v>97</v>
      </c>
      <c r="C19" s="139">
        <v>6.9999999999999999E-4</v>
      </c>
      <c r="D19" s="139">
        <v>0</v>
      </c>
      <c r="E19" s="353" t="s">
        <v>14</v>
      </c>
      <c r="F19" s="339"/>
      <c r="G19" s="339"/>
      <c r="H19" s="339"/>
      <c r="I19" s="281" t="s">
        <v>73</v>
      </c>
      <c r="J19" s="339"/>
      <c r="K19" s="339"/>
      <c r="L19" s="339"/>
      <c r="M19" s="339"/>
    </row>
    <row r="20" spans="2:13" x14ac:dyDescent="0.2">
      <c r="B20" s="350" t="s">
        <v>112</v>
      </c>
      <c r="C20" s="139"/>
      <c r="D20" s="139">
        <v>2.0000000000000001E-4</v>
      </c>
      <c r="E20" s="353" t="s">
        <v>14</v>
      </c>
      <c r="F20" s="339"/>
      <c r="G20" s="339"/>
      <c r="H20" s="339"/>
      <c r="I20" s="281" t="s">
        <v>73</v>
      </c>
      <c r="J20" s="339"/>
      <c r="K20" s="339"/>
      <c r="L20" s="339"/>
      <c r="M20" s="339"/>
    </row>
    <row r="21" spans="2:13" x14ac:dyDescent="0.2">
      <c r="B21" s="350" t="s">
        <v>110</v>
      </c>
      <c r="C21" s="139"/>
      <c r="D21" s="139">
        <v>-2.8E-3</v>
      </c>
      <c r="E21" s="353" t="s">
        <v>14</v>
      </c>
      <c r="F21" s="339" t="s">
        <v>73</v>
      </c>
      <c r="G21" s="339"/>
      <c r="H21" s="339"/>
      <c r="I21" s="281" t="s">
        <v>73</v>
      </c>
      <c r="J21" s="339"/>
      <c r="K21" s="339"/>
      <c r="L21" s="339"/>
      <c r="M21" s="339"/>
    </row>
    <row r="22" spans="2:13" x14ac:dyDescent="0.2">
      <c r="B22" s="350" t="s">
        <v>111</v>
      </c>
      <c r="C22" s="139"/>
      <c r="D22" s="139">
        <v>1.2999999999999999E-3</v>
      </c>
      <c r="E22" s="353" t="s">
        <v>14</v>
      </c>
      <c r="F22" s="347" t="s">
        <v>73</v>
      </c>
      <c r="G22" s="347"/>
      <c r="H22" s="339"/>
      <c r="I22" s="281" t="s">
        <v>73</v>
      </c>
      <c r="J22" s="339"/>
      <c r="K22" s="339"/>
      <c r="L22" s="339"/>
      <c r="M22" s="339"/>
    </row>
    <row r="23" spans="2:13" x14ac:dyDescent="0.2">
      <c r="B23" s="348" t="s">
        <v>82</v>
      </c>
      <c r="C23" s="139">
        <f>IF(E9="RPP",-C22,0)</f>
        <v>0</v>
      </c>
      <c r="D23" s="139">
        <f>IF(E9="RPP",-D22,0)</f>
        <v>-1.2999999999999999E-3</v>
      </c>
      <c r="E23" s="353" t="s">
        <v>14</v>
      </c>
      <c r="F23" s="347" t="s">
        <v>73</v>
      </c>
      <c r="G23" s="347"/>
      <c r="H23" s="339"/>
      <c r="I23" s="281" t="s">
        <v>73</v>
      </c>
      <c r="J23" s="339"/>
      <c r="K23" s="339"/>
      <c r="L23" s="339"/>
      <c r="M23" s="339"/>
    </row>
    <row r="24" spans="2:13" x14ac:dyDescent="0.2">
      <c r="B24" s="350" t="s">
        <v>6</v>
      </c>
      <c r="C24" s="153">
        <v>7.7000000000000002E-3</v>
      </c>
      <c r="D24" s="153">
        <v>7.4999999999999997E-3</v>
      </c>
      <c r="E24" s="353" t="s">
        <v>14</v>
      </c>
      <c r="F24" s="347" t="s">
        <v>73</v>
      </c>
      <c r="G24" s="339"/>
      <c r="H24" s="339"/>
      <c r="I24" s="281" t="s">
        <v>73</v>
      </c>
      <c r="J24" s="339"/>
      <c r="K24" s="339"/>
      <c r="L24" s="339"/>
      <c r="M24" s="339"/>
    </row>
    <row r="25" spans="2:13" ht="27" customHeight="1" x14ac:dyDescent="0.2">
      <c r="B25" s="350" t="s">
        <v>7</v>
      </c>
      <c r="C25" s="153">
        <v>6.3E-3</v>
      </c>
      <c r="D25" s="153">
        <v>6.7000000000000002E-3</v>
      </c>
      <c r="E25" s="353" t="s">
        <v>14</v>
      </c>
      <c r="F25" s="347" t="s">
        <v>73</v>
      </c>
      <c r="G25" s="339"/>
      <c r="H25" s="339"/>
      <c r="I25" s="281" t="s">
        <v>73</v>
      </c>
      <c r="J25" s="339"/>
      <c r="K25" s="339"/>
      <c r="L25" s="339"/>
      <c r="M25" s="339"/>
    </row>
    <row r="26" spans="2:13" x14ac:dyDescent="0.2">
      <c r="B26" s="350" t="s">
        <v>8</v>
      </c>
      <c r="C26" s="11">
        <v>3.2000000000000002E-3</v>
      </c>
      <c r="D26" s="11">
        <v>3.2000000000000002E-3</v>
      </c>
      <c r="E26" s="353" t="s">
        <v>14</v>
      </c>
      <c r="F26" s="339"/>
      <c r="G26" s="339"/>
      <c r="H26" s="339"/>
      <c r="I26" s="136" t="s">
        <v>73</v>
      </c>
      <c r="J26" s="339"/>
      <c r="K26" s="339"/>
      <c r="L26" s="339"/>
      <c r="M26" s="339"/>
    </row>
    <row r="27" spans="2:13" x14ac:dyDescent="0.2">
      <c r="B27" s="350" t="s">
        <v>103</v>
      </c>
      <c r="C27" s="11">
        <v>4.0000000000000002E-4</v>
      </c>
      <c r="D27" s="11">
        <v>4.0000000000000002E-4</v>
      </c>
      <c r="E27" s="353" t="s">
        <v>14</v>
      </c>
      <c r="F27" s="339"/>
      <c r="G27" s="339"/>
      <c r="H27" s="339"/>
      <c r="I27" s="136" t="s">
        <v>73</v>
      </c>
      <c r="J27" s="339"/>
      <c r="K27" s="339"/>
      <c r="L27" s="339"/>
      <c r="M27" s="339"/>
    </row>
    <row r="28" spans="2:13" x14ac:dyDescent="0.2">
      <c r="B28" s="350" t="s">
        <v>104</v>
      </c>
      <c r="C28" s="11">
        <v>2.9999999999999997E-4</v>
      </c>
      <c r="D28" s="11">
        <v>2.9999999999999997E-4</v>
      </c>
      <c r="E28" s="353" t="s">
        <v>14</v>
      </c>
      <c r="F28" s="339"/>
      <c r="G28" s="339"/>
      <c r="H28" s="339"/>
      <c r="I28" s="136" t="s">
        <v>73</v>
      </c>
      <c r="J28" s="339"/>
      <c r="K28" s="339"/>
      <c r="L28" s="339"/>
      <c r="M28" s="339"/>
    </row>
    <row r="29" spans="2:13" x14ac:dyDescent="0.2">
      <c r="B29" s="348" t="s">
        <v>81</v>
      </c>
      <c r="C29" s="11"/>
      <c r="D29" s="11"/>
      <c r="E29" s="351" t="s">
        <v>105</v>
      </c>
      <c r="F29" s="339"/>
      <c r="G29" s="339"/>
      <c r="H29" s="339"/>
      <c r="I29" s="136"/>
      <c r="J29" s="339"/>
      <c r="K29" s="339"/>
      <c r="L29" s="339"/>
      <c r="M29" s="339"/>
    </row>
    <row r="30" spans="2:13" ht="23.25" customHeight="1" x14ac:dyDescent="0.2">
      <c r="B30" s="350" t="s">
        <v>10</v>
      </c>
      <c r="C30" s="12">
        <v>0.25</v>
      </c>
      <c r="D30" s="12">
        <v>0.25</v>
      </c>
      <c r="E30" s="353" t="s">
        <v>77</v>
      </c>
      <c r="F30" s="339"/>
      <c r="G30" s="339"/>
      <c r="H30" s="339"/>
      <c r="I30" s="282" t="s">
        <v>73</v>
      </c>
      <c r="J30" s="339"/>
      <c r="K30" s="339"/>
      <c r="L30" s="339"/>
      <c r="M30" s="339"/>
    </row>
    <row r="31" spans="2:13" x14ac:dyDescent="0.2">
      <c r="B31" s="350" t="s">
        <v>11</v>
      </c>
      <c r="C31" s="13"/>
      <c r="D31" s="13"/>
      <c r="E31" s="353" t="s">
        <v>14</v>
      </c>
      <c r="F31" s="339"/>
      <c r="G31" s="339"/>
      <c r="H31" s="339"/>
      <c r="I31" s="136"/>
      <c r="J31" s="339"/>
      <c r="K31" s="339"/>
      <c r="L31" s="339"/>
      <c r="M31" s="339"/>
    </row>
    <row r="32" spans="2:13" ht="13.5" thickBot="1" x14ac:dyDescent="0.25">
      <c r="B32" s="354" t="s">
        <v>12</v>
      </c>
      <c r="C32" s="15">
        <v>1.0454000000000001</v>
      </c>
      <c r="D32" s="15">
        <v>1.0454000000000001</v>
      </c>
      <c r="E32" s="347"/>
      <c r="F32" s="339"/>
      <c r="G32" s="339"/>
      <c r="H32" s="339"/>
      <c r="I32" s="136" t="s">
        <v>73</v>
      </c>
      <c r="J32" s="339"/>
      <c r="K32" s="339"/>
      <c r="L32" s="339"/>
      <c r="M32" s="339"/>
    </row>
    <row r="33" spans="2:13" x14ac:dyDescent="0.2">
      <c r="B33" s="355"/>
      <c r="C33" s="136"/>
      <c r="D33" s="136"/>
      <c r="E33" s="347"/>
      <c r="F33" s="339"/>
      <c r="G33" s="339"/>
      <c r="H33" s="339"/>
      <c r="I33" s="339"/>
      <c r="J33" s="339"/>
      <c r="K33" s="339"/>
      <c r="L33" s="339"/>
      <c r="M33" s="339"/>
    </row>
    <row r="34" spans="2:13" ht="13.5" thickBot="1" x14ac:dyDescent="0.25">
      <c r="B34" s="356" t="s">
        <v>126</v>
      </c>
      <c r="C34" s="342">
        <v>2018</v>
      </c>
      <c r="D34" s="342">
        <v>2018</v>
      </c>
      <c r="E34" s="357"/>
      <c r="F34" s="339"/>
      <c r="G34" s="339"/>
      <c r="H34" s="339"/>
      <c r="I34" s="339"/>
      <c r="J34" s="339"/>
      <c r="K34" s="339"/>
      <c r="L34" s="339"/>
      <c r="M34" s="339"/>
    </row>
    <row r="35" spans="2:13" ht="13.5" thickBot="1" x14ac:dyDescent="0.25">
      <c r="B35" s="543" t="s">
        <v>1</v>
      </c>
      <c r="C35" s="535" t="s">
        <v>127</v>
      </c>
      <c r="D35" s="535" t="s">
        <v>128</v>
      </c>
      <c r="E35" s="357"/>
      <c r="F35" s="339"/>
      <c r="G35" s="339"/>
      <c r="H35" s="339"/>
      <c r="I35" s="339"/>
      <c r="J35" s="339"/>
      <c r="K35" s="339"/>
      <c r="L35" s="339"/>
      <c r="M35" s="339"/>
    </row>
    <row r="36" spans="2:13" x14ac:dyDescent="0.2">
      <c r="B36" s="544" t="s">
        <v>123</v>
      </c>
      <c r="C36" s="546">
        <v>0.6</v>
      </c>
      <c r="D36" s="549"/>
      <c r="E36" s="357"/>
      <c r="F36" s="339"/>
      <c r="G36" s="339"/>
      <c r="H36" s="339"/>
      <c r="I36" s="339"/>
      <c r="J36" s="339"/>
      <c r="K36" s="339"/>
      <c r="L36" s="339"/>
      <c r="M36" s="339"/>
    </row>
    <row r="37" spans="2:13" x14ac:dyDescent="0.2">
      <c r="B37" s="544" t="s">
        <v>124</v>
      </c>
      <c r="C37" s="547"/>
      <c r="D37" s="547">
        <v>1E-3</v>
      </c>
      <c r="E37" s="357"/>
      <c r="F37" s="339"/>
      <c r="G37" s="339"/>
      <c r="H37" s="339"/>
      <c r="I37" s="339"/>
      <c r="J37" s="339"/>
      <c r="K37" s="339"/>
      <c r="L37" s="339"/>
      <c r="M37" s="339"/>
    </row>
    <row r="38" spans="2:13" ht="13.5" thickBot="1" x14ac:dyDescent="0.25">
      <c r="B38" s="545" t="s">
        <v>125</v>
      </c>
      <c r="C38" s="548">
        <v>0.76</v>
      </c>
      <c r="D38" s="548"/>
      <c r="E38" s="357" t="s">
        <v>73</v>
      </c>
      <c r="F38" s="339"/>
      <c r="G38" s="339"/>
      <c r="H38" s="339"/>
      <c r="I38" s="339"/>
      <c r="J38" s="339"/>
      <c r="K38" s="339"/>
      <c r="L38" s="339"/>
      <c r="M38" s="339"/>
    </row>
    <row r="39" spans="2:13" x14ac:dyDescent="0.2">
      <c r="B39" s="355"/>
      <c r="C39" s="136"/>
      <c r="D39" s="136"/>
      <c r="E39" s="347"/>
      <c r="F39" s="339"/>
      <c r="G39" s="339"/>
      <c r="H39" s="339"/>
      <c r="I39" s="339"/>
      <c r="J39" s="339"/>
      <c r="K39" s="339"/>
      <c r="L39" s="339"/>
      <c r="M39" s="339"/>
    </row>
    <row r="40" spans="2:13" x14ac:dyDescent="0.2">
      <c r="B40" s="355"/>
      <c r="C40" s="136"/>
      <c r="D40" s="136"/>
      <c r="E40" s="347"/>
      <c r="F40" s="339"/>
      <c r="G40" s="339"/>
      <c r="H40" s="339"/>
      <c r="I40" s="339"/>
      <c r="J40" s="339"/>
      <c r="K40" s="339"/>
      <c r="L40" s="339"/>
      <c r="M40" s="339"/>
    </row>
    <row r="41" spans="2:13" x14ac:dyDescent="0.2">
      <c r="B41" s="358"/>
      <c r="C41" s="339"/>
      <c r="D41" s="339"/>
      <c r="E41" s="357" t="s">
        <v>67</v>
      </c>
      <c r="F41" s="339"/>
      <c r="G41" s="339"/>
      <c r="H41" s="339"/>
      <c r="I41" s="339"/>
      <c r="J41" s="338"/>
      <c r="K41" s="339"/>
      <c r="L41" s="339"/>
      <c r="M41" s="339"/>
    </row>
    <row r="42" spans="2:13" x14ac:dyDescent="0.2">
      <c r="B42" s="358" t="s">
        <v>35</v>
      </c>
      <c r="C42" s="136">
        <v>7.6999999999999999E-2</v>
      </c>
      <c r="D42" s="136">
        <v>7.6999999999999999E-2</v>
      </c>
      <c r="E42" s="359"/>
      <c r="F42" s="339"/>
      <c r="G42" s="339"/>
      <c r="H42" s="339"/>
      <c r="I42" s="339"/>
      <c r="J42" s="360"/>
      <c r="K42" s="339"/>
      <c r="L42" s="339"/>
      <c r="M42" s="339"/>
    </row>
    <row r="43" spans="2:13" x14ac:dyDescent="0.2">
      <c r="B43" s="358" t="s">
        <v>36</v>
      </c>
      <c r="C43" s="136">
        <v>0.09</v>
      </c>
      <c r="D43" s="136">
        <v>0.09</v>
      </c>
      <c r="E43" s="359"/>
      <c r="F43" s="339"/>
      <c r="G43" s="339"/>
      <c r="H43" s="339"/>
      <c r="I43" s="339"/>
      <c r="J43" s="339"/>
      <c r="K43" s="339"/>
      <c r="L43" s="339"/>
      <c r="M43" s="339"/>
    </row>
    <row r="44" spans="2:13" x14ac:dyDescent="0.2">
      <c r="B44" s="358" t="s">
        <v>37</v>
      </c>
      <c r="C44" s="136">
        <v>6.5000000000000002E-2</v>
      </c>
      <c r="D44" s="136">
        <v>6.5000000000000002E-2</v>
      </c>
      <c r="E44" s="359">
        <v>0.65</v>
      </c>
      <c r="F44" s="361">
        <f>C44*E44</f>
        <v>4.2250000000000003E-2</v>
      </c>
      <c r="G44" s="339"/>
      <c r="H44" s="339"/>
      <c r="I44" s="339"/>
      <c r="J44" s="339"/>
      <c r="K44" s="339"/>
      <c r="L44" s="339"/>
      <c r="M44" s="339"/>
    </row>
    <row r="45" spans="2:13" x14ac:dyDescent="0.2">
      <c r="B45" s="358" t="s">
        <v>38</v>
      </c>
      <c r="C45" s="136">
        <v>9.5000000000000001E-2</v>
      </c>
      <c r="D45" s="136">
        <v>9.5000000000000001E-2</v>
      </c>
      <c r="E45" s="359">
        <v>0.17</v>
      </c>
      <c r="F45" s="361">
        <f>C45*E45</f>
        <v>1.6150000000000001E-2</v>
      </c>
      <c r="G45" s="339"/>
      <c r="H45" s="339"/>
      <c r="I45" s="339"/>
      <c r="J45" s="339"/>
      <c r="K45" s="339"/>
      <c r="L45" s="339"/>
      <c r="M45" s="339"/>
    </row>
    <row r="46" spans="2:13" x14ac:dyDescent="0.2">
      <c r="B46" s="358" t="s">
        <v>39</v>
      </c>
      <c r="C46" s="136">
        <v>0.13200000000000001</v>
      </c>
      <c r="D46" s="136">
        <v>0.13200000000000001</v>
      </c>
      <c r="E46" s="359">
        <v>0.18</v>
      </c>
      <c r="F46" s="361">
        <f>C46*E46</f>
        <v>2.376E-2</v>
      </c>
      <c r="G46" s="339"/>
      <c r="H46" s="339"/>
      <c r="I46" s="339"/>
      <c r="J46" s="339"/>
      <c r="K46" s="339"/>
      <c r="L46" s="339"/>
      <c r="M46" s="339"/>
    </row>
    <row r="47" spans="2:13" x14ac:dyDescent="0.2">
      <c r="B47" s="358"/>
      <c r="C47" s="339"/>
      <c r="D47" s="339"/>
      <c r="E47" s="339"/>
      <c r="F47" s="361"/>
      <c r="G47" s="339"/>
      <c r="H47" s="339"/>
      <c r="I47" s="339"/>
      <c r="J47" s="339"/>
      <c r="K47" s="339"/>
      <c r="L47" s="339"/>
      <c r="M47" s="339"/>
    </row>
    <row r="48" spans="2:13" ht="13.5" thickBot="1" x14ac:dyDescent="0.25">
      <c r="B48" s="358"/>
      <c r="C48" s="339"/>
      <c r="D48" s="339"/>
      <c r="E48" s="339"/>
      <c r="F48" s="339"/>
      <c r="G48" s="339"/>
      <c r="H48" s="339"/>
      <c r="I48" s="339"/>
      <c r="J48" s="339"/>
      <c r="K48" s="339"/>
      <c r="L48" s="339"/>
      <c r="M48" s="339"/>
    </row>
    <row r="49" spans="1:17" ht="13.5" thickBot="1" x14ac:dyDescent="0.25">
      <c r="B49" s="362" t="s">
        <v>13</v>
      </c>
      <c r="C49" s="363">
        <v>396</v>
      </c>
      <c r="D49" s="364" t="s">
        <v>14</v>
      </c>
      <c r="E49" s="537"/>
      <c r="F49" s="542" t="s">
        <v>73</v>
      </c>
      <c r="G49" s="365"/>
      <c r="H49" s="366" t="s">
        <v>16</v>
      </c>
      <c r="I49" s="367"/>
      <c r="J49" s="368">
        <f>C32</f>
        <v>1.0454000000000001</v>
      </c>
      <c r="K49" s="339"/>
      <c r="L49" s="339"/>
      <c r="M49" s="339"/>
    </row>
    <row r="50" spans="1:17" x14ac:dyDescent="0.2">
      <c r="B50" s="369"/>
      <c r="C50" s="595" t="s">
        <v>43</v>
      </c>
      <c r="D50" s="596"/>
      <c r="E50" s="596"/>
      <c r="F50" s="599" t="s">
        <v>44</v>
      </c>
      <c r="G50" s="596"/>
      <c r="H50" s="600"/>
      <c r="I50" s="596" t="s">
        <v>45</v>
      </c>
      <c r="J50" s="597"/>
      <c r="K50" s="370"/>
      <c r="L50" s="370"/>
      <c r="M50" s="370"/>
      <c r="N50" s="370"/>
      <c r="O50" s="371"/>
      <c r="P50" s="588"/>
      <c r="Q50" s="588"/>
    </row>
    <row r="51" spans="1:17" x14ac:dyDescent="0.2">
      <c r="B51" s="589" t="str">
        <f>B11</f>
        <v>RESIDENTIAL (RPP TOU) 10th Percentile</v>
      </c>
      <c r="C51" s="372" t="s">
        <v>46</v>
      </c>
      <c r="D51" s="372" t="s">
        <v>20</v>
      </c>
      <c r="E51" s="373" t="s">
        <v>47</v>
      </c>
      <c r="F51" s="374" t="s">
        <v>46</v>
      </c>
      <c r="G51" s="375" t="s">
        <v>20</v>
      </c>
      <c r="H51" s="376" t="s">
        <v>47</v>
      </c>
      <c r="I51" s="591" t="s">
        <v>27</v>
      </c>
      <c r="J51" s="591" t="s">
        <v>28</v>
      </c>
      <c r="K51" s="370"/>
      <c r="L51" s="370"/>
      <c r="M51" s="370"/>
      <c r="N51" s="370"/>
      <c r="O51" s="371"/>
      <c r="P51" s="593"/>
      <c r="Q51" s="593"/>
    </row>
    <row r="52" spans="1:17" ht="21" customHeight="1" x14ac:dyDescent="0.2">
      <c r="B52" s="590"/>
      <c r="C52" s="377" t="s">
        <v>48</v>
      </c>
      <c r="D52" s="377"/>
      <c r="E52" s="378" t="s">
        <v>48</v>
      </c>
      <c r="F52" s="379" t="s">
        <v>48</v>
      </c>
      <c r="G52" s="380"/>
      <c r="H52" s="381" t="s">
        <v>48</v>
      </c>
      <c r="I52" s="592"/>
      <c r="J52" s="592"/>
      <c r="K52" s="382"/>
      <c r="L52" s="382"/>
      <c r="M52" s="382"/>
      <c r="N52" s="382"/>
      <c r="O52" s="371"/>
      <c r="P52" s="594"/>
      <c r="Q52" s="594"/>
    </row>
    <row r="53" spans="1:17" ht="14.25" x14ac:dyDescent="0.2">
      <c r="A53" s="383" t="s">
        <v>132</v>
      </c>
      <c r="B53" s="384" t="s">
        <v>49</v>
      </c>
      <c r="C53" s="180">
        <f>C14</f>
        <v>24.57</v>
      </c>
      <c r="D53" s="385">
        <v>1</v>
      </c>
      <c r="E53" s="386">
        <f>D53*C53</f>
        <v>24.57</v>
      </c>
      <c r="F53" s="182">
        <f>D14</f>
        <v>29.18</v>
      </c>
      <c r="G53" s="387">
        <v>1</v>
      </c>
      <c r="H53" s="388">
        <f>G53*F53</f>
        <v>29.18</v>
      </c>
      <c r="I53" s="389">
        <f t="shared" ref="I53:I78" si="0">H53-E53</f>
        <v>4.6099999999999994</v>
      </c>
      <c r="J53" s="390">
        <f t="shared" ref="J53:J79" si="1">IF((H53)=0,"",(I53/E53))</f>
        <v>0.18762718762718761</v>
      </c>
      <c r="K53" s="391"/>
      <c r="L53" s="391"/>
      <c r="M53" s="391"/>
      <c r="N53" s="392"/>
      <c r="O53" s="391"/>
      <c r="P53" s="393"/>
      <c r="Q53" s="394"/>
    </row>
    <row r="54" spans="1:17" ht="14.25" x14ac:dyDescent="0.2">
      <c r="A54" s="383" t="s">
        <v>132</v>
      </c>
      <c r="B54" s="402" t="s">
        <v>118</v>
      </c>
      <c r="C54" s="406">
        <f>C16</f>
        <v>2.2000000000000002</v>
      </c>
      <c r="D54" s="403">
        <f>+D53</f>
        <v>1</v>
      </c>
      <c r="E54" s="407">
        <f>D54*C54</f>
        <v>2.2000000000000002</v>
      </c>
      <c r="F54" s="408">
        <f>D16</f>
        <v>0</v>
      </c>
      <c r="G54" s="404">
        <f>+G53</f>
        <v>1</v>
      </c>
      <c r="H54" s="409">
        <f>G54*F54</f>
        <v>0</v>
      </c>
      <c r="I54" s="410">
        <f>H54-E54</f>
        <v>-2.2000000000000002</v>
      </c>
      <c r="J54" s="523" t="str">
        <f>IF((H54)=0,"",(I54/E54))</f>
        <v/>
      </c>
      <c r="K54" s="391"/>
      <c r="L54" s="391"/>
      <c r="M54" s="391"/>
      <c r="N54" s="392"/>
      <c r="O54" s="391"/>
      <c r="P54" s="393"/>
      <c r="Q54" s="394"/>
    </row>
    <row r="55" spans="1:17" ht="14.25" x14ac:dyDescent="0.2">
      <c r="A55" s="383" t="s">
        <v>134</v>
      </c>
      <c r="B55" s="455" t="s">
        <v>5</v>
      </c>
      <c r="C55" s="524">
        <f>C18</f>
        <v>7.6E-3</v>
      </c>
      <c r="D55" s="396">
        <f>C49</f>
        <v>396</v>
      </c>
      <c r="E55" s="525">
        <f>D55*C55</f>
        <v>3.0095999999999998</v>
      </c>
      <c r="F55" s="526">
        <f>D18</f>
        <v>3.8E-3</v>
      </c>
      <c r="G55" s="398">
        <f>+C49</f>
        <v>396</v>
      </c>
      <c r="H55" s="527">
        <f>G55*F55</f>
        <v>1.5047999999999999</v>
      </c>
      <c r="I55" s="452">
        <f t="shared" si="0"/>
        <v>-1.5047999999999999</v>
      </c>
      <c r="J55" s="528">
        <f t="shared" si="1"/>
        <v>-0.5</v>
      </c>
      <c r="K55" s="400"/>
      <c r="L55" s="400"/>
      <c r="M55" s="400"/>
      <c r="N55" s="401"/>
      <c r="O55" s="391"/>
      <c r="P55" s="393"/>
      <c r="Q55" s="394"/>
    </row>
    <row r="56" spans="1:17" ht="14.25" x14ac:dyDescent="0.2">
      <c r="B56" s="402" t="s">
        <v>130</v>
      </c>
      <c r="C56" s="524"/>
      <c r="D56" s="396"/>
      <c r="E56" s="525">
        <f t="shared" ref="E56:E58" si="2">D56*C56</f>
        <v>0</v>
      </c>
      <c r="F56" s="526">
        <f>+C36</f>
        <v>0.6</v>
      </c>
      <c r="G56" s="398">
        <f>+G53</f>
        <v>1</v>
      </c>
      <c r="H56" s="527">
        <f t="shared" ref="H56:H58" si="3">G56*F56</f>
        <v>0.6</v>
      </c>
      <c r="I56" s="452">
        <f t="shared" si="0"/>
        <v>0.6</v>
      </c>
      <c r="J56" s="528" t="e">
        <f t="shared" si="1"/>
        <v>#DIV/0!</v>
      </c>
      <c r="K56" s="400"/>
      <c r="L56" s="400"/>
      <c r="M56" s="400"/>
      <c r="N56" s="401"/>
      <c r="O56" s="391"/>
      <c r="P56" s="393"/>
      <c r="Q56" s="394"/>
    </row>
    <row r="57" spans="1:17" ht="14.25" x14ac:dyDescent="0.2">
      <c r="B57" s="402" t="s">
        <v>79</v>
      </c>
      <c r="C57" s="406">
        <f>C15</f>
        <v>-1.1399999999999999</v>
      </c>
      <c r="D57" s="403">
        <f>+D53</f>
        <v>1</v>
      </c>
      <c r="E57" s="407">
        <f t="shared" si="2"/>
        <v>-1.1399999999999999</v>
      </c>
      <c r="F57" s="408">
        <f>D15</f>
        <v>0</v>
      </c>
      <c r="G57" s="404">
        <f>+G53</f>
        <v>1</v>
      </c>
      <c r="H57" s="409">
        <f t="shared" si="3"/>
        <v>0</v>
      </c>
      <c r="I57" s="410">
        <f t="shared" si="0"/>
        <v>1.1399999999999999</v>
      </c>
      <c r="J57" s="405" t="str">
        <f t="shared" si="1"/>
        <v/>
      </c>
      <c r="K57" s="391"/>
      <c r="L57" s="391"/>
      <c r="M57" s="391"/>
      <c r="N57" s="392"/>
      <c r="O57" s="391"/>
      <c r="P57" s="393"/>
      <c r="Q57" s="394"/>
    </row>
    <row r="58" spans="1:17" ht="14.25" x14ac:dyDescent="0.2">
      <c r="B58" s="411" t="s">
        <v>119</v>
      </c>
      <c r="C58" s="412">
        <f>C19</f>
        <v>6.9999999999999999E-4</v>
      </c>
      <c r="D58" s="413">
        <f>+C49</f>
        <v>396</v>
      </c>
      <c r="E58" s="414">
        <f t="shared" si="2"/>
        <v>0.2772</v>
      </c>
      <c r="F58" s="415">
        <f>D19</f>
        <v>0</v>
      </c>
      <c r="G58" s="416">
        <f>+C49</f>
        <v>396</v>
      </c>
      <c r="H58" s="417">
        <f t="shared" si="3"/>
        <v>0</v>
      </c>
      <c r="I58" s="389">
        <f t="shared" si="0"/>
        <v>-0.2772</v>
      </c>
      <c r="J58" s="390" t="str">
        <f t="shared" si="1"/>
        <v/>
      </c>
      <c r="K58" s="400"/>
      <c r="L58" s="400"/>
      <c r="M58" s="400"/>
      <c r="N58" s="401"/>
      <c r="O58" s="391"/>
      <c r="P58" s="393"/>
      <c r="Q58" s="394"/>
    </row>
    <row r="59" spans="1:17" ht="15" x14ac:dyDescent="0.2">
      <c r="B59" s="418" t="s">
        <v>50</v>
      </c>
      <c r="C59" s="419"/>
      <c r="D59" s="420"/>
      <c r="E59" s="421">
        <f>SUM(E53:E58)</f>
        <v>28.916799999999999</v>
      </c>
      <c r="F59" s="422"/>
      <c r="G59" s="423"/>
      <c r="H59" s="424">
        <f>SUM(H53:H58)</f>
        <v>31.284800000000001</v>
      </c>
      <c r="I59" s="425">
        <f t="shared" si="0"/>
        <v>2.3680000000000021</v>
      </c>
      <c r="J59" s="426">
        <f t="shared" si="1"/>
        <v>8.1890112322248729E-2</v>
      </c>
      <c r="K59" s="391"/>
      <c r="L59" s="427"/>
      <c r="M59" s="428"/>
      <c r="N59" s="401"/>
      <c r="O59" s="428"/>
      <c r="P59" s="429"/>
      <c r="Q59" s="430"/>
    </row>
    <row r="60" spans="1:17" ht="14.25" x14ac:dyDescent="0.2">
      <c r="B60" s="402" t="s">
        <v>51</v>
      </c>
      <c r="C60" s="395">
        <f>C76*E44+C77*E45+C78*E46</f>
        <v>8.2160000000000011E-2</v>
      </c>
      <c r="D60" s="44">
        <f>$C49*($C32-1)</f>
        <v>17.978400000000043</v>
      </c>
      <c r="E60" s="386">
        <f>C60*D60</f>
        <v>1.4771053440000037</v>
      </c>
      <c r="F60" s="397">
        <f>C60</f>
        <v>8.2160000000000011E-2</v>
      </c>
      <c r="G60" s="44">
        <f>$C49*($C32-1)</f>
        <v>17.978400000000043</v>
      </c>
      <c r="H60" s="399">
        <f>F60*G60</f>
        <v>1.4771053440000037</v>
      </c>
      <c r="I60" s="389">
        <f t="shared" si="0"/>
        <v>0</v>
      </c>
      <c r="J60" s="390">
        <f t="shared" si="1"/>
        <v>0</v>
      </c>
      <c r="K60" s="70"/>
      <c r="L60" s="137"/>
      <c r="M60" s="70"/>
      <c r="N60" s="401"/>
      <c r="O60" s="391"/>
      <c r="P60" s="393"/>
      <c r="Q60" s="394"/>
    </row>
    <row r="61" spans="1:17" ht="14.25" x14ac:dyDescent="0.2">
      <c r="B61" s="402" t="s">
        <v>129</v>
      </c>
      <c r="C61" s="524"/>
      <c r="D61" s="44"/>
      <c r="E61" s="525">
        <f t="shared" ref="E61:E62" si="4">D61*C61</f>
        <v>0</v>
      </c>
      <c r="F61" s="526">
        <f>+D37</f>
        <v>1E-3</v>
      </c>
      <c r="G61" s="44">
        <f>+C49</f>
        <v>396</v>
      </c>
      <c r="H61" s="527">
        <f t="shared" ref="H61:H62" si="5">G61*F61</f>
        <v>0.39600000000000002</v>
      </c>
      <c r="I61" s="452">
        <f t="shared" si="0"/>
        <v>0.39600000000000002</v>
      </c>
      <c r="J61" s="528" t="e">
        <f t="shared" si="1"/>
        <v>#DIV/0!</v>
      </c>
      <c r="K61" s="70"/>
      <c r="L61" s="137"/>
      <c r="M61" s="70"/>
      <c r="N61" s="401"/>
      <c r="O61" s="391"/>
      <c r="P61" s="393"/>
      <c r="Q61" s="394"/>
    </row>
    <row r="62" spans="1:17" ht="14.25" x14ac:dyDescent="0.2">
      <c r="B62" s="402" t="s">
        <v>125</v>
      </c>
      <c r="C62" s="524"/>
      <c r="D62" s="44"/>
      <c r="E62" s="525">
        <f t="shared" si="4"/>
        <v>0</v>
      </c>
      <c r="F62" s="526">
        <f>+C38</f>
        <v>0.76</v>
      </c>
      <c r="G62" s="44">
        <v>1</v>
      </c>
      <c r="H62" s="527">
        <f t="shared" si="5"/>
        <v>0.76</v>
      </c>
      <c r="I62" s="452">
        <f t="shared" si="0"/>
        <v>0.76</v>
      </c>
      <c r="J62" s="528" t="e">
        <f t="shared" si="1"/>
        <v>#DIV/0!</v>
      </c>
      <c r="K62" s="70"/>
      <c r="L62" s="137"/>
      <c r="M62" s="70"/>
      <c r="N62" s="401"/>
      <c r="O62" s="391"/>
      <c r="P62" s="393"/>
      <c r="Q62" s="394"/>
    </row>
    <row r="63" spans="1:17" ht="14.25" x14ac:dyDescent="0.2">
      <c r="B63" s="402" t="s">
        <v>52</v>
      </c>
      <c r="C63" s="395"/>
      <c r="D63" s="44"/>
      <c r="E63" s="386">
        <f>D63*C63</f>
        <v>0</v>
      </c>
      <c r="F63" s="397">
        <f>D21</f>
        <v>-2.8E-3</v>
      </c>
      <c r="G63" s="44">
        <f>+C49</f>
        <v>396</v>
      </c>
      <c r="H63" s="399">
        <f>G63*F63</f>
        <v>-1.1088</v>
      </c>
      <c r="I63" s="389">
        <f t="shared" si="0"/>
        <v>-1.1088</v>
      </c>
      <c r="J63" s="390" t="e">
        <f t="shared" si="1"/>
        <v>#DIV/0!</v>
      </c>
      <c r="K63" s="70"/>
      <c r="L63" s="70"/>
      <c r="M63" s="70"/>
      <c r="N63" s="401"/>
      <c r="O63" s="391"/>
      <c r="P63" s="393"/>
      <c r="Q63" s="394"/>
    </row>
    <row r="64" spans="1:17" ht="14.25" x14ac:dyDescent="0.2">
      <c r="B64" s="402" t="s">
        <v>113</v>
      </c>
      <c r="C64" s="395"/>
      <c r="D64" s="44"/>
      <c r="E64" s="386">
        <f>D64*C64</f>
        <v>0</v>
      </c>
      <c r="F64" s="397">
        <f>D20</f>
        <v>2.0000000000000001E-4</v>
      </c>
      <c r="G64" s="44">
        <f>+C49</f>
        <v>396</v>
      </c>
      <c r="H64" s="399">
        <f>G64*F64</f>
        <v>7.9200000000000007E-2</v>
      </c>
      <c r="I64" s="389">
        <f t="shared" si="0"/>
        <v>7.9200000000000007E-2</v>
      </c>
      <c r="J64" s="390" t="e">
        <f t="shared" si="1"/>
        <v>#DIV/0!</v>
      </c>
      <c r="K64" s="70"/>
      <c r="L64" s="70"/>
      <c r="M64" s="70"/>
      <c r="N64" s="401"/>
      <c r="O64" s="391"/>
      <c r="P64" s="393"/>
      <c r="Q64" s="394"/>
    </row>
    <row r="65" spans="2:19" ht="14.25" x14ac:dyDescent="0.2">
      <c r="B65" s="431" t="s">
        <v>53</v>
      </c>
      <c r="C65" s="432">
        <f>C17</f>
        <v>0.79</v>
      </c>
      <c r="D65" s="44">
        <f>D53</f>
        <v>1</v>
      </c>
      <c r="E65" s="386">
        <f>D65*C65</f>
        <v>0.79</v>
      </c>
      <c r="F65" s="433">
        <f>D17</f>
        <v>0.79</v>
      </c>
      <c r="G65" s="44">
        <f>+G53</f>
        <v>1</v>
      </c>
      <c r="H65" s="399">
        <f>G65*F65</f>
        <v>0.79</v>
      </c>
      <c r="I65" s="389">
        <f t="shared" si="0"/>
        <v>0</v>
      </c>
      <c r="J65" s="390">
        <f t="shared" si="1"/>
        <v>0</v>
      </c>
      <c r="K65" s="70"/>
      <c r="L65" s="70"/>
      <c r="M65" s="70"/>
      <c r="N65" s="401"/>
      <c r="O65" s="391"/>
      <c r="P65" s="393"/>
      <c r="Q65" s="394"/>
    </row>
    <row r="66" spans="2:19" ht="15" x14ac:dyDescent="0.2">
      <c r="B66" s="434" t="s">
        <v>54</v>
      </c>
      <c r="C66" s="435"/>
      <c r="D66" s="436"/>
      <c r="E66" s="437">
        <f>SUM(E60:E65)+E59</f>
        <v>31.183905344000003</v>
      </c>
      <c r="F66" s="438"/>
      <c r="G66" s="439"/>
      <c r="H66" s="437">
        <f>SUM(H60:H65)+H59</f>
        <v>33.678305344000002</v>
      </c>
      <c r="I66" s="440">
        <f>H66-E66</f>
        <v>2.4943999999999988</v>
      </c>
      <c r="J66" s="426">
        <f t="shared" si="1"/>
        <v>7.9989981129157658E-2</v>
      </c>
      <c r="K66" s="391"/>
      <c r="L66" s="391"/>
      <c r="M66" s="391"/>
      <c r="N66" s="429"/>
      <c r="O66" s="391"/>
      <c r="P66" s="429"/>
      <c r="Q66" s="430"/>
    </row>
    <row r="67" spans="2:19" ht="14.25" x14ac:dyDescent="0.2">
      <c r="B67" s="441" t="s">
        <v>55</v>
      </c>
      <c r="C67" s="395">
        <f>C24</f>
        <v>7.7000000000000002E-3</v>
      </c>
      <c r="D67" s="72">
        <f>C49+D60</f>
        <v>413.97840000000002</v>
      </c>
      <c r="E67" s="386">
        <f>D67*C67</f>
        <v>3.1876336800000002</v>
      </c>
      <c r="F67" s="397">
        <f>D24</f>
        <v>7.4999999999999997E-3</v>
      </c>
      <c r="G67" s="276">
        <f>+C49+G60</f>
        <v>413.97840000000002</v>
      </c>
      <c r="H67" s="399">
        <f>G67*F67</f>
        <v>3.104838</v>
      </c>
      <c r="I67" s="389">
        <f t="shared" si="0"/>
        <v>-8.279568000000026E-2</v>
      </c>
      <c r="J67" s="390">
        <f t="shared" si="1"/>
        <v>-2.5974025974026052E-2</v>
      </c>
      <c r="K67" s="70"/>
      <c r="L67" s="70"/>
      <c r="M67" s="70"/>
      <c r="N67" s="442"/>
      <c r="O67" s="391"/>
      <c r="P67" s="393"/>
      <c r="Q67" s="394"/>
    </row>
    <row r="68" spans="2:19" ht="21.75" customHeight="1" x14ac:dyDescent="0.2">
      <c r="B68" s="443" t="s">
        <v>56</v>
      </c>
      <c r="C68" s="395">
        <f>C25</f>
        <v>6.3E-3</v>
      </c>
      <c r="D68" s="72">
        <f>+C49+D60</f>
        <v>413.97840000000002</v>
      </c>
      <c r="E68" s="386">
        <f>D68*C68</f>
        <v>2.6080639200000002</v>
      </c>
      <c r="F68" s="397">
        <f>D25</f>
        <v>6.7000000000000002E-3</v>
      </c>
      <c r="G68" s="276">
        <f>+C49+G60</f>
        <v>413.97840000000002</v>
      </c>
      <c r="H68" s="399">
        <f>G68*F68</f>
        <v>2.7736552800000003</v>
      </c>
      <c r="I68" s="389">
        <f t="shared" si="0"/>
        <v>0.16559136000000008</v>
      </c>
      <c r="J68" s="390">
        <f t="shared" si="1"/>
        <v>6.3492063492063516E-2</v>
      </c>
      <c r="K68" s="70"/>
      <c r="L68" s="70"/>
      <c r="M68" s="70"/>
      <c r="N68" s="401"/>
      <c r="O68" s="391"/>
      <c r="P68" s="393"/>
      <c r="Q68" s="394"/>
    </row>
    <row r="69" spans="2:19" ht="15" x14ac:dyDescent="0.2">
      <c r="B69" s="434" t="s">
        <v>57</v>
      </c>
      <c r="C69" s="435"/>
      <c r="D69" s="436"/>
      <c r="E69" s="437">
        <f>SUM(E66:E68)</f>
        <v>36.979602944</v>
      </c>
      <c r="F69" s="444"/>
      <c r="G69" s="445"/>
      <c r="H69" s="446">
        <f>SUM(H66:H68)</f>
        <v>39.556798624000002</v>
      </c>
      <c r="I69" s="425">
        <f>H69-E69</f>
        <v>2.5771956800000027</v>
      </c>
      <c r="J69" s="426">
        <f t="shared" si="1"/>
        <v>6.9692356727106414E-2</v>
      </c>
      <c r="K69" s="447"/>
      <c r="L69" s="447"/>
      <c r="M69" s="447"/>
      <c r="N69" s="429"/>
      <c r="O69" s="447"/>
    </row>
    <row r="70" spans="2:19" ht="14.25" x14ac:dyDescent="0.2">
      <c r="B70" s="402" t="s">
        <v>58</v>
      </c>
      <c r="C70" s="448">
        <f>C26</f>
        <v>3.2000000000000002E-3</v>
      </c>
      <c r="D70" s="44">
        <f>C49+D60</f>
        <v>413.97840000000002</v>
      </c>
      <c r="E70" s="449">
        <f t="shared" ref="E70:E78" si="6">D70*C70</f>
        <v>1.3247308800000002</v>
      </c>
      <c r="F70" s="450">
        <f>D26</f>
        <v>3.2000000000000002E-3</v>
      </c>
      <c r="G70" s="277">
        <f>+C49+G60</f>
        <v>413.97840000000002</v>
      </c>
      <c r="H70" s="451">
        <f t="shared" ref="H70:H78" si="7">G70*F70</f>
        <v>1.3247308800000002</v>
      </c>
      <c r="I70" s="452">
        <f t="shared" si="0"/>
        <v>0</v>
      </c>
      <c r="J70" s="390">
        <f t="shared" si="1"/>
        <v>0</v>
      </c>
      <c r="K70" s="70"/>
      <c r="L70" s="70"/>
      <c r="M70" s="70"/>
      <c r="N70" s="453"/>
      <c r="O70" s="391"/>
      <c r="P70" s="393"/>
      <c r="Q70" s="454"/>
    </row>
    <row r="71" spans="2:19" ht="14.25" x14ac:dyDescent="0.2">
      <c r="B71" s="402" t="s">
        <v>103</v>
      </c>
      <c r="C71" s="448">
        <f>C27</f>
        <v>4.0000000000000002E-4</v>
      </c>
      <c r="D71" s="166">
        <f>C49+D60</f>
        <v>413.97840000000002</v>
      </c>
      <c r="E71" s="449">
        <f t="shared" si="6"/>
        <v>0.16559136000000002</v>
      </c>
      <c r="F71" s="450">
        <f>D27</f>
        <v>4.0000000000000002E-4</v>
      </c>
      <c r="G71" s="277">
        <f>+C49+G60</f>
        <v>413.97840000000002</v>
      </c>
      <c r="H71" s="451">
        <f t="shared" si="7"/>
        <v>0.16559136000000002</v>
      </c>
      <c r="I71" s="452">
        <f t="shared" si="0"/>
        <v>0</v>
      </c>
      <c r="J71" s="390">
        <f t="shared" si="1"/>
        <v>0</v>
      </c>
      <c r="K71" s="70"/>
      <c r="L71" s="70"/>
      <c r="M71" s="70"/>
      <c r="N71" s="453"/>
      <c r="O71" s="391"/>
      <c r="P71" s="393"/>
      <c r="Q71" s="454"/>
    </row>
    <row r="72" spans="2:19" ht="14.25" x14ac:dyDescent="0.2">
      <c r="B72" s="455" t="s">
        <v>59</v>
      </c>
      <c r="C72" s="448">
        <f>C28</f>
        <v>2.9999999999999997E-4</v>
      </c>
      <c r="D72" s="166">
        <f>+C49+D60</f>
        <v>413.97840000000002</v>
      </c>
      <c r="E72" s="449">
        <f t="shared" si="6"/>
        <v>0.12419352</v>
      </c>
      <c r="F72" s="450">
        <f>D28</f>
        <v>2.9999999999999997E-4</v>
      </c>
      <c r="G72" s="277">
        <f>+C49+G60</f>
        <v>413.97840000000002</v>
      </c>
      <c r="H72" s="451">
        <f t="shared" si="7"/>
        <v>0.12419352</v>
      </c>
      <c r="I72" s="452">
        <f t="shared" si="0"/>
        <v>0</v>
      </c>
      <c r="J72" s="390">
        <f t="shared" si="1"/>
        <v>0</v>
      </c>
      <c r="K72" s="70"/>
      <c r="L72" s="70"/>
      <c r="M72" s="70"/>
      <c r="N72" s="453"/>
      <c r="O72" s="391"/>
      <c r="P72" s="393"/>
      <c r="Q72" s="454"/>
    </row>
    <row r="73" spans="2:19" ht="14.25" x14ac:dyDescent="0.2">
      <c r="B73" s="384" t="s">
        <v>60</v>
      </c>
      <c r="C73" s="456">
        <f>C30</f>
        <v>0.25</v>
      </c>
      <c r="D73" s="47">
        <f>D53</f>
        <v>1</v>
      </c>
      <c r="E73" s="457">
        <f t="shared" si="6"/>
        <v>0.25</v>
      </c>
      <c r="F73" s="458">
        <f>D30</f>
        <v>0.25</v>
      </c>
      <c r="G73" s="48">
        <f>+G53</f>
        <v>1</v>
      </c>
      <c r="H73" s="451">
        <f t="shared" si="7"/>
        <v>0.25</v>
      </c>
      <c r="I73" s="389">
        <f t="shared" si="0"/>
        <v>0</v>
      </c>
      <c r="J73" s="390">
        <f t="shared" si="1"/>
        <v>0</v>
      </c>
      <c r="K73" s="70"/>
      <c r="L73" s="70"/>
      <c r="M73" s="70"/>
      <c r="N73" s="453"/>
      <c r="O73" s="391"/>
      <c r="P73" s="393"/>
      <c r="Q73" s="454"/>
    </row>
    <row r="74" spans="2:19" ht="15" x14ac:dyDescent="0.2">
      <c r="B74" s="434" t="s">
        <v>65</v>
      </c>
      <c r="C74" s="435"/>
      <c r="D74" s="436"/>
      <c r="E74" s="437">
        <f>SUM(E70:E73)</f>
        <v>1.8645157600000002</v>
      </c>
      <c r="F74" s="444"/>
      <c r="G74" s="445"/>
      <c r="H74" s="446">
        <f>SUM(H70:H73)</f>
        <v>1.8645157600000002</v>
      </c>
      <c r="I74" s="437">
        <f>SUM(I70:I73)</f>
        <v>0</v>
      </c>
      <c r="J74" s="426">
        <f>IF((H74)=0,"",(I74/E74))</f>
        <v>0</v>
      </c>
      <c r="K74" s="70"/>
      <c r="L74" s="70"/>
      <c r="M74" s="70"/>
      <c r="N74" s="453"/>
      <c r="O74" s="391"/>
      <c r="P74" s="393"/>
      <c r="Q74" s="454"/>
    </row>
    <row r="75" spans="2:19" ht="15" x14ac:dyDescent="0.2">
      <c r="B75" s="434" t="s">
        <v>11</v>
      </c>
      <c r="C75" s="459">
        <f>C31</f>
        <v>0</v>
      </c>
      <c r="D75" s="134">
        <f>C49</f>
        <v>396</v>
      </c>
      <c r="E75" s="460">
        <f t="shared" si="6"/>
        <v>0</v>
      </c>
      <c r="F75" s="461">
        <f>D31</f>
        <v>0</v>
      </c>
      <c r="G75" s="135">
        <f>D75</f>
        <v>396</v>
      </c>
      <c r="H75" s="462">
        <f t="shared" si="7"/>
        <v>0</v>
      </c>
      <c r="I75" s="425">
        <f t="shared" si="0"/>
        <v>0</v>
      </c>
      <c r="J75" s="426" t="str">
        <f t="shared" si="1"/>
        <v/>
      </c>
      <c r="K75" s="70"/>
      <c r="L75" s="70"/>
      <c r="M75" s="70"/>
      <c r="N75" s="453"/>
      <c r="O75" s="391"/>
      <c r="P75" s="393"/>
      <c r="Q75" s="454"/>
    </row>
    <row r="76" spans="2:19" ht="14.25" x14ac:dyDescent="0.2">
      <c r="B76" s="402" t="s">
        <v>61</v>
      </c>
      <c r="C76" s="448">
        <f>C44</f>
        <v>6.5000000000000002E-2</v>
      </c>
      <c r="D76" s="44">
        <f>ROUND($C$49*$E44,2)</f>
        <v>257.39999999999998</v>
      </c>
      <c r="E76" s="449">
        <f t="shared" si="6"/>
        <v>16.730999999999998</v>
      </c>
      <c r="F76" s="450">
        <f>C76</f>
        <v>6.5000000000000002E-2</v>
      </c>
      <c r="G76" s="44">
        <f>ROUND($C$49*$E44,2)</f>
        <v>257.39999999999998</v>
      </c>
      <c r="H76" s="451">
        <f t="shared" si="7"/>
        <v>16.730999999999998</v>
      </c>
      <c r="I76" s="452">
        <f t="shared" si="0"/>
        <v>0</v>
      </c>
      <c r="J76" s="390">
        <f t="shared" si="1"/>
        <v>0</v>
      </c>
      <c r="K76" s="70"/>
      <c r="L76" s="70"/>
      <c r="M76" s="70"/>
      <c r="N76" s="453"/>
      <c r="O76" s="391"/>
      <c r="P76" s="393"/>
      <c r="Q76" s="454"/>
    </row>
    <row r="77" spans="2:19" ht="14.25" x14ac:dyDescent="0.2">
      <c r="B77" s="402" t="s">
        <v>62</v>
      </c>
      <c r="C77" s="448">
        <f>C45</f>
        <v>9.5000000000000001E-2</v>
      </c>
      <c r="D77" s="44">
        <f>ROUND($C$49*$E45,2)</f>
        <v>67.319999999999993</v>
      </c>
      <c r="E77" s="449">
        <f t="shared" si="6"/>
        <v>6.3953999999999995</v>
      </c>
      <c r="F77" s="450">
        <f>C77</f>
        <v>9.5000000000000001E-2</v>
      </c>
      <c r="G77" s="44">
        <f>ROUND($C$49*$E45,2)</f>
        <v>67.319999999999993</v>
      </c>
      <c r="H77" s="451">
        <f t="shared" si="7"/>
        <v>6.3953999999999995</v>
      </c>
      <c r="I77" s="452">
        <f t="shared" si="0"/>
        <v>0</v>
      </c>
      <c r="J77" s="390">
        <f t="shared" si="1"/>
        <v>0</v>
      </c>
      <c r="K77" s="70"/>
      <c r="L77" s="70"/>
      <c r="M77" s="70"/>
      <c r="N77" s="453"/>
      <c r="O77" s="391"/>
      <c r="P77" s="393"/>
      <c r="Q77" s="454"/>
    </row>
    <row r="78" spans="2:19" ht="14.25" x14ac:dyDescent="0.2">
      <c r="B78" s="402" t="s">
        <v>63</v>
      </c>
      <c r="C78" s="448">
        <f>C46</f>
        <v>0.13200000000000001</v>
      </c>
      <c r="D78" s="44">
        <f>ROUND($C$49*$E46,2)</f>
        <v>71.28</v>
      </c>
      <c r="E78" s="449">
        <f t="shared" si="6"/>
        <v>9.4089600000000004</v>
      </c>
      <c r="F78" s="450">
        <f>C78</f>
        <v>0.13200000000000001</v>
      </c>
      <c r="G78" s="44">
        <f>ROUND($C$49*$E46,2)</f>
        <v>71.28</v>
      </c>
      <c r="H78" s="451">
        <f t="shared" si="7"/>
        <v>9.4089600000000004</v>
      </c>
      <c r="I78" s="452">
        <f t="shared" si="0"/>
        <v>0</v>
      </c>
      <c r="J78" s="390">
        <f t="shared" si="1"/>
        <v>0</v>
      </c>
      <c r="K78" s="70"/>
      <c r="L78" s="70"/>
      <c r="M78" s="70"/>
      <c r="N78" s="453"/>
      <c r="O78" s="391"/>
      <c r="P78" s="393"/>
      <c r="Q78" s="454"/>
    </row>
    <row r="79" spans="2:19" ht="15.75" thickBot="1" x14ac:dyDescent="0.25">
      <c r="B79" s="434" t="s">
        <v>66</v>
      </c>
      <c r="C79" s="435"/>
      <c r="D79" s="436"/>
      <c r="E79" s="437">
        <f>SUM(E76:E78)</f>
        <v>32.535359999999997</v>
      </c>
      <c r="F79" s="444"/>
      <c r="G79" s="445"/>
      <c r="H79" s="446">
        <f>SUM(H76:H78)</f>
        <v>32.535359999999997</v>
      </c>
      <c r="I79" s="425">
        <f>H79-E79</f>
        <v>0</v>
      </c>
      <c r="J79" s="426">
        <f t="shared" si="1"/>
        <v>0</v>
      </c>
      <c r="K79" s="70"/>
      <c r="L79" s="138"/>
      <c r="M79" s="70"/>
      <c r="N79" s="453"/>
      <c r="O79" s="391"/>
      <c r="P79" s="393"/>
      <c r="Q79" s="454"/>
    </row>
    <row r="80" spans="2:19" ht="9.75" customHeight="1" thickBot="1" x14ac:dyDescent="0.25">
      <c r="B80" s="463"/>
      <c r="C80" s="464"/>
      <c r="D80" s="465"/>
      <c r="E80" s="466"/>
      <c r="F80" s="467"/>
      <c r="G80" s="468"/>
      <c r="H80" s="469"/>
      <c r="I80" s="470"/>
      <c r="J80" s="471"/>
      <c r="K80" s="391"/>
      <c r="L80" s="391"/>
      <c r="M80" s="391"/>
      <c r="N80" s="453"/>
      <c r="O80" s="391"/>
      <c r="P80" s="393"/>
      <c r="Q80" s="454"/>
      <c r="S80" s="393"/>
    </row>
    <row r="81" spans="2:19" ht="15" x14ac:dyDescent="0.2">
      <c r="B81" s="472" t="s">
        <v>64</v>
      </c>
      <c r="C81" s="473"/>
      <c r="D81" s="474"/>
      <c r="E81" s="475">
        <f>E79+E75+E74+E69</f>
        <v>71.379478704000007</v>
      </c>
      <c r="F81" s="476"/>
      <c r="G81" s="477"/>
      <c r="H81" s="478">
        <f>H79+H75+H74+H69</f>
        <v>73.956674383999996</v>
      </c>
      <c r="I81" s="389">
        <f>H81-E81</f>
        <v>2.5771956799999884</v>
      </c>
      <c r="J81" s="390">
        <f>IF((H81)=0,"",(I81/E81))</f>
        <v>3.610555480080252E-2</v>
      </c>
      <c r="K81" s="479"/>
      <c r="L81" s="479"/>
      <c r="M81" s="479"/>
      <c r="N81" s="429"/>
      <c r="O81" s="447"/>
      <c r="P81" s="429"/>
      <c r="Q81" s="429"/>
      <c r="S81" s="429"/>
    </row>
    <row r="82" spans="2:19" ht="14.25" x14ac:dyDescent="0.2">
      <c r="B82" s="480" t="s">
        <v>21</v>
      </c>
      <c r="C82" s="473">
        <v>0.13</v>
      </c>
      <c r="D82" s="481"/>
      <c r="E82" s="482">
        <f>E81*C82</f>
        <v>9.2793322315200015</v>
      </c>
      <c r="F82" s="483">
        <v>0.13</v>
      </c>
      <c r="G82" s="385"/>
      <c r="H82" s="484">
        <f>H81*F82</f>
        <v>9.61436766992</v>
      </c>
      <c r="I82" s="389">
        <f>H82-E82</f>
        <v>0.3350354383999985</v>
      </c>
      <c r="J82" s="390">
        <f>IF((H82)=0,"",(I82/E82))</f>
        <v>3.6105554800802513E-2</v>
      </c>
      <c r="K82" s="481"/>
      <c r="L82" s="481"/>
      <c r="M82" s="481"/>
      <c r="N82" s="393"/>
      <c r="O82" s="391"/>
      <c r="P82" s="393"/>
      <c r="Q82" s="454"/>
    </row>
    <row r="83" spans="2:19" ht="14.25" x14ac:dyDescent="0.2">
      <c r="B83" s="480" t="s">
        <v>101</v>
      </c>
      <c r="C83" s="473">
        <v>-0.08</v>
      </c>
      <c r="D83" s="481"/>
      <c r="E83" s="482">
        <f>+E81*C83</f>
        <v>-5.7103582963200008</v>
      </c>
      <c r="F83" s="483">
        <v>-0.08</v>
      </c>
      <c r="G83" s="385"/>
      <c r="H83" s="484">
        <f>+H81*F83</f>
        <v>-5.9165339507199999</v>
      </c>
      <c r="I83" s="389">
        <f>H83-E83</f>
        <v>-0.20617565439999908</v>
      </c>
      <c r="J83" s="390">
        <f>IF((H83)=0,"",(I83/E83))</f>
        <v>3.6105554800802513E-2</v>
      </c>
      <c r="K83" s="481"/>
      <c r="L83" s="481"/>
      <c r="M83" s="481"/>
      <c r="N83" s="393"/>
      <c r="O83" s="391"/>
      <c r="P83" s="393"/>
      <c r="Q83" s="454"/>
    </row>
    <row r="84" spans="2:19" ht="15" x14ac:dyDescent="0.2">
      <c r="B84" s="485" t="s">
        <v>87</v>
      </c>
      <c r="C84" s="486"/>
      <c r="D84" s="487"/>
      <c r="E84" s="488">
        <f>SUM(E81:E83)</f>
        <v>74.948452639200013</v>
      </c>
      <c r="F84" s="489"/>
      <c r="G84" s="490"/>
      <c r="H84" s="446">
        <f>SUM(H81:H83)</f>
        <v>77.654508103200001</v>
      </c>
      <c r="I84" s="425">
        <f>H84-E84</f>
        <v>2.7060554639999879</v>
      </c>
      <c r="J84" s="426">
        <f>IF((H84)=0,"",(I84/E84))</f>
        <v>3.6105554800802513E-2</v>
      </c>
      <c r="K84" s="491"/>
      <c r="L84" s="491"/>
      <c r="M84" s="491"/>
      <c r="N84" s="429"/>
      <c r="O84" s="447"/>
      <c r="P84" s="429"/>
      <c r="Q84" s="430"/>
    </row>
    <row r="85" spans="2:19" x14ac:dyDescent="0.2">
      <c r="B85" s="492"/>
      <c r="C85" s="492"/>
      <c r="D85" s="492"/>
      <c r="E85" s="492"/>
      <c r="K85" s="493"/>
      <c r="L85" s="493"/>
      <c r="M85" s="493"/>
      <c r="N85" s="493"/>
      <c r="O85" s="493"/>
      <c r="P85" s="493"/>
      <c r="Q85" s="493"/>
    </row>
    <row r="86" spans="2:19" ht="12.75" customHeight="1" x14ac:dyDescent="0.2">
      <c r="B86" s="494" t="s">
        <v>131</v>
      </c>
      <c r="C86" s="595" t="s">
        <v>43</v>
      </c>
      <c r="D86" s="596"/>
      <c r="E86" s="597"/>
      <c r="F86" s="595" t="s">
        <v>44</v>
      </c>
      <c r="G86" s="596"/>
      <c r="H86" s="597"/>
      <c r="I86" s="596" t="s">
        <v>45</v>
      </c>
      <c r="J86" s="597"/>
      <c r="K86" s="493"/>
      <c r="L86" s="493"/>
      <c r="M86" s="493"/>
      <c r="N86" s="493"/>
      <c r="O86" s="493"/>
      <c r="P86" s="493"/>
      <c r="Q86" s="493"/>
    </row>
    <row r="87" spans="2:19" x14ac:dyDescent="0.2">
      <c r="B87" s="495" t="s">
        <v>133</v>
      </c>
      <c r="C87" s="496">
        <f>SUM(C53:C54)</f>
        <v>26.77</v>
      </c>
      <c r="D87" s="497"/>
      <c r="E87" s="498">
        <f>+E53+E54</f>
        <v>26.77</v>
      </c>
      <c r="F87" s="499">
        <f>+F53</f>
        <v>29.18</v>
      </c>
      <c r="G87" s="500"/>
      <c r="H87" s="501">
        <f>+H53</f>
        <v>29.18</v>
      </c>
      <c r="I87" s="500"/>
      <c r="J87" s="502"/>
    </row>
    <row r="88" spans="2:19" x14ac:dyDescent="0.2">
      <c r="B88" s="503" t="s">
        <v>135</v>
      </c>
      <c r="C88" s="504">
        <f>+C55</f>
        <v>7.6E-3</v>
      </c>
      <c r="D88" s="497"/>
      <c r="E88" s="498">
        <f>+E55</f>
        <v>3.0095999999999998</v>
      </c>
      <c r="F88" s="505">
        <f>+F55</f>
        <v>3.8E-3</v>
      </c>
      <c r="G88" s="500"/>
      <c r="H88" s="501">
        <f>+H55</f>
        <v>1.5047999999999999</v>
      </c>
      <c r="I88" s="500"/>
      <c r="J88" s="502"/>
    </row>
    <row r="89" spans="2:19" x14ac:dyDescent="0.2">
      <c r="B89" s="506"/>
      <c r="C89" s="507"/>
      <c r="D89" s="508"/>
      <c r="E89" s="509">
        <f>SUM(E87:E88)</f>
        <v>29.779599999999999</v>
      </c>
      <c r="F89" s="510"/>
      <c r="G89" s="511"/>
      <c r="H89" s="512">
        <f>SUM(H87:H88)</f>
        <v>30.684799999999999</v>
      </c>
      <c r="I89" s="513">
        <f>+H89-E89</f>
        <v>0.90520000000000067</v>
      </c>
      <c r="J89" s="308">
        <f>+I89/E89</f>
        <v>3.0396647369340109E-2</v>
      </c>
    </row>
  </sheetData>
  <mergeCells count="13">
    <mergeCell ref="C86:E86"/>
    <mergeCell ref="F86:H86"/>
    <mergeCell ref="I86:J86"/>
    <mergeCell ref="B11:E11"/>
    <mergeCell ref="C50:E50"/>
    <mergeCell ref="F50:H50"/>
    <mergeCell ref="I50:J50"/>
    <mergeCell ref="P50:Q50"/>
    <mergeCell ref="B51:B52"/>
    <mergeCell ref="I51:I52"/>
    <mergeCell ref="J51:J52"/>
    <mergeCell ref="P51:P52"/>
    <mergeCell ref="Q51:Q52"/>
  </mergeCells>
  <pageMargins left="0.75" right="0.75" top="1" bottom="1" header="0.5" footer="0.5"/>
  <pageSetup scale="74" orientation="landscape" r:id="rId1"/>
  <headerFooter alignWithMargins="0"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8"/>
  <sheetViews>
    <sheetView showGridLines="0" topLeftCell="A9" zoomScale="90" zoomScaleNormal="90" workbookViewId="0">
      <selection activeCell="D28" sqref="D28"/>
    </sheetView>
  </sheetViews>
  <sheetFormatPr defaultRowHeight="12.75" x14ac:dyDescent="0.2"/>
  <cols>
    <col min="1" max="1" width="2.42578125" customWidth="1"/>
    <col min="2" max="2" width="44.85546875" customWidth="1"/>
    <col min="3" max="3" width="11" customWidth="1"/>
    <col min="4" max="4" width="11.140625" customWidth="1"/>
    <col min="5" max="5" width="13" customWidth="1"/>
    <col min="6" max="6" width="11" customWidth="1"/>
    <col min="7" max="7" width="10.42578125" bestFit="1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4" max="14" width="9.85546875" bestFit="1" customWidth="1"/>
    <col min="15" max="15" width="12.28515625" customWidth="1"/>
    <col min="17" max="17" width="9.8554687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22</v>
      </c>
      <c r="C9" s="2"/>
      <c r="D9" s="2"/>
      <c r="E9" s="145" t="s">
        <v>83</v>
      </c>
      <c r="F9" s="142" t="s">
        <v>84</v>
      </c>
      <c r="G9" s="2"/>
      <c r="H9" s="2"/>
      <c r="I9" s="2"/>
      <c r="J9" s="2"/>
      <c r="K9" s="2"/>
    </row>
    <row r="10" spans="2:1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8" x14ac:dyDescent="0.25">
      <c r="B11" s="583" t="s">
        <v>70</v>
      </c>
      <c r="C11" s="583"/>
      <c r="D11" s="583"/>
      <c r="E11" s="583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144">
        <v>2017</v>
      </c>
      <c r="D12" s="144">
        <v>2018</v>
      </c>
      <c r="E12" s="2"/>
      <c r="F12" s="2"/>
      <c r="G12" s="2"/>
      <c r="H12" s="2"/>
      <c r="I12" s="2"/>
      <c r="J12" s="2"/>
      <c r="K12" s="2"/>
    </row>
    <row r="13" spans="2:11" ht="26.25" thickBot="1" x14ac:dyDescent="0.25">
      <c r="B13" s="4" t="s">
        <v>1</v>
      </c>
      <c r="C13" s="91" t="s">
        <v>2</v>
      </c>
      <c r="D13" s="91" t="s">
        <v>44</v>
      </c>
      <c r="E13" s="2"/>
      <c r="F13" s="2"/>
      <c r="G13" s="2"/>
      <c r="H13" s="2"/>
      <c r="I13" s="2"/>
      <c r="J13" s="2"/>
      <c r="K13" s="2"/>
    </row>
    <row r="14" spans="2:11" x14ac:dyDescent="0.2">
      <c r="B14" s="141" t="s">
        <v>3</v>
      </c>
      <c r="C14" s="172">
        <v>21.39</v>
      </c>
      <c r="D14" s="172">
        <v>26.87</v>
      </c>
      <c r="E14" s="2"/>
      <c r="F14" s="2"/>
      <c r="G14" s="2"/>
      <c r="H14" s="2"/>
      <c r="I14" s="283"/>
      <c r="J14" s="2"/>
      <c r="K14" s="2"/>
    </row>
    <row r="15" spans="2:11" x14ac:dyDescent="0.2">
      <c r="B15" s="532" t="s">
        <v>4</v>
      </c>
      <c r="C15" s="536">
        <v>7.11</v>
      </c>
      <c r="D15" s="536">
        <v>0</v>
      </c>
      <c r="E15" s="2"/>
      <c r="F15" s="2"/>
      <c r="G15" s="2"/>
      <c r="H15" s="2"/>
      <c r="I15" s="283"/>
      <c r="J15" s="2"/>
      <c r="K15" s="2"/>
    </row>
    <row r="16" spans="2:11" x14ac:dyDescent="0.2">
      <c r="B16" s="93" t="s">
        <v>42</v>
      </c>
      <c r="C16" s="173">
        <v>0.79</v>
      </c>
      <c r="D16" s="173">
        <v>0.79</v>
      </c>
      <c r="E16" s="2"/>
      <c r="F16" s="2"/>
      <c r="G16" s="2"/>
      <c r="H16" s="2"/>
      <c r="I16" s="283"/>
      <c r="J16" s="2"/>
      <c r="K16" s="2"/>
    </row>
    <row r="17" spans="2:11" x14ac:dyDescent="0.2">
      <c r="B17" s="93" t="s">
        <v>5</v>
      </c>
      <c r="C17" s="174">
        <v>2.1000000000000001E-2</v>
      </c>
      <c r="D17" s="174">
        <v>2.01E-2</v>
      </c>
      <c r="E17" s="2"/>
      <c r="F17" s="2"/>
      <c r="G17" s="2"/>
      <c r="H17" s="2"/>
      <c r="I17" s="284"/>
      <c r="J17" s="2"/>
      <c r="K17" s="2"/>
    </row>
    <row r="18" spans="2:11" x14ac:dyDescent="0.2">
      <c r="B18" s="9" t="s">
        <v>97</v>
      </c>
      <c r="C18" s="174">
        <v>6.9999999999999999E-4</v>
      </c>
      <c r="D18" s="174">
        <v>0</v>
      </c>
      <c r="E18" s="2"/>
      <c r="F18" s="2"/>
      <c r="G18" s="2"/>
      <c r="H18" s="2"/>
      <c r="I18" s="284"/>
      <c r="J18" s="2"/>
      <c r="K18" s="2"/>
    </row>
    <row r="19" spans="2:11" x14ac:dyDescent="0.2">
      <c r="B19" s="9" t="s">
        <v>112</v>
      </c>
      <c r="C19" s="174">
        <v>0</v>
      </c>
      <c r="D19" s="174">
        <v>2.0000000000000001E-4</v>
      </c>
      <c r="E19" s="2"/>
      <c r="F19" s="2"/>
      <c r="G19" s="2"/>
      <c r="H19" s="2"/>
      <c r="I19" s="284"/>
      <c r="J19" s="2"/>
      <c r="K19" s="2"/>
    </row>
    <row r="20" spans="2:11" x14ac:dyDescent="0.2">
      <c r="B20" s="93" t="s">
        <v>110</v>
      </c>
      <c r="C20" s="174">
        <v>0</v>
      </c>
      <c r="D20" s="174">
        <v>-2.8E-3</v>
      </c>
      <c r="E20" s="2"/>
      <c r="F20" s="2"/>
      <c r="G20" s="2"/>
      <c r="H20" s="2"/>
      <c r="I20" s="284"/>
      <c r="J20" s="2"/>
      <c r="K20" s="2"/>
    </row>
    <row r="21" spans="2:11" x14ac:dyDescent="0.2">
      <c r="B21" s="93" t="s">
        <v>111</v>
      </c>
      <c r="C21" s="174">
        <v>0</v>
      </c>
      <c r="D21" s="174">
        <v>1.2999999999999999E-3</v>
      </c>
      <c r="E21" s="2"/>
      <c r="F21" s="2"/>
      <c r="G21" s="2"/>
      <c r="H21" s="2"/>
      <c r="I21" s="284"/>
      <c r="J21" s="2"/>
      <c r="K21" s="2"/>
    </row>
    <row r="22" spans="2:11" ht="12.75" customHeight="1" x14ac:dyDescent="0.2">
      <c r="B22" s="93" t="s">
        <v>82</v>
      </c>
      <c r="C22" s="174">
        <f>IF(E9="RPP",-C21,0)</f>
        <v>0</v>
      </c>
      <c r="D22" s="174">
        <f>IF(E9="RPP",-D21,0)</f>
        <v>-1.2999999999999999E-3</v>
      </c>
      <c r="E22" s="2"/>
      <c r="F22" s="2"/>
      <c r="G22" s="2"/>
      <c r="H22" s="2"/>
      <c r="I22" s="284"/>
      <c r="J22" s="2"/>
      <c r="K22" s="2"/>
    </row>
    <row r="23" spans="2:11" x14ac:dyDescent="0.2">
      <c r="B23" s="93" t="s">
        <v>80</v>
      </c>
      <c r="C23" s="174">
        <v>-1.5E-3</v>
      </c>
      <c r="D23" s="174">
        <v>0</v>
      </c>
      <c r="E23" s="2"/>
      <c r="F23" s="2"/>
      <c r="G23" s="2"/>
      <c r="H23" s="2"/>
      <c r="I23" s="284"/>
      <c r="J23" s="2"/>
      <c r="K23" s="2"/>
    </row>
    <row r="24" spans="2:11" x14ac:dyDescent="0.2">
      <c r="B24" s="93" t="s">
        <v>6</v>
      </c>
      <c r="C24" s="175">
        <v>7.0000000000000001E-3</v>
      </c>
      <c r="D24" s="175">
        <v>6.7999999999999996E-3</v>
      </c>
      <c r="E24" s="2"/>
      <c r="F24" s="2"/>
      <c r="G24" s="2"/>
      <c r="H24" s="2"/>
      <c r="I24" s="285"/>
      <c r="J24" s="2"/>
      <c r="K24" s="2"/>
    </row>
    <row r="25" spans="2:11" ht="26.25" customHeight="1" x14ac:dyDescent="0.2">
      <c r="B25" s="93" t="s">
        <v>7</v>
      </c>
      <c r="C25" s="175">
        <v>5.7999999999999996E-3</v>
      </c>
      <c r="D25" s="175">
        <v>6.1999999999999998E-3</v>
      </c>
      <c r="E25" s="2"/>
      <c r="F25" s="2"/>
      <c r="G25" s="2"/>
      <c r="H25" s="2"/>
      <c r="I25" s="285"/>
      <c r="J25" s="2"/>
      <c r="K25" s="2"/>
    </row>
    <row r="26" spans="2:11" x14ac:dyDescent="0.2">
      <c r="B26" s="93" t="s">
        <v>8</v>
      </c>
      <c r="C26" s="176">
        <v>3.2000000000000002E-3</v>
      </c>
      <c r="D26" s="176">
        <v>3.2000000000000002E-3</v>
      </c>
      <c r="E26" s="2"/>
      <c r="F26" s="2"/>
      <c r="G26" s="2"/>
      <c r="H26" s="2"/>
      <c r="I26" s="274"/>
      <c r="J26" s="2"/>
      <c r="K26" s="2"/>
    </row>
    <row r="27" spans="2:11" x14ac:dyDescent="0.2">
      <c r="B27" s="93" t="s">
        <v>106</v>
      </c>
      <c r="C27" s="176">
        <v>4.0000000000000002E-4</v>
      </c>
      <c r="D27" s="176">
        <v>4.0000000000000002E-4</v>
      </c>
      <c r="E27" s="2"/>
      <c r="F27" s="2"/>
      <c r="G27" s="2"/>
      <c r="H27" s="2"/>
      <c r="I27" s="274"/>
      <c r="J27" s="2"/>
      <c r="K27" s="2"/>
    </row>
    <row r="28" spans="2:11" x14ac:dyDescent="0.2">
      <c r="B28" s="93" t="s">
        <v>9</v>
      </c>
      <c r="C28" s="176">
        <v>2.9999999999999997E-4</v>
      </c>
      <c r="D28" s="176">
        <v>2.9999999999999997E-4</v>
      </c>
      <c r="E28" s="2"/>
      <c r="F28" s="2"/>
      <c r="G28" s="2"/>
      <c r="H28" s="2"/>
      <c r="I28" s="274"/>
      <c r="J28" s="2"/>
      <c r="K28" s="2"/>
    </row>
    <row r="29" spans="2:11" x14ac:dyDescent="0.2">
      <c r="B29" s="93" t="s">
        <v>81</v>
      </c>
      <c r="C29" s="176">
        <v>0</v>
      </c>
      <c r="D29" s="176">
        <v>0</v>
      </c>
      <c r="E29" s="164" t="s">
        <v>105</v>
      </c>
      <c r="F29" s="2"/>
      <c r="G29" s="2"/>
      <c r="H29" s="2"/>
      <c r="I29" s="274"/>
      <c r="J29" s="2"/>
      <c r="K29" s="2"/>
    </row>
    <row r="30" spans="2:11" ht="23.25" customHeight="1" x14ac:dyDescent="0.2">
      <c r="B30" s="93" t="s">
        <v>10</v>
      </c>
      <c r="C30" s="177">
        <v>0.25</v>
      </c>
      <c r="D30" s="177">
        <v>0.25</v>
      </c>
      <c r="E30" s="2"/>
      <c r="F30" s="2"/>
      <c r="G30" s="2"/>
      <c r="H30" s="2"/>
      <c r="I30" s="286"/>
      <c r="J30" s="2"/>
      <c r="K30" s="2"/>
    </row>
    <row r="31" spans="2:11" x14ac:dyDescent="0.2">
      <c r="B31" s="93" t="s">
        <v>11</v>
      </c>
      <c r="C31" s="178">
        <v>7.0000000000000001E-3</v>
      </c>
      <c r="D31" s="178">
        <v>7.0000000000000001E-3</v>
      </c>
      <c r="E31" s="2"/>
      <c r="F31" s="2"/>
      <c r="G31" s="2"/>
      <c r="H31" s="2"/>
      <c r="I31" s="274"/>
      <c r="J31" s="2"/>
      <c r="K31" s="2"/>
    </row>
    <row r="32" spans="2:11" ht="13.5" thickBot="1" x14ac:dyDescent="0.25">
      <c r="B32" s="14" t="s">
        <v>12</v>
      </c>
      <c r="C32" s="179">
        <v>1.0454000000000001</v>
      </c>
      <c r="D32" s="179">
        <v>1.0454000000000001</v>
      </c>
      <c r="E32" s="16"/>
      <c r="F32" s="2"/>
      <c r="G32" s="2"/>
      <c r="H32" s="2"/>
      <c r="I32" s="274"/>
      <c r="J32" s="2"/>
      <c r="K32" s="2"/>
    </row>
    <row r="33" spans="2:11" x14ac:dyDescent="0.2">
      <c r="B33" s="273"/>
      <c r="C33" s="274"/>
      <c r="D33" s="274"/>
      <c r="E33" s="16"/>
      <c r="F33" s="2"/>
      <c r="G33" s="2"/>
      <c r="H33" s="2"/>
      <c r="I33" s="2"/>
      <c r="J33" s="2"/>
      <c r="K33" s="2"/>
    </row>
    <row r="34" spans="2:11" ht="13.5" thickBot="1" x14ac:dyDescent="0.25">
      <c r="B34" s="275" t="s">
        <v>126</v>
      </c>
      <c r="C34" s="144">
        <v>2018</v>
      </c>
      <c r="D34" s="144">
        <v>2018</v>
      </c>
      <c r="E34" s="16"/>
      <c r="F34" s="2"/>
      <c r="G34" s="2"/>
      <c r="H34" s="2"/>
      <c r="I34" s="2"/>
      <c r="J34" s="2"/>
      <c r="K34" s="2"/>
    </row>
    <row r="35" spans="2:11" ht="13.5" thickBot="1" x14ac:dyDescent="0.25">
      <c r="B35" s="551" t="s">
        <v>1</v>
      </c>
      <c r="C35" s="534" t="s">
        <v>127</v>
      </c>
      <c r="D35" s="534" t="s">
        <v>128</v>
      </c>
      <c r="E35" s="16"/>
      <c r="F35" s="2"/>
      <c r="G35" s="288"/>
      <c r="H35" s="288"/>
      <c r="I35" s="2"/>
      <c r="J35" s="2"/>
      <c r="K35" s="2"/>
    </row>
    <row r="36" spans="2:11" x14ac:dyDescent="0.2">
      <c r="B36" s="552" t="s">
        <v>123</v>
      </c>
      <c r="C36" s="554">
        <v>4.0199999999999996</v>
      </c>
      <c r="D36" s="556"/>
      <c r="E36" s="16"/>
      <c r="F36" s="2"/>
      <c r="G36" s="289"/>
      <c r="H36" s="290"/>
      <c r="I36" s="2"/>
      <c r="J36" s="2"/>
      <c r="K36" s="2"/>
    </row>
    <row r="37" spans="2:11" x14ac:dyDescent="0.2">
      <c r="B37" s="552" t="s">
        <v>124</v>
      </c>
      <c r="C37" s="554"/>
      <c r="D37" s="556">
        <v>8.9999999999999998E-4</v>
      </c>
      <c r="E37" s="16"/>
      <c r="F37" s="2"/>
      <c r="G37" s="289"/>
      <c r="H37" s="290"/>
      <c r="I37" s="2"/>
      <c r="J37" s="2"/>
      <c r="K37" s="2"/>
    </row>
    <row r="38" spans="2:11" ht="13.5" thickBot="1" x14ac:dyDescent="0.25">
      <c r="B38" s="553" t="s">
        <v>125</v>
      </c>
      <c r="C38" s="555"/>
      <c r="D38" s="557">
        <v>1E-3</v>
      </c>
      <c r="E38" s="16"/>
      <c r="F38" s="2"/>
      <c r="G38" s="289"/>
      <c r="H38" s="290"/>
      <c r="I38" s="2"/>
      <c r="J38" s="2"/>
      <c r="K38" s="2"/>
    </row>
    <row r="39" spans="2:11" x14ac:dyDescent="0.2">
      <c r="B39" s="273"/>
      <c r="C39" s="274"/>
      <c r="D39" s="274"/>
      <c r="E39" s="16"/>
      <c r="F39" s="2"/>
      <c r="G39" s="288"/>
      <c r="H39" s="288"/>
      <c r="I39" s="2"/>
      <c r="J39" s="2"/>
      <c r="K39" s="2"/>
    </row>
    <row r="40" spans="2:11" x14ac:dyDescent="0.2">
      <c r="B40" s="92"/>
      <c r="C40" s="2"/>
      <c r="D40" s="2"/>
      <c r="E40" s="85" t="s">
        <v>67</v>
      </c>
      <c r="F40" s="2"/>
      <c r="G40" s="2"/>
      <c r="H40" s="2"/>
      <c r="I40" s="2"/>
      <c r="J40" s="2"/>
      <c r="K40" s="2"/>
    </row>
    <row r="41" spans="2:11" x14ac:dyDescent="0.2">
      <c r="B41" s="92" t="s">
        <v>35</v>
      </c>
      <c r="C41" s="136">
        <v>7.6999999999999999E-2</v>
      </c>
      <c r="D41" s="136">
        <v>7.6999999999999999E-2</v>
      </c>
      <c r="E41" s="86"/>
      <c r="F41" s="2"/>
      <c r="G41" s="2"/>
      <c r="H41" s="2"/>
      <c r="I41" s="2"/>
      <c r="J41" s="2"/>
      <c r="K41" s="2"/>
    </row>
    <row r="42" spans="2:11" x14ac:dyDescent="0.2">
      <c r="B42" s="92" t="s">
        <v>36</v>
      </c>
      <c r="C42" s="136">
        <v>0.09</v>
      </c>
      <c r="D42" s="136">
        <v>0.09</v>
      </c>
      <c r="E42" s="86"/>
      <c r="F42" s="2"/>
      <c r="G42" s="2"/>
      <c r="H42" s="2"/>
      <c r="I42" s="2"/>
      <c r="J42" s="2"/>
      <c r="K42" s="2"/>
    </row>
    <row r="43" spans="2:11" x14ac:dyDescent="0.2">
      <c r="B43" s="92" t="s">
        <v>37</v>
      </c>
      <c r="C43" s="136">
        <v>6.5000000000000002E-2</v>
      </c>
      <c r="D43" s="136">
        <v>6.5000000000000002E-2</v>
      </c>
      <c r="E43" s="86">
        <f>'Res '!E44</f>
        <v>0.65</v>
      </c>
      <c r="F43" s="87">
        <f>C43*E43</f>
        <v>4.2250000000000003E-2</v>
      </c>
      <c r="G43" s="2"/>
      <c r="H43" s="2"/>
      <c r="I43" s="2"/>
      <c r="J43" s="2"/>
      <c r="K43" s="2"/>
    </row>
    <row r="44" spans="2:11" x14ac:dyDescent="0.2">
      <c r="B44" s="92" t="s">
        <v>38</v>
      </c>
      <c r="C44" s="136">
        <v>9.5000000000000001E-2</v>
      </c>
      <c r="D44" s="136">
        <v>9.5000000000000001E-2</v>
      </c>
      <c r="E44" s="86">
        <f>'Res '!E45</f>
        <v>0.17</v>
      </c>
      <c r="F44" s="87">
        <f>C44*E44</f>
        <v>1.6150000000000001E-2</v>
      </c>
      <c r="G44" s="2"/>
      <c r="H44" s="2"/>
      <c r="I44" s="2"/>
      <c r="J44" s="2"/>
      <c r="K44" s="2"/>
    </row>
    <row r="45" spans="2:11" x14ac:dyDescent="0.2">
      <c r="B45" s="92" t="s">
        <v>39</v>
      </c>
      <c r="C45" s="136">
        <v>0.13200000000000001</v>
      </c>
      <c r="D45" s="136">
        <v>0.13200000000000001</v>
      </c>
      <c r="E45" s="86">
        <f>'Res '!E46</f>
        <v>0.18</v>
      </c>
      <c r="F45" s="87">
        <f>C45*E45</f>
        <v>2.376E-2</v>
      </c>
      <c r="G45" s="2"/>
      <c r="H45" s="2"/>
      <c r="I45" s="2"/>
      <c r="J45" s="2"/>
      <c r="K45" s="2"/>
    </row>
    <row r="46" spans="2:11" x14ac:dyDescent="0.2">
      <c r="B46" s="92"/>
      <c r="C46" s="2"/>
      <c r="D46" s="2"/>
      <c r="E46" s="2"/>
      <c r="F46" s="87"/>
      <c r="G46" s="2"/>
      <c r="H46" s="2"/>
      <c r="I46" s="2"/>
      <c r="J46" s="2"/>
      <c r="K46" s="2"/>
    </row>
    <row r="47" spans="2:11" ht="13.5" thickBot="1" x14ac:dyDescent="0.25">
      <c r="B47" s="92"/>
      <c r="C47" s="2"/>
      <c r="D47" s="2"/>
      <c r="E47" s="2"/>
      <c r="F47" s="2"/>
      <c r="G47" s="2"/>
      <c r="H47" s="2"/>
      <c r="I47" s="2"/>
      <c r="J47" s="2"/>
      <c r="K47" s="2"/>
    </row>
    <row r="48" spans="2:11" ht="13.5" thickBot="1" x14ac:dyDescent="0.25">
      <c r="B48" s="102" t="s">
        <v>13</v>
      </c>
      <c r="C48" s="103">
        <v>2000</v>
      </c>
      <c r="D48" s="104" t="s">
        <v>14</v>
      </c>
      <c r="E48" s="537"/>
      <c r="F48" s="538"/>
      <c r="G48" s="107"/>
      <c r="H48" s="108" t="s">
        <v>16</v>
      </c>
      <c r="I48" s="109"/>
      <c r="J48" s="110">
        <f>C32</f>
        <v>1.0454000000000001</v>
      </c>
      <c r="K48" s="2"/>
    </row>
    <row r="49" spans="1:17" x14ac:dyDescent="0.2">
      <c r="B49" s="94"/>
      <c r="C49" s="601" t="s">
        <v>43</v>
      </c>
      <c r="D49" s="602"/>
      <c r="E49" s="579"/>
      <c r="F49" s="584" t="s">
        <v>44</v>
      </c>
      <c r="G49" s="579"/>
      <c r="H49" s="585"/>
      <c r="I49" s="579" t="s">
        <v>45</v>
      </c>
      <c r="J49" s="580"/>
      <c r="K49" s="65"/>
      <c r="L49" s="65"/>
      <c r="M49" s="64"/>
      <c r="N49" s="575"/>
      <c r="O49" s="575"/>
    </row>
    <row r="50" spans="1:17" x14ac:dyDescent="0.2">
      <c r="B50" s="586" t="str">
        <f>B11</f>
        <v>GS&lt;50 kW (RPP TOU)</v>
      </c>
      <c r="C50" s="33" t="s">
        <v>46</v>
      </c>
      <c r="D50" s="33" t="s">
        <v>20</v>
      </c>
      <c r="E50" s="79" t="s">
        <v>47</v>
      </c>
      <c r="F50" s="74" t="s">
        <v>46</v>
      </c>
      <c r="G50" s="34" t="s">
        <v>20</v>
      </c>
      <c r="H50" s="80" t="s">
        <v>47</v>
      </c>
      <c r="I50" s="581" t="s">
        <v>27</v>
      </c>
      <c r="J50" s="581" t="s">
        <v>28</v>
      </c>
      <c r="K50" s="65"/>
      <c r="L50" s="65"/>
      <c r="M50" s="64"/>
      <c r="N50" s="576"/>
      <c r="O50" s="576"/>
    </row>
    <row r="51" spans="1:17" x14ac:dyDescent="0.2">
      <c r="B51" s="587"/>
      <c r="C51" s="35" t="s">
        <v>48</v>
      </c>
      <c r="D51" s="35"/>
      <c r="E51" s="73" t="s">
        <v>48</v>
      </c>
      <c r="F51" s="75" t="s">
        <v>48</v>
      </c>
      <c r="G51" s="36"/>
      <c r="H51" s="76" t="s">
        <v>48</v>
      </c>
      <c r="I51" s="582"/>
      <c r="J51" s="582"/>
      <c r="K51" s="66"/>
      <c r="L51" s="66"/>
      <c r="M51" s="64"/>
      <c r="N51" s="577"/>
      <c r="O51" s="577"/>
    </row>
    <row r="52" spans="1:17" ht="14.25" x14ac:dyDescent="0.2">
      <c r="A52" s="31" t="s">
        <v>132</v>
      </c>
      <c r="B52" s="95" t="s">
        <v>49</v>
      </c>
      <c r="C52" s="180">
        <f>C14</f>
        <v>21.39</v>
      </c>
      <c r="D52" s="37">
        <v>1</v>
      </c>
      <c r="E52" s="181">
        <f>D52*C52</f>
        <v>21.39</v>
      </c>
      <c r="F52" s="182">
        <f>D14</f>
        <v>26.87</v>
      </c>
      <c r="G52" s="38">
        <v>1</v>
      </c>
      <c r="H52" s="183">
        <f>G52*F52</f>
        <v>26.87</v>
      </c>
      <c r="I52" s="184">
        <f t="shared" ref="I52:I72" si="0">H52-E52</f>
        <v>5.48</v>
      </c>
      <c r="J52" s="185">
        <f>IF((H52)=0,"",(I52/E52))</f>
        <v>0.25619448340345957</v>
      </c>
      <c r="K52" s="56"/>
      <c r="L52" s="67"/>
      <c r="M52" s="56"/>
      <c r="N52" s="61"/>
      <c r="O52" s="68"/>
    </row>
    <row r="53" spans="1:17" ht="14.25" x14ac:dyDescent="0.2">
      <c r="A53" s="31" t="s">
        <v>132</v>
      </c>
      <c r="B53" s="97" t="s">
        <v>118</v>
      </c>
      <c r="C53" s="519">
        <f>+C15</f>
        <v>7.11</v>
      </c>
      <c r="D53" s="37">
        <f>+D52</f>
        <v>1</v>
      </c>
      <c r="E53" s="245">
        <f t="shared" ref="E53" si="1">D53*C53</f>
        <v>7.11</v>
      </c>
      <c r="F53" s="520">
        <f>+D15</f>
        <v>0</v>
      </c>
      <c r="G53" s="38">
        <f>+G52</f>
        <v>1</v>
      </c>
      <c r="H53" s="521">
        <f>G53*F53</f>
        <v>0</v>
      </c>
      <c r="I53" s="237">
        <f t="shared" ref="I53" si="2">H53-E53</f>
        <v>-7.11</v>
      </c>
      <c r="J53" s="243" t="str">
        <f>IF((H53)=0,"",(I53/E53))</f>
        <v/>
      </c>
      <c r="K53" s="56"/>
      <c r="L53" s="67"/>
      <c r="M53" s="56"/>
      <c r="N53" s="61"/>
      <c r="O53" s="68"/>
    </row>
    <row r="54" spans="1:17" ht="14.25" x14ac:dyDescent="0.2">
      <c r="A54" s="31" t="s">
        <v>134</v>
      </c>
      <c r="B54" s="96" t="s">
        <v>5</v>
      </c>
      <c r="C54" s="256">
        <f>C17</f>
        <v>2.1000000000000001E-2</v>
      </c>
      <c r="D54" s="39">
        <f>C48</f>
        <v>2000</v>
      </c>
      <c r="E54" s="245">
        <f>D54*C54</f>
        <v>42</v>
      </c>
      <c r="F54" s="257">
        <f>D17</f>
        <v>2.01E-2</v>
      </c>
      <c r="G54" s="40">
        <f>+C48</f>
        <v>2000</v>
      </c>
      <c r="H54" s="522">
        <f>G54*F54</f>
        <v>40.200000000000003</v>
      </c>
      <c r="I54" s="237">
        <f t="shared" si="0"/>
        <v>-1.7999999999999972</v>
      </c>
      <c r="J54" s="243">
        <f>IF((H54)=0,"",(I54/E54))</f>
        <v>-4.2857142857142788E-2</v>
      </c>
      <c r="K54" s="58"/>
      <c r="L54" s="69"/>
      <c r="M54" s="56"/>
      <c r="N54" s="61"/>
      <c r="O54" s="68"/>
    </row>
    <row r="55" spans="1:17" ht="14.25" x14ac:dyDescent="0.2">
      <c r="B55" s="97" t="s">
        <v>130</v>
      </c>
      <c r="C55" s="256"/>
      <c r="D55" s="39"/>
      <c r="E55" s="245">
        <f t="shared" ref="E55" si="3">D55*C55</f>
        <v>0</v>
      </c>
      <c r="F55" s="257">
        <f>+C36</f>
        <v>4.0199999999999996</v>
      </c>
      <c r="G55" s="40">
        <f>+G52</f>
        <v>1</v>
      </c>
      <c r="H55" s="522">
        <f t="shared" ref="H55" si="4">G55*F55</f>
        <v>4.0199999999999996</v>
      </c>
      <c r="I55" s="237">
        <f t="shared" ref="I55" si="5">H55-E55</f>
        <v>4.0199999999999996</v>
      </c>
      <c r="J55" s="243" t="e">
        <f t="shared" ref="J55" si="6">IF((H55)=0,"",(I55/E55))</f>
        <v>#DIV/0!</v>
      </c>
      <c r="K55" s="58"/>
      <c r="L55" s="69"/>
      <c r="M55" s="56"/>
      <c r="N55" s="61"/>
      <c r="O55" s="68"/>
    </row>
    <row r="56" spans="1:17" ht="14.25" x14ac:dyDescent="0.2">
      <c r="B56" s="97" t="s">
        <v>80</v>
      </c>
      <c r="C56" s="240">
        <f>C23</f>
        <v>-1.5E-3</v>
      </c>
      <c r="D56" s="149">
        <f>+C48</f>
        <v>2000</v>
      </c>
      <c r="E56" s="191">
        <f t="shared" ref="E56:E57" si="7">D56*C56</f>
        <v>-3</v>
      </c>
      <c r="F56" s="241">
        <f>D23</f>
        <v>0</v>
      </c>
      <c r="G56" s="150">
        <f>+C48</f>
        <v>2000</v>
      </c>
      <c r="H56" s="192">
        <f>G56*F56</f>
        <v>0</v>
      </c>
      <c r="I56" s="193">
        <f t="shared" si="0"/>
        <v>3</v>
      </c>
      <c r="J56" s="185" t="str">
        <f>IF((H56)=0,"",(I56/E56))</f>
        <v/>
      </c>
      <c r="K56" s="56"/>
      <c r="L56" s="67"/>
      <c r="M56" s="56"/>
      <c r="N56" s="61"/>
      <c r="O56" s="68"/>
    </row>
    <row r="57" spans="1:17" ht="14.25" x14ac:dyDescent="0.2">
      <c r="B57" s="171" t="s">
        <v>120</v>
      </c>
      <c r="C57" s="194">
        <f>C18</f>
        <v>6.9999999999999999E-4</v>
      </c>
      <c r="D57" s="41">
        <f>+C48</f>
        <v>2000</v>
      </c>
      <c r="E57" s="195">
        <f t="shared" si="7"/>
        <v>1.4</v>
      </c>
      <c r="F57" s="196">
        <f>D18</f>
        <v>0</v>
      </c>
      <c r="G57" s="42">
        <f>+C48</f>
        <v>2000</v>
      </c>
      <c r="H57" s="197">
        <f>G57*F57</f>
        <v>0</v>
      </c>
      <c r="I57" s="184">
        <f t="shared" si="0"/>
        <v>-1.4</v>
      </c>
      <c r="J57" s="185" t="str">
        <f t="shared" ref="J57:J71" si="8">IF((H57)=0,"",(I57/E57))</f>
        <v/>
      </c>
      <c r="K57" s="58"/>
      <c r="L57" s="329"/>
      <c r="M57" s="328"/>
      <c r="N57" s="61"/>
      <c r="O57" s="68"/>
    </row>
    <row r="58" spans="1:17" ht="15" x14ac:dyDescent="0.2">
      <c r="B58" s="43" t="s">
        <v>50</v>
      </c>
      <c r="C58" s="198"/>
      <c r="D58" s="83"/>
      <c r="E58" s="199">
        <f>SUM(E52:E57)</f>
        <v>68.900000000000006</v>
      </c>
      <c r="F58" s="200"/>
      <c r="G58" s="84"/>
      <c r="H58" s="201">
        <f>SUM(H52:H57)</f>
        <v>71.09</v>
      </c>
      <c r="I58" s="202">
        <f t="shared" si="0"/>
        <v>2.1899999999999977</v>
      </c>
      <c r="J58" s="203">
        <f t="shared" si="8"/>
        <v>3.1785195936139293E-2</v>
      </c>
      <c r="K58" s="56"/>
      <c r="L58" s="132"/>
      <c r="M58" s="122"/>
      <c r="N58" s="69"/>
      <c r="O58" s="122"/>
    </row>
    <row r="59" spans="1:17" ht="14.25" x14ac:dyDescent="0.2">
      <c r="B59" s="97" t="s">
        <v>51</v>
      </c>
      <c r="C59" s="186">
        <f>C75*E43+C76*E44+C77*E45</f>
        <v>8.2160000000000011E-2</v>
      </c>
      <c r="D59" s="44">
        <f>$C48*($C32-1)</f>
        <v>90.80000000000021</v>
      </c>
      <c r="E59" s="181">
        <f>C59*D59</f>
        <v>7.4601280000000179</v>
      </c>
      <c r="F59" s="187">
        <f>F75*E43+F76*E44+F77*E45</f>
        <v>8.2160000000000011E-2</v>
      </c>
      <c r="G59" s="44">
        <f>$C48*($C32-1)</f>
        <v>90.80000000000021</v>
      </c>
      <c r="H59" s="188">
        <f>F59*G59</f>
        <v>7.4601280000000179</v>
      </c>
      <c r="I59" s="184">
        <f t="shared" si="0"/>
        <v>0</v>
      </c>
      <c r="J59" s="185">
        <f t="shared" si="8"/>
        <v>0</v>
      </c>
      <c r="K59" s="70"/>
      <c r="N59" s="69"/>
      <c r="O59" s="56"/>
    </row>
    <row r="60" spans="1:17" ht="14.25" x14ac:dyDescent="0.2">
      <c r="B60" s="97" t="s">
        <v>129</v>
      </c>
      <c r="C60" s="256"/>
      <c r="D60" s="44"/>
      <c r="E60" s="245">
        <f t="shared" ref="E60:E61" si="9">D60*C60</f>
        <v>0</v>
      </c>
      <c r="F60" s="257">
        <f>+D37</f>
        <v>8.9999999999999998E-4</v>
      </c>
      <c r="G60" s="44">
        <f>+C48</f>
        <v>2000</v>
      </c>
      <c r="H60" s="522">
        <f t="shared" ref="H60:H61" si="10">G60*F60</f>
        <v>1.8</v>
      </c>
      <c r="I60" s="237">
        <f t="shared" ref="I60:I61" si="11">H60-E60</f>
        <v>1.8</v>
      </c>
      <c r="J60" s="243" t="e">
        <f t="shared" ref="J60:J61" si="12">IF((H60)=0,"",(I60/E60))</f>
        <v>#DIV/0!</v>
      </c>
      <c r="K60" s="70"/>
      <c r="N60" s="69"/>
      <c r="O60" s="56"/>
    </row>
    <row r="61" spans="1:17" ht="14.25" x14ac:dyDescent="0.2">
      <c r="B61" s="97" t="s">
        <v>125</v>
      </c>
      <c r="C61" s="256"/>
      <c r="D61" s="44"/>
      <c r="E61" s="245">
        <f t="shared" si="9"/>
        <v>0</v>
      </c>
      <c r="F61" s="257">
        <f>+D38</f>
        <v>1E-3</v>
      </c>
      <c r="G61" s="44">
        <f>+C48</f>
        <v>2000</v>
      </c>
      <c r="H61" s="522">
        <f t="shared" si="10"/>
        <v>2</v>
      </c>
      <c r="I61" s="237">
        <f t="shared" si="11"/>
        <v>2</v>
      </c>
      <c r="J61" s="243" t="e">
        <f t="shared" si="12"/>
        <v>#DIV/0!</v>
      </c>
      <c r="K61" s="70"/>
      <c r="L61" s="327"/>
      <c r="N61" s="69"/>
      <c r="O61" s="56"/>
    </row>
    <row r="62" spans="1:17" ht="14.25" x14ac:dyDescent="0.2">
      <c r="B62" s="97" t="s">
        <v>52</v>
      </c>
      <c r="C62" s="186"/>
      <c r="D62" s="44"/>
      <c r="E62" s="181">
        <f>D62*C62</f>
        <v>0</v>
      </c>
      <c r="F62" s="187">
        <f>+D20</f>
        <v>-2.8E-3</v>
      </c>
      <c r="G62" s="44">
        <f>+C48</f>
        <v>2000</v>
      </c>
      <c r="H62" s="188">
        <f>G62*F62</f>
        <v>-5.6</v>
      </c>
      <c r="I62" s="184">
        <f t="shared" si="0"/>
        <v>-5.6</v>
      </c>
      <c r="J62" s="185" t="e">
        <f t="shared" si="8"/>
        <v>#DIV/0!</v>
      </c>
      <c r="K62" s="70"/>
      <c r="N62" s="69"/>
      <c r="O62" s="56"/>
    </row>
    <row r="63" spans="1:17" ht="14.25" x14ac:dyDescent="0.2">
      <c r="B63" s="97" t="s">
        <v>113</v>
      </c>
      <c r="C63" s="186"/>
      <c r="D63" s="44"/>
      <c r="E63" s="181">
        <f>D63*C63</f>
        <v>0</v>
      </c>
      <c r="F63" s="187">
        <f>D19</f>
        <v>2.0000000000000001E-4</v>
      </c>
      <c r="G63" s="44">
        <f>+C48</f>
        <v>2000</v>
      </c>
      <c r="H63" s="188">
        <f>G63*F63</f>
        <v>0.4</v>
      </c>
      <c r="I63" s="184">
        <f t="shared" si="0"/>
        <v>0.4</v>
      </c>
      <c r="J63" s="185" t="e">
        <f t="shared" si="8"/>
        <v>#DIV/0!</v>
      </c>
      <c r="K63" s="70"/>
      <c r="L63" s="327"/>
      <c r="M63" s="70"/>
      <c r="N63" s="69"/>
      <c r="O63" s="56"/>
      <c r="P63" s="61"/>
      <c r="Q63" s="68"/>
    </row>
    <row r="64" spans="1:17" ht="14.25" x14ac:dyDescent="0.2">
      <c r="B64" s="98" t="s">
        <v>53</v>
      </c>
      <c r="C64" s="238">
        <f>C16</f>
        <v>0.79</v>
      </c>
      <c r="D64" s="44">
        <f>D52</f>
        <v>1</v>
      </c>
      <c r="E64" s="181">
        <f>D64*C64</f>
        <v>0.79</v>
      </c>
      <c r="F64" s="239">
        <f>D16</f>
        <v>0.79</v>
      </c>
      <c r="G64" s="44">
        <f>+G52</f>
        <v>1</v>
      </c>
      <c r="H64" s="188">
        <f>G64*F64</f>
        <v>0.79</v>
      </c>
      <c r="I64" s="184">
        <f t="shared" si="0"/>
        <v>0</v>
      </c>
      <c r="J64" s="185">
        <f t="shared" si="8"/>
        <v>0</v>
      </c>
      <c r="K64" s="70"/>
      <c r="N64" s="69"/>
      <c r="O64" s="56"/>
    </row>
    <row r="65" spans="2:17" ht="15" x14ac:dyDescent="0.2">
      <c r="B65" s="57" t="s">
        <v>54</v>
      </c>
      <c r="C65" s="204"/>
      <c r="D65" s="45"/>
      <c r="E65" s="205">
        <f>SUM(E59:E64)+E58</f>
        <v>77.150128000000024</v>
      </c>
      <c r="F65" s="206"/>
      <c r="G65" s="46"/>
      <c r="H65" s="242">
        <f>SUM(H59:H64)+H58</f>
        <v>77.940128000000016</v>
      </c>
      <c r="I65" s="202">
        <f t="shared" si="0"/>
        <v>0.78999999999999204</v>
      </c>
      <c r="J65" s="203">
        <f t="shared" si="8"/>
        <v>1.0239775622925626E-2</v>
      </c>
      <c r="K65" s="56"/>
      <c r="N65" s="59"/>
      <c r="O65" s="56"/>
    </row>
    <row r="66" spans="2:17" ht="14.25" x14ac:dyDescent="0.2">
      <c r="B66" s="99" t="s">
        <v>55</v>
      </c>
      <c r="C66" s="186">
        <f>C24</f>
        <v>7.0000000000000001E-3</v>
      </c>
      <c r="D66" s="72">
        <f>C48+D59</f>
        <v>2090.8000000000002</v>
      </c>
      <c r="E66" s="181">
        <f>D66*C66</f>
        <v>14.635600000000002</v>
      </c>
      <c r="F66" s="187">
        <f>D24</f>
        <v>6.7999999999999996E-3</v>
      </c>
      <c r="G66" s="276">
        <f>+C48+G59</f>
        <v>2090.8000000000002</v>
      </c>
      <c r="H66" s="188">
        <f>G66*F66</f>
        <v>14.21744</v>
      </c>
      <c r="I66" s="184">
        <f t="shared" si="0"/>
        <v>-0.41816000000000209</v>
      </c>
      <c r="J66" s="185">
        <f t="shared" si="8"/>
        <v>-2.8571428571428709E-2</v>
      </c>
      <c r="K66" s="70"/>
      <c r="N66" s="121"/>
      <c r="O66" s="56"/>
    </row>
    <row r="67" spans="2:17" ht="21.75" customHeight="1" x14ac:dyDescent="0.2">
      <c r="B67" s="100" t="s">
        <v>56</v>
      </c>
      <c r="C67" s="186">
        <f>C25</f>
        <v>5.7999999999999996E-3</v>
      </c>
      <c r="D67" s="72">
        <f>+C48+D59</f>
        <v>2090.8000000000002</v>
      </c>
      <c r="E67" s="181">
        <f>D67*C67</f>
        <v>12.12664</v>
      </c>
      <c r="F67" s="187">
        <f>D25</f>
        <v>6.1999999999999998E-3</v>
      </c>
      <c r="G67" s="276">
        <f>+C48+G59</f>
        <v>2090.8000000000002</v>
      </c>
      <c r="H67" s="188">
        <f>G67*F67</f>
        <v>12.962960000000001</v>
      </c>
      <c r="I67" s="184">
        <f>H67-E67</f>
        <v>0.83632000000000062</v>
      </c>
      <c r="J67" s="185">
        <f t="shared" si="8"/>
        <v>6.8965517241379365E-2</v>
      </c>
      <c r="K67" s="70"/>
      <c r="L67" s="328"/>
      <c r="M67" s="56"/>
      <c r="N67" s="61"/>
      <c r="O67" s="68"/>
    </row>
    <row r="68" spans="2:17" ht="15" x14ac:dyDescent="0.2">
      <c r="B68" s="57" t="s">
        <v>57</v>
      </c>
      <c r="C68" s="204"/>
      <c r="D68" s="45"/>
      <c r="E68" s="205">
        <f>SUM(E65:E67)</f>
        <v>103.91236800000001</v>
      </c>
      <c r="F68" s="207"/>
      <c r="G68" s="49"/>
      <c r="H68" s="208">
        <f>SUM(H65:H67)</f>
        <v>105.12052800000001</v>
      </c>
      <c r="I68" s="202">
        <f t="shared" si="0"/>
        <v>1.2081599999999924</v>
      </c>
      <c r="J68" s="203">
        <f t="shared" si="8"/>
        <v>1.1626719930008642E-2</v>
      </c>
      <c r="K68" s="54"/>
      <c r="L68" s="59"/>
      <c r="M68" s="54"/>
    </row>
    <row r="69" spans="2:17" ht="14.25" x14ac:dyDescent="0.2">
      <c r="B69" s="97" t="s">
        <v>58</v>
      </c>
      <c r="C69" s="209">
        <f>C26</f>
        <v>3.2000000000000002E-3</v>
      </c>
      <c r="D69" s="44">
        <f>C48+D59</f>
        <v>2090.8000000000002</v>
      </c>
      <c r="E69" s="218">
        <f t="shared" ref="E69:E77" si="13">D69*C69</f>
        <v>6.6905600000000005</v>
      </c>
      <c r="F69" s="187">
        <f>D26</f>
        <v>3.2000000000000002E-3</v>
      </c>
      <c r="G69" s="277">
        <f>+C48+G59</f>
        <v>2090.8000000000002</v>
      </c>
      <c r="H69" s="211">
        <f>G69*F69</f>
        <v>6.6905600000000005</v>
      </c>
      <c r="I69" s="237">
        <f t="shared" si="0"/>
        <v>0</v>
      </c>
      <c r="J69" s="185">
        <f t="shared" si="8"/>
        <v>0</v>
      </c>
      <c r="K69" s="70"/>
      <c r="L69" s="71"/>
      <c r="M69" s="56"/>
      <c r="N69" s="61"/>
      <c r="O69" s="62"/>
    </row>
    <row r="70" spans="2:17" ht="14.25" x14ac:dyDescent="0.2">
      <c r="B70" s="97" t="s">
        <v>103</v>
      </c>
      <c r="C70" s="209">
        <f>C27</f>
        <v>4.0000000000000002E-4</v>
      </c>
      <c r="D70" s="166">
        <f>+C48+D59</f>
        <v>2090.8000000000002</v>
      </c>
      <c r="E70" s="218">
        <f t="shared" si="13"/>
        <v>0.83632000000000006</v>
      </c>
      <c r="F70" s="187">
        <f>D27</f>
        <v>4.0000000000000002E-4</v>
      </c>
      <c r="G70" s="277">
        <f>+C48+G59</f>
        <v>2090.8000000000002</v>
      </c>
      <c r="H70" s="211">
        <f>G70*F70</f>
        <v>0.83632000000000006</v>
      </c>
      <c r="I70" s="237">
        <f t="shared" si="0"/>
        <v>0</v>
      </c>
      <c r="J70" s="185">
        <f t="shared" si="8"/>
        <v>0</v>
      </c>
      <c r="K70" s="70"/>
      <c r="L70" s="71"/>
      <c r="M70" s="56"/>
      <c r="N70" s="61"/>
      <c r="O70" s="62"/>
    </row>
    <row r="71" spans="2:17" ht="14.25" x14ac:dyDescent="0.2">
      <c r="B71" s="96" t="s">
        <v>59</v>
      </c>
      <c r="C71" s="209">
        <f>C28</f>
        <v>2.9999999999999997E-4</v>
      </c>
      <c r="D71" s="166">
        <f>+C48+D59</f>
        <v>2090.8000000000002</v>
      </c>
      <c r="E71" s="218">
        <f t="shared" si="13"/>
        <v>0.62724000000000002</v>
      </c>
      <c r="F71" s="187">
        <f>D28</f>
        <v>2.9999999999999997E-4</v>
      </c>
      <c r="G71" s="277">
        <f>+C48+G59</f>
        <v>2090.8000000000002</v>
      </c>
      <c r="H71" s="211">
        <f>G71*F71</f>
        <v>0.62724000000000002</v>
      </c>
      <c r="I71" s="237">
        <f t="shared" si="0"/>
        <v>0</v>
      </c>
      <c r="J71" s="185">
        <f t="shared" si="8"/>
        <v>0</v>
      </c>
      <c r="K71" s="70"/>
      <c r="L71" s="71"/>
      <c r="M71" s="56"/>
      <c r="N71" s="61"/>
      <c r="O71" s="62"/>
    </row>
    <row r="72" spans="2:17" ht="14.25" x14ac:dyDescent="0.2">
      <c r="B72" s="96" t="s">
        <v>60</v>
      </c>
      <c r="C72" s="269">
        <f>C30</f>
        <v>0.25</v>
      </c>
      <c r="D72" s="44">
        <f>D52</f>
        <v>1</v>
      </c>
      <c r="E72" s="218">
        <f t="shared" si="13"/>
        <v>0.25</v>
      </c>
      <c r="F72" s="239">
        <f>D30</f>
        <v>0.25</v>
      </c>
      <c r="G72" s="140">
        <f>+G52</f>
        <v>1</v>
      </c>
      <c r="H72" s="211">
        <f>G72*F72</f>
        <v>0.25</v>
      </c>
      <c r="I72" s="237">
        <f t="shared" si="0"/>
        <v>0</v>
      </c>
      <c r="J72" s="243">
        <f t="shared" ref="J72:J78" si="14">IF((H72)=0,"",(I72/E72))</f>
        <v>0</v>
      </c>
      <c r="K72" s="70"/>
      <c r="L72" s="71"/>
      <c r="M72" s="56"/>
      <c r="N72" s="61"/>
      <c r="O72" s="62"/>
    </row>
    <row r="73" spans="2:17" ht="15" x14ac:dyDescent="0.2">
      <c r="B73" s="57" t="s">
        <v>65</v>
      </c>
      <c r="C73" s="204"/>
      <c r="D73" s="45"/>
      <c r="E73" s="205">
        <f>SUM(E69:E72)</f>
        <v>8.4041200000000007</v>
      </c>
      <c r="F73" s="207"/>
      <c r="G73" s="49"/>
      <c r="H73" s="208">
        <f>SUM(H69:H72)</f>
        <v>8.4041200000000007</v>
      </c>
      <c r="I73" s="205">
        <f>SUM(I69:I72)</f>
        <v>0</v>
      </c>
      <c r="J73" s="203">
        <f t="shared" si="14"/>
        <v>0</v>
      </c>
      <c r="K73" s="70"/>
      <c r="L73" s="71"/>
      <c r="M73" s="56"/>
      <c r="N73" s="61"/>
      <c r="O73" s="62"/>
    </row>
    <row r="74" spans="2:17" ht="15" x14ac:dyDescent="0.2">
      <c r="B74" s="57" t="s">
        <v>11</v>
      </c>
      <c r="C74" s="214">
        <f>C31</f>
        <v>7.0000000000000001E-3</v>
      </c>
      <c r="D74" s="134">
        <f>C48</f>
        <v>2000</v>
      </c>
      <c r="E74" s="215">
        <f t="shared" si="13"/>
        <v>14</v>
      </c>
      <c r="F74" s="216">
        <f>D31</f>
        <v>7.0000000000000001E-3</v>
      </c>
      <c r="G74" s="135">
        <f>D74</f>
        <v>2000</v>
      </c>
      <c r="H74" s="217">
        <f>G74*F74</f>
        <v>14</v>
      </c>
      <c r="I74" s="202">
        <f>H74-E74</f>
        <v>0</v>
      </c>
      <c r="J74" s="203">
        <f t="shared" si="14"/>
        <v>0</v>
      </c>
      <c r="K74" s="70"/>
      <c r="L74" s="71"/>
      <c r="M74" s="56"/>
      <c r="N74" s="61"/>
      <c r="O74" s="62"/>
    </row>
    <row r="75" spans="2:17" ht="14.25" x14ac:dyDescent="0.2">
      <c r="B75" s="97" t="s">
        <v>61</v>
      </c>
      <c r="C75" s="209">
        <f>C43</f>
        <v>6.5000000000000002E-2</v>
      </c>
      <c r="D75" s="44">
        <f>ROUND($C$48*$E43,0)</f>
        <v>1300</v>
      </c>
      <c r="E75" s="218">
        <f t="shared" si="13"/>
        <v>84.5</v>
      </c>
      <c r="F75" s="187">
        <f>C75</f>
        <v>6.5000000000000002E-2</v>
      </c>
      <c r="G75" s="44">
        <f>ROUND($C$48*$E43,0)</f>
        <v>1300</v>
      </c>
      <c r="H75" s="211">
        <f>G75*F75</f>
        <v>84.5</v>
      </c>
      <c r="I75" s="237">
        <f>H75-E75</f>
        <v>0</v>
      </c>
      <c r="J75" s="185">
        <f t="shared" si="14"/>
        <v>0</v>
      </c>
      <c r="K75" s="70"/>
      <c r="L75" s="71"/>
      <c r="M75" s="56"/>
      <c r="N75" s="61"/>
      <c r="O75" s="62"/>
    </row>
    <row r="76" spans="2:17" ht="14.25" x14ac:dyDescent="0.2">
      <c r="B76" s="97" t="s">
        <v>62</v>
      </c>
      <c r="C76" s="209">
        <f>C44</f>
        <v>9.5000000000000001E-2</v>
      </c>
      <c r="D76" s="44">
        <f>ROUND($C$48*$E44,0)</f>
        <v>340</v>
      </c>
      <c r="E76" s="218">
        <f t="shared" si="13"/>
        <v>32.299999999999997</v>
      </c>
      <c r="F76" s="187">
        <f>C76</f>
        <v>9.5000000000000001E-2</v>
      </c>
      <c r="G76" s="44">
        <f>ROUND($C$48*$E44,0)</f>
        <v>340</v>
      </c>
      <c r="H76" s="211">
        <f>G76*F76</f>
        <v>32.299999999999997</v>
      </c>
      <c r="I76" s="237">
        <f>H76-E76</f>
        <v>0</v>
      </c>
      <c r="J76" s="185">
        <f t="shared" si="14"/>
        <v>0</v>
      </c>
      <c r="K76" s="70"/>
      <c r="L76" s="71"/>
      <c r="M76" s="56"/>
      <c r="N76" s="61"/>
      <c r="O76" s="62"/>
    </row>
    <row r="77" spans="2:17" ht="14.25" x14ac:dyDescent="0.2">
      <c r="B77" s="97" t="s">
        <v>63</v>
      </c>
      <c r="C77" s="209">
        <f>C45</f>
        <v>0.13200000000000001</v>
      </c>
      <c r="D77" s="44">
        <f>ROUND($C$48*$E45,0)</f>
        <v>360</v>
      </c>
      <c r="E77" s="218">
        <f t="shared" si="13"/>
        <v>47.52</v>
      </c>
      <c r="F77" s="187">
        <f>C77</f>
        <v>0.13200000000000001</v>
      </c>
      <c r="G77" s="44">
        <f>ROUND($C$48*$E45,0)</f>
        <v>360</v>
      </c>
      <c r="H77" s="211">
        <f>G77*F77</f>
        <v>47.52</v>
      </c>
      <c r="I77" s="237">
        <f>H77-E77</f>
        <v>0</v>
      </c>
      <c r="J77" s="185">
        <f t="shared" si="14"/>
        <v>0</v>
      </c>
      <c r="K77" s="70"/>
      <c r="L77" s="71"/>
      <c r="M77" s="56"/>
      <c r="N77" s="61"/>
      <c r="O77" s="62"/>
    </row>
    <row r="78" spans="2:17" ht="15.75" thickBot="1" x14ac:dyDescent="0.25">
      <c r="B78" s="57" t="s">
        <v>66</v>
      </c>
      <c r="C78" s="204"/>
      <c r="D78" s="45"/>
      <c r="E78" s="205">
        <f>SUM(E75:E77)</f>
        <v>164.32</v>
      </c>
      <c r="F78" s="207"/>
      <c r="G78" s="49"/>
      <c r="H78" s="208">
        <f>SUM(H75:H77)</f>
        <v>164.32</v>
      </c>
      <c r="I78" s="244">
        <f>H78-E78</f>
        <v>0</v>
      </c>
      <c r="J78" s="203">
        <f t="shared" si="14"/>
        <v>0</v>
      </c>
      <c r="K78" s="70"/>
      <c r="L78" s="71"/>
      <c r="M78" s="56"/>
      <c r="N78" s="61"/>
      <c r="O78" s="62"/>
    </row>
    <row r="79" spans="2:17" ht="6.75" customHeight="1" thickBot="1" x14ac:dyDescent="0.25">
      <c r="B79" s="101"/>
      <c r="C79" s="219"/>
      <c r="D79" s="50"/>
      <c r="E79" s="220"/>
      <c r="F79" s="221"/>
      <c r="G79" s="51"/>
      <c r="H79" s="222"/>
      <c r="I79" s="223"/>
      <c r="J79" s="224"/>
      <c r="K79" s="56"/>
      <c r="L79" s="71"/>
      <c r="M79" s="56"/>
      <c r="N79" s="61"/>
      <c r="O79" s="62"/>
      <c r="Q79" s="61"/>
    </row>
    <row r="80" spans="2:17" ht="15" x14ac:dyDescent="0.2">
      <c r="B80" s="81" t="s">
        <v>64</v>
      </c>
      <c r="C80" s="225"/>
      <c r="D80" s="52"/>
      <c r="E80" s="226">
        <f>E78+E74+E73+E68</f>
        <v>290.63648799999999</v>
      </c>
      <c r="F80" s="227"/>
      <c r="G80" s="53"/>
      <c r="H80" s="228">
        <f>H78+H74+H73+H68</f>
        <v>291.84464800000001</v>
      </c>
      <c r="I80" s="184">
        <f>H80-E80</f>
        <v>1.2081600000000208</v>
      </c>
      <c r="J80" s="185">
        <f>IF((H80)=0,"",(I80/E80))</f>
        <v>4.1569453591801617E-3</v>
      </c>
      <c r="K80" s="77"/>
      <c r="L80" s="59"/>
      <c r="M80" s="54"/>
      <c r="N80" s="59"/>
      <c r="O80" s="59"/>
      <c r="Q80" s="59"/>
    </row>
    <row r="81" spans="2:17" ht="14.25" x14ac:dyDescent="0.2">
      <c r="B81" s="82" t="s">
        <v>21</v>
      </c>
      <c r="C81" s="225">
        <v>0.13</v>
      </c>
      <c r="D81" s="55"/>
      <c r="E81" s="229">
        <f>E80*C81</f>
        <v>37.782743439999997</v>
      </c>
      <c r="F81" s="230">
        <v>0.13</v>
      </c>
      <c r="G81" s="37"/>
      <c r="H81" s="231">
        <f>H80*F81</f>
        <v>37.939804240000001</v>
      </c>
      <c r="I81" s="184">
        <f>H81-E81</f>
        <v>0.15706080000000355</v>
      </c>
      <c r="J81" s="185">
        <f>IF((H81)=0,"",(I81/E81))</f>
        <v>4.1569453591801843E-3</v>
      </c>
      <c r="K81" s="55"/>
      <c r="L81" s="61"/>
      <c r="M81" s="56"/>
      <c r="N81" s="61"/>
      <c r="O81" s="62"/>
      <c r="Q81" s="61"/>
    </row>
    <row r="82" spans="2:17" ht="15" x14ac:dyDescent="0.2">
      <c r="B82" s="82" t="s">
        <v>101</v>
      </c>
      <c r="C82" s="225">
        <v>-0.08</v>
      </c>
      <c r="D82" s="55"/>
      <c r="E82" s="229">
        <f>+E80*C82</f>
        <v>-23.250919039999999</v>
      </c>
      <c r="F82" s="230">
        <v>-0.08</v>
      </c>
      <c r="G82" s="37"/>
      <c r="H82" s="231">
        <f>+H80*F82</f>
        <v>-23.347571840000001</v>
      </c>
      <c r="I82" s="184">
        <f>H82-E82</f>
        <v>-9.6652800000001093E-2</v>
      </c>
      <c r="J82" s="185">
        <f>IF((H82)=0,"",(I82/E82))</f>
        <v>4.1569453591801375E-3</v>
      </c>
      <c r="K82" s="78"/>
      <c r="L82" s="59"/>
      <c r="M82" s="54"/>
      <c r="N82" s="59"/>
      <c r="O82" s="60"/>
    </row>
    <row r="83" spans="2:17" ht="15" x14ac:dyDescent="0.2">
      <c r="B83" s="88" t="s">
        <v>87</v>
      </c>
      <c r="C83" s="233"/>
      <c r="D83" s="89"/>
      <c r="E83" s="234">
        <f>SUM(E80:E82)</f>
        <v>305.16831239999999</v>
      </c>
      <c r="F83" s="235"/>
      <c r="G83" s="90"/>
      <c r="H83" s="208">
        <f>SUM(H80:H82)</f>
        <v>306.43688040000001</v>
      </c>
      <c r="I83" s="202">
        <f>H83-E83</f>
        <v>1.2685680000000161</v>
      </c>
      <c r="J83" s="203">
        <f>IF((H83)=0,"",(I83/E83))</f>
        <v>4.1569453591801435E-3</v>
      </c>
      <c r="K83" s="19"/>
      <c r="L83" s="19"/>
      <c r="M83" s="19"/>
      <c r="N83" s="19"/>
      <c r="O83" s="19"/>
    </row>
    <row r="84" spans="2:17" x14ac:dyDescent="0.2">
      <c r="E84" s="170" t="s">
        <v>73</v>
      </c>
    </row>
    <row r="85" spans="2:17" ht="12.75" customHeight="1" x14ac:dyDescent="0.2">
      <c r="B85" s="313" t="s">
        <v>131</v>
      </c>
      <c r="C85" s="578" t="s">
        <v>43</v>
      </c>
      <c r="D85" s="579"/>
      <c r="E85" s="579"/>
      <c r="F85" s="578" t="s">
        <v>44</v>
      </c>
      <c r="G85" s="579"/>
      <c r="H85" s="580"/>
      <c r="I85" s="579" t="s">
        <v>45</v>
      </c>
      <c r="J85" s="580"/>
    </row>
    <row r="86" spans="2:17" x14ac:dyDescent="0.2">
      <c r="B86" s="309" t="s">
        <v>133</v>
      </c>
      <c r="C86" s="316">
        <f>+C52+C53</f>
        <v>28.5</v>
      </c>
      <c r="D86" s="295"/>
      <c r="E86" s="298">
        <f>+E52+E53</f>
        <v>28.5</v>
      </c>
      <c r="F86" s="318">
        <f>+F52+F53</f>
        <v>26.87</v>
      </c>
      <c r="G86" s="296"/>
      <c r="H86" s="301">
        <f>+H52+H53</f>
        <v>26.87</v>
      </c>
      <c r="I86" s="296"/>
      <c r="J86" s="297"/>
    </row>
    <row r="87" spans="2:17" x14ac:dyDescent="0.2">
      <c r="B87" s="311" t="s">
        <v>135</v>
      </c>
      <c r="C87" s="317">
        <f>+C54</f>
        <v>2.1000000000000001E-2</v>
      </c>
      <c r="D87" s="295"/>
      <c r="E87" s="298">
        <f>+E54</f>
        <v>42</v>
      </c>
      <c r="F87" s="319">
        <f>+F54</f>
        <v>2.01E-2</v>
      </c>
      <c r="G87" s="296"/>
      <c r="H87" s="301">
        <f>+H54</f>
        <v>40.200000000000003</v>
      </c>
      <c r="I87" s="296"/>
      <c r="J87" s="297"/>
    </row>
    <row r="88" spans="2:17" x14ac:dyDescent="0.2">
      <c r="B88" s="299"/>
      <c r="C88" s="302"/>
      <c r="D88" s="303"/>
      <c r="E88" s="304">
        <f>SUM(E86:E87)</f>
        <v>70.5</v>
      </c>
      <c r="F88" s="305"/>
      <c r="G88" s="18"/>
      <c r="H88" s="306">
        <f>SUM(H86:H87)</f>
        <v>67.070000000000007</v>
      </c>
      <c r="I88" s="307">
        <f>+H88-E88</f>
        <v>-3.4299999999999926</v>
      </c>
      <c r="J88" s="308">
        <f>+I88/E88</f>
        <v>-4.8652482269503444E-2</v>
      </c>
    </row>
  </sheetData>
  <mergeCells count="13">
    <mergeCell ref="C85:E85"/>
    <mergeCell ref="F85:H85"/>
    <mergeCell ref="I85:J85"/>
    <mergeCell ref="B50:B51"/>
    <mergeCell ref="I50:I51"/>
    <mergeCell ref="J50:J51"/>
    <mergeCell ref="N50:N51"/>
    <mergeCell ref="O50:O51"/>
    <mergeCell ref="B11:E11"/>
    <mergeCell ref="C49:E49"/>
    <mergeCell ref="F49:H49"/>
    <mergeCell ref="I49:J49"/>
    <mergeCell ref="N49:O49"/>
  </mergeCells>
  <pageMargins left="0.75" right="0.75" top="1" bottom="1" header="0.5" footer="0.5"/>
  <pageSetup scale="74" orientation="landscape" r:id="rId1"/>
  <headerFooter alignWithMargins="0">
    <oddFooter>&amp;R&amp;F</oddFooter>
  </headerFooter>
  <ignoredErrors>
    <ignoredError sqref="C56:C57 F52 F56:G56 C59:D59 C64:D64 C66:D67 F66:G67 C69:D72 F69:G72 C74:D77 F74:G77 F54:G54 C54:D54 D57 F59:G61 C52 G57 F63:G64 G62" unlockedFormula="1"/>
    <ignoredError sqref="E65 H65 E68 H68 E73 H73:I7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6"/>
  <sheetViews>
    <sheetView showGridLines="0" topLeftCell="A9" zoomScale="90" zoomScaleNormal="90" workbookViewId="0">
      <selection activeCell="D24" sqref="D24"/>
    </sheetView>
  </sheetViews>
  <sheetFormatPr defaultRowHeight="12.75" x14ac:dyDescent="0.2"/>
  <cols>
    <col min="1" max="1" width="2.28515625" customWidth="1"/>
    <col min="2" max="2" width="46.28515625" customWidth="1"/>
    <col min="3" max="3" width="11" customWidth="1"/>
    <col min="4" max="4" width="11.140625" customWidth="1"/>
    <col min="5" max="5" width="13" customWidth="1"/>
    <col min="6" max="6" width="14" customWidth="1"/>
    <col min="7" max="7" width="9.85546875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3" max="13" width="11" bestFit="1" customWidth="1"/>
    <col min="14" max="14" width="11.5703125" bestFit="1" customWidth="1"/>
    <col min="15" max="15" width="12.28515625" customWidth="1"/>
    <col min="17" max="17" width="9.85546875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22</v>
      </c>
      <c r="C9" s="2"/>
      <c r="D9" s="2"/>
      <c r="E9" s="145"/>
      <c r="F9" s="142" t="s">
        <v>84</v>
      </c>
      <c r="G9" s="2"/>
      <c r="H9" s="2"/>
      <c r="I9" s="2"/>
      <c r="J9" s="2"/>
      <c r="K9" s="2"/>
    </row>
    <row r="10" spans="2:1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8" x14ac:dyDescent="0.25">
      <c r="B11" s="583" t="s">
        <v>23</v>
      </c>
      <c r="C11" s="583"/>
      <c r="D11" s="583"/>
      <c r="E11" s="583"/>
      <c r="F11" s="3"/>
      <c r="G11" s="3"/>
      <c r="H11" s="2"/>
      <c r="I11" s="2"/>
      <c r="J11" s="2"/>
      <c r="K11" s="2"/>
    </row>
    <row r="12" spans="2:11" ht="13.5" thickBot="1" x14ac:dyDescent="0.25">
      <c r="B12" s="142"/>
      <c r="C12" s="167">
        <v>2017</v>
      </c>
      <c r="D12" s="167">
        <v>2018</v>
      </c>
      <c r="E12" s="142"/>
      <c r="F12" s="142"/>
      <c r="G12" s="142"/>
      <c r="H12" s="142"/>
      <c r="I12" s="142"/>
      <c r="J12" s="142"/>
      <c r="K12" s="2"/>
    </row>
    <row r="13" spans="2:11" ht="26.25" thickBot="1" x14ac:dyDescent="0.25">
      <c r="B13" s="4" t="s">
        <v>1</v>
      </c>
      <c r="C13" s="91" t="s">
        <v>2</v>
      </c>
      <c r="D13" s="91" t="s">
        <v>44</v>
      </c>
      <c r="E13" s="142"/>
      <c r="F13" s="142"/>
      <c r="G13" s="142"/>
      <c r="H13" s="142"/>
      <c r="I13" s="142"/>
      <c r="J13" s="142"/>
      <c r="K13" s="2"/>
    </row>
    <row r="14" spans="2:11" x14ac:dyDescent="0.2">
      <c r="B14" s="5" t="s">
        <v>3</v>
      </c>
      <c r="C14" s="6">
        <v>206.66</v>
      </c>
      <c r="D14" s="6">
        <v>207.9</v>
      </c>
      <c r="E14" s="142"/>
      <c r="F14" s="142"/>
      <c r="G14" s="142"/>
      <c r="H14" s="142"/>
      <c r="I14" s="280"/>
      <c r="J14" s="142"/>
      <c r="K14" s="2"/>
    </row>
    <row r="15" spans="2:11" x14ac:dyDescent="0.2">
      <c r="B15" s="9" t="s">
        <v>5</v>
      </c>
      <c r="C15" s="139">
        <v>4.2316000000000003</v>
      </c>
      <c r="D15" s="139">
        <v>4.1398999999999999</v>
      </c>
      <c r="E15" s="142"/>
      <c r="F15" s="142"/>
      <c r="G15" s="142"/>
      <c r="H15" s="142"/>
      <c r="I15" s="281"/>
      <c r="J15" s="142"/>
      <c r="K15" s="2"/>
    </row>
    <row r="16" spans="2:11" x14ac:dyDescent="0.2">
      <c r="B16" s="9" t="s">
        <v>97</v>
      </c>
      <c r="C16" s="139">
        <v>0.26840000000000003</v>
      </c>
      <c r="D16" s="147">
        <v>0</v>
      </c>
      <c r="E16" s="142"/>
      <c r="F16" s="142"/>
      <c r="G16" s="142"/>
      <c r="H16" s="142"/>
      <c r="I16" s="281"/>
      <c r="J16" s="142"/>
      <c r="K16" s="2"/>
    </row>
    <row r="17" spans="2:11" x14ac:dyDescent="0.2">
      <c r="B17" s="9" t="s">
        <v>112</v>
      </c>
      <c r="C17" s="147">
        <v>0</v>
      </c>
      <c r="D17" s="147">
        <v>8.6599999999999996E-2</v>
      </c>
      <c r="E17" s="142"/>
      <c r="F17" s="142"/>
      <c r="G17" s="142"/>
      <c r="H17" s="142"/>
      <c r="I17" s="287"/>
      <c r="J17" s="142"/>
      <c r="K17" s="2"/>
    </row>
    <row r="18" spans="2:11" x14ac:dyDescent="0.2">
      <c r="B18" s="93" t="s">
        <v>110</v>
      </c>
      <c r="C18" s="139"/>
      <c r="D18" s="139">
        <v>0.28289999999999998</v>
      </c>
      <c r="E18" s="142"/>
      <c r="F18" s="142"/>
      <c r="G18" s="142"/>
      <c r="H18" s="142"/>
      <c r="I18" s="281"/>
      <c r="J18" s="142"/>
      <c r="K18" s="2"/>
    </row>
    <row r="19" spans="2:11" x14ac:dyDescent="0.2">
      <c r="B19" s="93" t="s">
        <v>114</v>
      </c>
      <c r="C19" s="139"/>
      <c r="D19" s="139">
        <v>-1.4329000000000001</v>
      </c>
      <c r="E19" s="142"/>
      <c r="F19" s="142"/>
      <c r="G19" s="142"/>
      <c r="H19" s="142"/>
      <c r="I19" s="281"/>
      <c r="J19" s="142"/>
      <c r="K19" s="2"/>
    </row>
    <row r="20" spans="2:11" ht="12.75" customHeight="1" x14ac:dyDescent="0.2">
      <c r="B20" s="146" t="s">
        <v>85</v>
      </c>
      <c r="C20" s="154">
        <f>SUM(C18:C19)</f>
        <v>0</v>
      </c>
      <c r="D20" s="154">
        <f>SUM(D18:D19)</f>
        <v>-1.1500000000000001</v>
      </c>
      <c r="E20" s="142"/>
      <c r="F20" s="142"/>
      <c r="G20" s="142"/>
      <c r="H20" s="142"/>
      <c r="I20" s="281"/>
      <c r="J20" s="142"/>
      <c r="K20" s="2"/>
    </row>
    <row r="21" spans="2:11" x14ac:dyDescent="0.2">
      <c r="B21" s="93" t="s">
        <v>115</v>
      </c>
      <c r="C21" s="139"/>
      <c r="D21" s="139">
        <v>1.2999999999999999E-3</v>
      </c>
      <c r="E21" s="142"/>
      <c r="F21" s="142"/>
      <c r="G21" s="142"/>
      <c r="H21" s="142"/>
      <c r="I21" s="281"/>
      <c r="J21" s="142"/>
      <c r="K21" s="2"/>
    </row>
    <row r="22" spans="2:11" x14ac:dyDescent="0.2">
      <c r="B22" s="93" t="s">
        <v>86</v>
      </c>
      <c r="C22" s="147">
        <v>-0.63649999999999995</v>
      </c>
      <c r="D22" s="147">
        <v>0</v>
      </c>
      <c r="E22" s="142"/>
      <c r="F22" s="142"/>
      <c r="G22" s="142"/>
      <c r="H22" s="142"/>
      <c r="I22" s="287"/>
      <c r="J22" s="142"/>
      <c r="K22" s="2"/>
    </row>
    <row r="23" spans="2:11" x14ac:dyDescent="0.2">
      <c r="B23" s="9" t="s">
        <v>6</v>
      </c>
      <c r="C23" s="153">
        <v>2.7995999999999999</v>
      </c>
      <c r="D23" s="153">
        <v>2.73</v>
      </c>
      <c r="E23" s="142"/>
      <c r="F23" s="142"/>
      <c r="G23" s="142"/>
      <c r="H23" s="142"/>
      <c r="I23" s="281"/>
      <c r="J23" s="142"/>
      <c r="K23" s="2"/>
    </row>
    <row r="24" spans="2:11" ht="30" customHeight="1" x14ac:dyDescent="0.2">
      <c r="B24" s="9" t="s">
        <v>7</v>
      </c>
      <c r="C24" s="153">
        <v>2.2037</v>
      </c>
      <c r="D24" s="153">
        <v>2.3527999999999998</v>
      </c>
      <c r="E24" s="142"/>
      <c r="F24" s="142"/>
      <c r="G24" s="142"/>
      <c r="H24" s="142"/>
      <c r="I24" s="281"/>
      <c r="J24" s="142"/>
      <c r="K24" s="2"/>
    </row>
    <row r="25" spans="2:11" x14ac:dyDescent="0.2">
      <c r="B25" s="9" t="s">
        <v>8</v>
      </c>
      <c r="C25" s="11">
        <v>3.2000000000000002E-3</v>
      </c>
      <c r="D25" s="11">
        <v>3.2000000000000002E-3</v>
      </c>
      <c r="E25" s="142"/>
      <c r="F25" s="142"/>
      <c r="G25" s="142"/>
      <c r="H25" s="142"/>
      <c r="I25" s="136"/>
      <c r="J25" s="142"/>
      <c r="K25" s="2"/>
    </row>
    <row r="26" spans="2:11" x14ac:dyDescent="0.2">
      <c r="B26" s="9" t="s">
        <v>103</v>
      </c>
      <c r="C26" s="11">
        <v>4.0000000000000002E-4</v>
      </c>
      <c r="D26" s="11">
        <v>4.0000000000000002E-4</v>
      </c>
      <c r="E26" s="142"/>
      <c r="F26" s="142"/>
      <c r="G26" s="142"/>
      <c r="H26" s="142"/>
      <c r="I26" s="136"/>
      <c r="J26" s="142"/>
      <c r="K26" s="2"/>
    </row>
    <row r="27" spans="2:11" x14ac:dyDescent="0.2">
      <c r="B27" s="9" t="s">
        <v>9</v>
      </c>
      <c r="C27" s="11">
        <v>2.9999999999999997E-4</v>
      </c>
      <c r="D27" s="11">
        <v>2.9999999999999997E-4</v>
      </c>
      <c r="E27" s="142"/>
      <c r="F27" s="142"/>
      <c r="G27" s="142"/>
      <c r="H27" s="142"/>
      <c r="I27" s="136"/>
      <c r="J27" s="142"/>
      <c r="K27" s="2"/>
    </row>
    <row r="28" spans="2:11" x14ac:dyDescent="0.2">
      <c r="B28" s="93" t="s">
        <v>81</v>
      </c>
      <c r="C28" s="11">
        <v>0</v>
      </c>
      <c r="D28" s="11">
        <v>0</v>
      </c>
      <c r="E28" s="164" t="s">
        <v>105</v>
      </c>
      <c r="F28" s="2"/>
      <c r="G28" s="142"/>
      <c r="H28" s="142"/>
      <c r="I28" s="136"/>
      <c r="J28" s="142"/>
      <c r="K28" s="2"/>
    </row>
    <row r="29" spans="2:11" ht="23.25" customHeight="1" x14ac:dyDescent="0.2">
      <c r="B29" s="9" t="s">
        <v>10</v>
      </c>
      <c r="C29" s="12">
        <v>0.25</v>
      </c>
      <c r="D29" s="12">
        <v>0.25</v>
      </c>
      <c r="E29" s="142"/>
      <c r="F29" s="142"/>
      <c r="G29" s="142"/>
      <c r="H29" s="142"/>
      <c r="I29" s="282"/>
      <c r="J29" s="142"/>
      <c r="K29" s="2"/>
    </row>
    <row r="30" spans="2:11" x14ac:dyDescent="0.2">
      <c r="B30" s="9" t="s">
        <v>11</v>
      </c>
      <c r="C30" s="13">
        <v>7.0000000000000001E-3</v>
      </c>
      <c r="D30" s="13">
        <v>7.0000000000000001E-3</v>
      </c>
      <c r="E30" s="142"/>
      <c r="F30" s="142"/>
      <c r="G30" s="142"/>
      <c r="H30" s="142"/>
      <c r="I30" s="136"/>
      <c r="J30" s="142"/>
      <c r="K30" s="2"/>
    </row>
    <row r="31" spans="2:11" ht="13.5" thickBot="1" x14ac:dyDescent="0.25">
      <c r="B31" s="14" t="s">
        <v>12</v>
      </c>
      <c r="C31" s="15">
        <v>1.0454000000000001</v>
      </c>
      <c r="D31" s="15">
        <v>1.0454000000000001</v>
      </c>
      <c r="E31" s="143"/>
      <c r="F31" s="142"/>
      <c r="G31" s="142"/>
      <c r="H31" s="142"/>
      <c r="I31" s="136"/>
      <c r="J31" s="142"/>
      <c r="K31" s="2"/>
    </row>
    <row r="32" spans="2:11" x14ac:dyDescent="0.2">
      <c r="B32" s="92"/>
      <c r="C32" s="142"/>
      <c r="D32" s="142"/>
      <c r="F32" s="142"/>
      <c r="G32" s="142"/>
      <c r="H32" s="142"/>
      <c r="I32" s="155"/>
      <c r="J32" s="142"/>
      <c r="K32" s="2"/>
    </row>
    <row r="33" spans="2:11" ht="13.5" thickBot="1" x14ac:dyDescent="0.25">
      <c r="B33" s="275" t="s">
        <v>126</v>
      </c>
      <c r="C33" s="144">
        <v>2018</v>
      </c>
      <c r="D33" s="144">
        <v>2018</v>
      </c>
      <c r="F33" s="142"/>
      <c r="G33" s="142"/>
      <c r="H33" s="142"/>
      <c r="I33" s="142"/>
      <c r="J33" s="142"/>
      <c r="K33" s="2"/>
    </row>
    <row r="34" spans="2:11" ht="13.5" thickBot="1" x14ac:dyDescent="0.25">
      <c r="B34" s="551" t="s">
        <v>1</v>
      </c>
      <c r="C34" s="550" t="s">
        <v>127</v>
      </c>
      <c r="D34" s="534" t="s">
        <v>128</v>
      </c>
      <c r="F34" s="142"/>
      <c r="G34" s="142"/>
      <c r="H34" s="142"/>
      <c r="I34" s="142"/>
      <c r="J34" s="142"/>
      <c r="K34" s="2"/>
    </row>
    <row r="35" spans="2:11" x14ac:dyDescent="0.2">
      <c r="B35" s="552" t="s">
        <v>124</v>
      </c>
      <c r="C35" s="558"/>
      <c r="D35" s="556">
        <v>0.31809999999999999</v>
      </c>
      <c r="E35" s="85"/>
      <c r="F35" s="290"/>
      <c r="G35" s="290"/>
      <c r="H35" s="142"/>
      <c r="I35" s="142"/>
      <c r="J35" s="142"/>
      <c r="K35" s="2"/>
    </row>
    <row r="36" spans="2:11" ht="13.5" thickBot="1" x14ac:dyDescent="0.25">
      <c r="B36" s="553" t="s">
        <v>125</v>
      </c>
      <c r="C36" s="559"/>
      <c r="D36" s="557">
        <v>0.41720000000000002</v>
      </c>
      <c r="E36" s="85"/>
      <c r="F36" s="290"/>
      <c r="G36" s="290"/>
      <c r="H36" s="142"/>
      <c r="I36" s="142"/>
      <c r="J36" s="142"/>
      <c r="K36" s="2"/>
    </row>
    <row r="37" spans="2:11" x14ac:dyDescent="0.2">
      <c r="B37" s="92"/>
      <c r="C37" s="142"/>
      <c r="D37" s="142"/>
      <c r="E37" s="85"/>
      <c r="F37" s="142"/>
      <c r="G37" s="142"/>
      <c r="H37" s="142"/>
      <c r="I37" s="142"/>
      <c r="J37" s="142"/>
      <c r="K37" s="2"/>
    </row>
    <row r="38" spans="2:11" x14ac:dyDescent="0.2">
      <c r="B38" s="92"/>
      <c r="C38" s="142"/>
      <c r="D38" s="142"/>
      <c r="E38" s="85"/>
      <c r="F38" s="142"/>
      <c r="G38" s="142"/>
      <c r="H38" s="142"/>
      <c r="I38" s="142"/>
      <c r="J38" s="142"/>
      <c r="K38" s="2"/>
    </row>
    <row r="39" spans="2:11" x14ac:dyDescent="0.2">
      <c r="B39" s="92"/>
      <c r="C39" s="142"/>
      <c r="D39" s="142"/>
      <c r="E39" s="85"/>
      <c r="F39" s="142"/>
      <c r="G39" s="142"/>
      <c r="H39" s="142"/>
      <c r="I39" s="142"/>
      <c r="J39" s="142"/>
      <c r="K39" s="2"/>
    </row>
    <row r="40" spans="2:11" x14ac:dyDescent="0.2">
      <c r="B40" s="92"/>
      <c r="C40" s="142"/>
      <c r="D40" s="142"/>
      <c r="E40" s="85" t="s">
        <v>67</v>
      </c>
      <c r="F40" s="142"/>
      <c r="G40" s="142"/>
      <c r="H40" s="142"/>
      <c r="I40" s="142"/>
      <c r="J40" s="142"/>
      <c r="K40" s="2"/>
    </row>
    <row r="41" spans="2:11" x14ac:dyDescent="0.2">
      <c r="B41" s="92" t="s">
        <v>35</v>
      </c>
      <c r="C41" s="136">
        <v>7.6999999999999999E-2</v>
      </c>
      <c r="D41" s="136">
        <v>7.6999999999999999E-2</v>
      </c>
      <c r="E41" s="168"/>
      <c r="F41" s="142"/>
      <c r="G41" s="142"/>
      <c r="H41" s="142"/>
      <c r="I41" s="142"/>
      <c r="J41" s="142"/>
      <c r="K41" s="2"/>
    </row>
    <row r="42" spans="2:11" x14ac:dyDescent="0.2">
      <c r="B42" s="92" t="s">
        <v>36</v>
      </c>
      <c r="C42" s="136">
        <v>0.09</v>
      </c>
      <c r="D42" s="136">
        <v>0.09</v>
      </c>
      <c r="E42" s="168"/>
      <c r="F42" s="142"/>
      <c r="G42" s="142"/>
      <c r="H42" s="142"/>
      <c r="I42" s="142"/>
      <c r="J42" s="142"/>
      <c r="K42" s="2"/>
    </row>
    <row r="43" spans="2:11" x14ac:dyDescent="0.2">
      <c r="B43" s="92" t="s">
        <v>37</v>
      </c>
      <c r="C43" s="136">
        <v>6.5000000000000002E-2</v>
      </c>
      <c r="D43" s="136">
        <v>6.5000000000000002E-2</v>
      </c>
      <c r="E43" s="168">
        <f>'Res '!E44</f>
        <v>0.65</v>
      </c>
      <c r="F43" s="169">
        <f>C43*E43</f>
        <v>4.2250000000000003E-2</v>
      </c>
      <c r="G43" s="142"/>
      <c r="H43" s="142"/>
      <c r="I43" s="142"/>
      <c r="J43" s="142"/>
      <c r="K43" s="2"/>
    </row>
    <row r="44" spans="2:11" x14ac:dyDescent="0.2">
      <c r="B44" s="92" t="s">
        <v>38</v>
      </c>
      <c r="C44" s="136">
        <v>9.5000000000000001E-2</v>
      </c>
      <c r="D44" s="136">
        <v>9.5000000000000001E-2</v>
      </c>
      <c r="E44" s="168">
        <f>'Res '!E45</f>
        <v>0.17</v>
      </c>
      <c r="F44" s="169">
        <f>C44*E44</f>
        <v>1.6150000000000001E-2</v>
      </c>
      <c r="G44" s="142"/>
      <c r="H44" s="142"/>
      <c r="I44" s="142"/>
      <c r="J44" s="142"/>
      <c r="K44" s="2"/>
    </row>
    <row r="45" spans="2:11" x14ac:dyDescent="0.2">
      <c r="B45" s="92" t="s">
        <v>39</v>
      </c>
      <c r="C45" s="136">
        <v>0.13200000000000001</v>
      </c>
      <c r="D45" s="136">
        <v>0.13200000000000001</v>
      </c>
      <c r="E45" s="168">
        <f>'Res '!E46</f>
        <v>0.18</v>
      </c>
      <c r="F45" s="169">
        <f>C45*E45</f>
        <v>2.376E-2</v>
      </c>
      <c r="G45" s="142"/>
      <c r="H45" s="142"/>
      <c r="I45" s="142"/>
      <c r="J45" s="142"/>
      <c r="K45" s="2"/>
    </row>
    <row r="46" spans="2:11" x14ac:dyDescent="0.2">
      <c r="B46" s="92"/>
      <c r="C46" s="142"/>
      <c r="D46" s="142"/>
      <c r="E46" s="142"/>
      <c r="F46" s="169"/>
      <c r="G46" s="142"/>
      <c r="H46" s="142"/>
      <c r="I46" s="142"/>
      <c r="J46" s="142"/>
      <c r="K46" s="2"/>
    </row>
    <row r="47" spans="2:11" ht="13.5" thickBot="1" x14ac:dyDescent="0.25">
      <c r="B47" s="92"/>
      <c r="C47" s="142"/>
      <c r="D47" s="142"/>
      <c r="E47" s="142"/>
      <c r="F47" s="142"/>
      <c r="G47" s="142"/>
      <c r="H47" s="142"/>
      <c r="I47" s="142"/>
      <c r="J47" s="142"/>
      <c r="K47" s="2"/>
    </row>
    <row r="48" spans="2:11" ht="13.5" thickBot="1" x14ac:dyDescent="0.25">
      <c r="B48" s="102" t="s">
        <v>13</v>
      </c>
      <c r="C48" s="103">
        <v>40000</v>
      </c>
      <c r="D48" s="104" t="s">
        <v>14</v>
      </c>
      <c r="E48" s="105">
        <v>100</v>
      </c>
      <c r="F48" s="106" t="s">
        <v>15</v>
      </c>
      <c r="G48" s="107"/>
      <c r="H48" s="108" t="s">
        <v>16</v>
      </c>
      <c r="I48" s="109"/>
      <c r="J48" s="110">
        <f>C31</f>
        <v>1.0454000000000001</v>
      </c>
      <c r="K48" s="2"/>
    </row>
    <row r="49" spans="1:16" x14ac:dyDescent="0.2">
      <c r="B49" s="94"/>
      <c r="C49" s="578" t="s">
        <v>43</v>
      </c>
      <c r="D49" s="579"/>
      <c r="E49" s="579"/>
      <c r="F49" s="584" t="s">
        <v>44</v>
      </c>
      <c r="G49" s="579"/>
      <c r="H49" s="579"/>
      <c r="I49" s="584" t="s">
        <v>45</v>
      </c>
      <c r="J49" s="580"/>
      <c r="K49" s="65"/>
      <c r="L49" s="65"/>
      <c r="M49" s="64"/>
      <c r="N49" s="575"/>
      <c r="O49" s="575"/>
    </row>
    <row r="50" spans="1:16" ht="18" customHeight="1" x14ac:dyDescent="0.2">
      <c r="B50" s="586" t="str">
        <f>B11</f>
        <v>GENERAL SERVICE 50 to 4,999 KW (Non-RPP)</v>
      </c>
      <c r="C50" s="33" t="s">
        <v>46</v>
      </c>
      <c r="D50" s="33" t="s">
        <v>20</v>
      </c>
      <c r="E50" s="79" t="s">
        <v>47</v>
      </c>
      <c r="F50" s="74" t="s">
        <v>46</v>
      </c>
      <c r="G50" s="34" t="s">
        <v>20</v>
      </c>
      <c r="H50" s="79" t="s">
        <v>47</v>
      </c>
      <c r="I50" s="604" t="s">
        <v>27</v>
      </c>
      <c r="J50" s="581" t="s">
        <v>28</v>
      </c>
      <c r="K50" s="65"/>
      <c r="L50" s="65"/>
      <c r="M50" s="64"/>
      <c r="N50" s="576"/>
      <c r="O50" s="576"/>
    </row>
    <row r="51" spans="1:16" ht="21.75" customHeight="1" x14ac:dyDescent="0.2">
      <c r="B51" s="603"/>
      <c r="C51" s="35" t="s">
        <v>48</v>
      </c>
      <c r="D51" s="35"/>
      <c r="E51" s="73" t="s">
        <v>48</v>
      </c>
      <c r="F51" s="75" t="s">
        <v>48</v>
      </c>
      <c r="G51" s="36"/>
      <c r="H51" s="73" t="s">
        <v>48</v>
      </c>
      <c r="I51" s="605"/>
      <c r="J51" s="582"/>
      <c r="K51" s="66"/>
      <c r="L51" s="66"/>
      <c r="M51" s="64"/>
      <c r="N51" s="576"/>
      <c r="O51" s="577"/>
    </row>
    <row r="52" spans="1:16" ht="14.25" x14ac:dyDescent="0.2">
      <c r="A52" s="31" t="s">
        <v>132</v>
      </c>
      <c r="B52" s="95" t="s">
        <v>49</v>
      </c>
      <c r="C52" s="180">
        <f>C14</f>
        <v>206.66</v>
      </c>
      <c r="D52" s="37">
        <v>1</v>
      </c>
      <c r="E52" s="245">
        <f>D52*C52</f>
        <v>206.66</v>
      </c>
      <c r="F52" s="182">
        <f>D14</f>
        <v>207.9</v>
      </c>
      <c r="G52" s="38">
        <v>1</v>
      </c>
      <c r="H52" s="246">
        <f>G52*F52</f>
        <v>207.9</v>
      </c>
      <c r="I52" s="247">
        <f t="shared" ref="I52:I56" si="0">H52-E52</f>
        <v>1.2400000000000091</v>
      </c>
      <c r="J52" s="185">
        <f t="shared" ref="J52:J74" si="1">IF((H52)=0,"",(I52/E52))</f>
        <v>6.0001935546308387E-3</v>
      </c>
      <c r="K52" s="56"/>
      <c r="L52" s="67"/>
      <c r="M52" s="56"/>
      <c r="N52" s="61"/>
      <c r="O52" s="19"/>
    </row>
    <row r="53" spans="1:16" ht="14.25" x14ac:dyDescent="0.2">
      <c r="A53" s="31" t="s">
        <v>134</v>
      </c>
      <c r="B53" s="95" t="s">
        <v>5</v>
      </c>
      <c r="C53" s="186">
        <f>C15</f>
        <v>4.2316000000000003</v>
      </c>
      <c r="D53" s="39">
        <f>E48</f>
        <v>100</v>
      </c>
      <c r="E53" s="245">
        <f>D53*C53</f>
        <v>423.16</v>
      </c>
      <c r="F53" s="187">
        <f>D15</f>
        <v>4.1398999999999999</v>
      </c>
      <c r="G53" s="40">
        <f>+E48</f>
        <v>100</v>
      </c>
      <c r="H53" s="181">
        <f>G53*F53</f>
        <v>413.99</v>
      </c>
      <c r="I53" s="247">
        <f t="shared" si="0"/>
        <v>-9.1700000000000159</v>
      </c>
      <c r="J53" s="185">
        <f t="shared" si="1"/>
        <v>-2.1670290197561243E-2</v>
      </c>
      <c r="K53" s="58"/>
      <c r="L53" s="69"/>
      <c r="M53" s="56"/>
      <c r="N53" s="61"/>
      <c r="O53" s="19"/>
    </row>
    <row r="54" spans="1:16" ht="14.25" x14ac:dyDescent="0.2">
      <c r="B54" s="97" t="s">
        <v>80</v>
      </c>
      <c r="C54" s="240">
        <f>C22</f>
        <v>-0.63649999999999995</v>
      </c>
      <c r="D54" s="149">
        <f>+E48</f>
        <v>100</v>
      </c>
      <c r="E54" s="245">
        <f t="shared" ref="E54:E55" si="2">D54*C54</f>
        <v>-63.65</v>
      </c>
      <c r="F54" s="241">
        <v>0</v>
      </c>
      <c r="G54" s="150">
        <f>+E48</f>
        <v>100</v>
      </c>
      <c r="H54" s="192">
        <f t="shared" ref="H54:H55" si="3">G54*F54</f>
        <v>0</v>
      </c>
      <c r="I54" s="193">
        <f t="shared" si="0"/>
        <v>63.65</v>
      </c>
      <c r="J54" s="243" t="str">
        <f t="shared" si="1"/>
        <v/>
      </c>
      <c r="K54" s="56"/>
      <c r="L54" s="67"/>
      <c r="M54" s="56"/>
      <c r="N54" s="61"/>
      <c r="O54" s="19"/>
    </row>
    <row r="55" spans="1:16" ht="14.25" x14ac:dyDescent="0.2">
      <c r="B55" s="171" t="s">
        <v>120</v>
      </c>
      <c r="C55" s="194">
        <f>C16</f>
        <v>0.26840000000000003</v>
      </c>
      <c r="D55" s="41">
        <f>+E48</f>
        <v>100</v>
      </c>
      <c r="E55" s="248">
        <f t="shared" si="2"/>
        <v>26.840000000000003</v>
      </c>
      <c r="F55" s="196">
        <f>D16</f>
        <v>0</v>
      </c>
      <c r="G55" s="42">
        <f>+E48</f>
        <v>100</v>
      </c>
      <c r="H55" s="195">
        <f t="shared" si="3"/>
        <v>0</v>
      </c>
      <c r="I55" s="247">
        <f t="shared" si="0"/>
        <v>-26.840000000000003</v>
      </c>
      <c r="J55" s="185" t="str">
        <f t="shared" si="1"/>
        <v/>
      </c>
      <c r="K55" s="58"/>
      <c r="L55" s="329"/>
      <c r="M55" s="328"/>
      <c r="N55" s="61"/>
      <c r="O55" s="19"/>
    </row>
    <row r="56" spans="1:16" ht="15" x14ac:dyDescent="0.2">
      <c r="B56" s="43" t="s">
        <v>50</v>
      </c>
      <c r="C56" s="198"/>
      <c r="D56" s="83"/>
      <c r="E56" s="199">
        <f>SUM(E52:E55)</f>
        <v>593.0100000000001</v>
      </c>
      <c r="F56" s="200"/>
      <c r="G56" s="84"/>
      <c r="H56" s="199">
        <f>SUM(H52:H55)</f>
        <v>621.89</v>
      </c>
      <c r="I56" s="249">
        <f t="shared" si="0"/>
        <v>28.879999999999882</v>
      </c>
      <c r="J56" s="203">
        <f t="shared" si="1"/>
        <v>4.870069644693998E-2</v>
      </c>
      <c r="K56" s="56"/>
      <c r="L56" s="132"/>
      <c r="M56" s="122"/>
      <c r="N56" s="69"/>
      <c r="O56" s="19"/>
      <c r="P56" s="59"/>
    </row>
    <row r="57" spans="1:16" ht="14.25" x14ac:dyDescent="0.2">
      <c r="B57" s="97" t="s">
        <v>51</v>
      </c>
      <c r="C57" s="186">
        <f>C73</f>
        <v>0.1101</v>
      </c>
      <c r="D57" s="44">
        <f>$C48*($C31-1)</f>
        <v>1816.0000000000043</v>
      </c>
      <c r="E57" s="181">
        <f>C57*D57</f>
        <v>199.94160000000048</v>
      </c>
      <c r="F57" s="187">
        <f>C57</f>
        <v>0.1101</v>
      </c>
      <c r="G57" s="44">
        <f>$C48*($C31-1)</f>
        <v>1816.0000000000043</v>
      </c>
      <c r="H57" s="181">
        <f>F57*G57</f>
        <v>199.94160000000048</v>
      </c>
      <c r="I57" s="247">
        <f t="shared" ref="I57:I73" si="4">H57-E57</f>
        <v>0</v>
      </c>
      <c r="J57" s="185">
        <f t="shared" si="1"/>
        <v>0</v>
      </c>
      <c r="K57" s="70"/>
      <c r="N57" s="69"/>
      <c r="O57" s="19"/>
      <c r="P57" s="61"/>
    </row>
    <row r="58" spans="1:16" ht="14.25" x14ac:dyDescent="0.2">
      <c r="B58" s="97" t="s">
        <v>129</v>
      </c>
      <c r="C58" s="256"/>
      <c r="D58" s="44"/>
      <c r="E58" s="245">
        <f t="shared" ref="E58:E59" si="5">D58*C58</f>
        <v>0</v>
      </c>
      <c r="F58" s="257">
        <f>+D35</f>
        <v>0.31809999999999999</v>
      </c>
      <c r="G58" s="44">
        <f>+E48</f>
        <v>100</v>
      </c>
      <c r="H58" s="245">
        <f t="shared" ref="H58:H59" si="6">G58*F58</f>
        <v>31.81</v>
      </c>
      <c r="I58" s="250">
        <f t="shared" ref="I58:I59" si="7">H58-E58</f>
        <v>31.81</v>
      </c>
      <c r="J58" s="243" t="e">
        <f t="shared" ref="J58:J59" si="8">IF((H58)=0,"",(I58/E58))</f>
        <v>#DIV/0!</v>
      </c>
      <c r="K58" s="70"/>
      <c r="N58" s="69"/>
      <c r="O58" s="19"/>
      <c r="P58" s="61"/>
    </row>
    <row r="59" spans="1:16" ht="14.25" x14ac:dyDescent="0.2">
      <c r="B59" s="97" t="s">
        <v>125</v>
      </c>
      <c r="C59" s="256"/>
      <c r="D59" s="44"/>
      <c r="E59" s="245">
        <f t="shared" si="5"/>
        <v>0</v>
      </c>
      <c r="F59" s="257">
        <f>+D36</f>
        <v>0.41720000000000002</v>
      </c>
      <c r="G59" s="44">
        <f>+E48</f>
        <v>100</v>
      </c>
      <c r="H59" s="245">
        <f t="shared" si="6"/>
        <v>41.72</v>
      </c>
      <c r="I59" s="250">
        <f t="shared" si="7"/>
        <v>41.72</v>
      </c>
      <c r="J59" s="243" t="e">
        <f t="shared" si="8"/>
        <v>#DIV/0!</v>
      </c>
      <c r="K59" s="70"/>
      <c r="N59" s="69"/>
      <c r="O59" s="19"/>
      <c r="P59" s="61"/>
    </row>
    <row r="60" spans="1:16" ht="14.25" x14ac:dyDescent="0.2">
      <c r="B60" s="97" t="s">
        <v>121</v>
      </c>
      <c r="C60" s="186"/>
      <c r="D60" s="44"/>
      <c r="E60" s="181">
        <f>D60*C60</f>
        <v>0</v>
      </c>
      <c r="F60" s="187">
        <f>D20</f>
        <v>-1.1500000000000001</v>
      </c>
      <c r="G60" s="44">
        <f>+E48</f>
        <v>100</v>
      </c>
      <c r="H60" s="181">
        <f>G60*F60</f>
        <v>-115.00000000000001</v>
      </c>
      <c r="I60" s="247">
        <f t="shared" si="4"/>
        <v>-115.00000000000001</v>
      </c>
      <c r="J60" s="185" t="e">
        <f t="shared" si="1"/>
        <v>#DIV/0!</v>
      </c>
      <c r="K60" s="70"/>
      <c r="N60" s="69"/>
      <c r="O60" s="19"/>
      <c r="P60" s="61"/>
    </row>
    <row r="61" spans="1:16" ht="14.25" customHeight="1" x14ac:dyDescent="0.2">
      <c r="B61" s="97" t="s">
        <v>113</v>
      </c>
      <c r="C61" s="186"/>
      <c r="D61" s="44"/>
      <c r="E61" s="181">
        <f>D61*C61</f>
        <v>0</v>
      </c>
      <c r="F61" s="187">
        <f>D17</f>
        <v>8.6599999999999996E-2</v>
      </c>
      <c r="G61" s="44">
        <f>+E48</f>
        <v>100</v>
      </c>
      <c r="H61" s="181">
        <f>G61*F61</f>
        <v>8.66</v>
      </c>
      <c r="I61" s="247">
        <f t="shared" si="4"/>
        <v>8.66</v>
      </c>
      <c r="J61" s="185" t="e">
        <f t="shared" si="1"/>
        <v>#DIV/0!</v>
      </c>
      <c r="K61" s="70"/>
      <c r="L61" s="327"/>
      <c r="N61" s="69"/>
      <c r="O61" s="19"/>
      <c r="P61" s="61"/>
    </row>
    <row r="62" spans="1:16" ht="14.25" customHeight="1" x14ac:dyDescent="0.2">
      <c r="B62" s="97" t="s">
        <v>122</v>
      </c>
      <c r="C62" s="186">
        <f>C21</f>
        <v>0</v>
      </c>
      <c r="D62" s="44">
        <f>C48</f>
        <v>40000</v>
      </c>
      <c r="E62" s="181">
        <f>D62*C62</f>
        <v>0</v>
      </c>
      <c r="F62" s="187">
        <f>D21</f>
        <v>1.2999999999999999E-3</v>
      </c>
      <c r="G62" s="44">
        <f>C48</f>
        <v>40000</v>
      </c>
      <c r="H62" s="181">
        <f>G62*F62</f>
        <v>52</v>
      </c>
      <c r="I62" s="247">
        <f t="shared" ref="I62" si="9">H62-E62</f>
        <v>52</v>
      </c>
      <c r="J62" s="185" t="e">
        <f t="shared" ref="J62" si="10">IF((H62)=0,"",(I62/E62))</f>
        <v>#DIV/0!</v>
      </c>
      <c r="K62" s="70"/>
      <c r="N62" s="69"/>
      <c r="O62" s="19"/>
      <c r="P62" s="61"/>
    </row>
    <row r="63" spans="1:16" ht="15" x14ac:dyDescent="0.2">
      <c r="B63" s="57" t="s">
        <v>54</v>
      </c>
      <c r="C63" s="204"/>
      <c r="D63" s="45"/>
      <c r="E63" s="205">
        <f>SUM(E57:E62)+E56</f>
        <v>792.95160000000055</v>
      </c>
      <c r="F63" s="206"/>
      <c r="G63" s="46"/>
      <c r="H63" s="205">
        <f>SUM(H57:H62)+H56</f>
        <v>841.02160000000049</v>
      </c>
      <c r="I63" s="249">
        <f>H63-E63</f>
        <v>48.069999999999936</v>
      </c>
      <c r="J63" s="203">
        <f t="shared" si="1"/>
        <v>6.0621606665526497E-2</v>
      </c>
      <c r="K63" s="56"/>
      <c r="N63" s="59"/>
      <c r="O63" s="19"/>
      <c r="P63" s="59"/>
    </row>
    <row r="64" spans="1:16" ht="14.25" x14ac:dyDescent="0.2">
      <c r="B64" s="99" t="s">
        <v>55</v>
      </c>
      <c r="C64" s="186">
        <f>C23</f>
        <v>2.7995999999999999</v>
      </c>
      <c r="D64" s="72">
        <f>E48</f>
        <v>100</v>
      </c>
      <c r="E64" s="245">
        <f>D64*C64</f>
        <v>279.95999999999998</v>
      </c>
      <c r="F64" s="187">
        <f>D23</f>
        <v>2.73</v>
      </c>
      <c r="G64" s="48">
        <f>+E48</f>
        <v>100</v>
      </c>
      <c r="H64" s="181">
        <f>G64*F64</f>
        <v>273</v>
      </c>
      <c r="I64" s="247">
        <f t="shared" si="4"/>
        <v>-6.9599999999999795</v>
      </c>
      <c r="J64" s="185">
        <f t="shared" si="1"/>
        <v>-2.486069438491206E-2</v>
      </c>
      <c r="K64" s="70"/>
      <c r="N64" s="121"/>
      <c r="O64" s="19"/>
      <c r="P64" s="61"/>
    </row>
    <row r="65" spans="2:17" ht="21.75" customHeight="1" x14ac:dyDescent="0.2">
      <c r="B65" s="100" t="s">
        <v>56</v>
      </c>
      <c r="C65" s="186">
        <f>C24</f>
        <v>2.2037</v>
      </c>
      <c r="D65" s="47">
        <f>+E48</f>
        <v>100</v>
      </c>
      <c r="E65" s="245">
        <f>D65*C65</f>
        <v>220.37</v>
      </c>
      <c r="F65" s="187">
        <f>D24</f>
        <v>2.3527999999999998</v>
      </c>
      <c r="G65" s="48">
        <f>+E48</f>
        <v>100</v>
      </c>
      <c r="H65" s="181">
        <f>G65*F65</f>
        <v>235.27999999999997</v>
      </c>
      <c r="I65" s="247">
        <f t="shared" si="4"/>
        <v>14.909999999999968</v>
      </c>
      <c r="J65" s="185">
        <f t="shared" si="1"/>
        <v>6.7658937241911188E-2</v>
      </c>
      <c r="K65" s="70"/>
      <c r="L65" s="328"/>
      <c r="N65" s="69"/>
      <c r="O65" s="19"/>
      <c r="P65" s="61"/>
    </row>
    <row r="66" spans="2:17" ht="15" x14ac:dyDescent="0.2">
      <c r="B66" s="57" t="s">
        <v>57</v>
      </c>
      <c r="C66" s="204"/>
      <c r="D66" s="45"/>
      <c r="E66" s="205">
        <f>SUM(E63:E65)</f>
        <v>1293.2816000000007</v>
      </c>
      <c r="F66" s="207"/>
      <c r="G66" s="49"/>
      <c r="H66" s="205">
        <f>SUM(H63:H65)</f>
        <v>1349.3016000000005</v>
      </c>
      <c r="I66" s="249">
        <f>H66-E66</f>
        <v>56.019999999999754</v>
      </c>
      <c r="J66" s="203">
        <f t="shared" si="1"/>
        <v>4.3316165636315962E-2</v>
      </c>
      <c r="K66" s="54"/>
      <c r="L66" s="59"/>
      <c r="M66" s="54"/>
      <c r="O66" s="19"/>
    </row>
    <row r="67" spans="2:17" ht="14.25" x14ac:dyDescent="0.2">
      <c r="B67" s="97" t="s">
        <v>58</v>
      </c>
      <c r="C67" s="209">
        <f>C25</f>
        <v>3.2000000000000002E-3</v>
      </c>
      <c r="D67" s="44">
        <f>C48+D57</f>
        <v>41816.000000000007</v>
      </c>
      <c r="E67" s="218">
        <f t="shared" ref="E67:E73" si="11">D67*C67</f>
        <v>133.81120000000004</v>
      </c>
      <c r="F67" s="236">
        <f>D25</f>
        <v>3.2000000000000002E-3</v>
      </c>
      <c r="G67" s="140">
        <f>+C48+G57</f>
        <v>41816.000000000007</v>
      </c>
      <c r="H67" s="211">
        <f t="shared" ref="H67:H73" si="12">G67*F67</f>
        <v>133.81120000000004</v>
      </c>
      <c r="I67" s="237">
        <f t="shared" si="4"/>
        <v>0</v>
      </c>
      <c r="J67" s="185">
        <f t="shared" si="1"/>
        <v>0</v>
      </c>
      <c r="K67" s="70"/>
      <c r="L67" s="71"/>
      <c r="M67" s="56"/>
      <c r="N67" s="61"/>
      <c r="O67" s="19"/>
    </row>
    <row r="68" spans="2:17" ht="14.25" x14ac:dyDescent="0.2">
      <c r="B68" s="97" t="s">
        <v>103</v>
      </c>
      <c r="C68" s="209">
        <f>C26</f>
        <v>4.0000000000000002E-4</v>
      </c>
      <c r="D68" s="44">
        <f>+C48+D57</f>
        <v>41816.000000000007</v>
      </c>
      <c r="E68" s="218">
        <f t="shared" si="11"/>
        <v>16.726400000000005</v>
      </c>
      <c r="F68" s="236">
        <f>D26</f>
        <v>4.0000000000000002E-4</v>
      </c>
      <c r="G68" s="140">
        <f>+C48+G57</f>
        <v>41816.000000000007</v>
      </c>
      <c r="H68" s="211">
        <f t="shared" si="12"/>
        <v>16.726400000000005</v>
      </c>
      <c r="I68" s="237">
        <f t="shared" si="4"/>
        <v>0</v>
      </c>
      <c r="J68" s="185">
        <f t="shared" si="1"/>
        <v>0</v>
      </c>
      <c r="K68" s="70"/>
      <c r="L68" s="71"/>
      <c r="M68" s="56"/>
      <c r="N68" s="61"/>
      <c r="O68" s="19"/>
    </row>
    <row r="69" spans="2:17" ht="14.25" x14ac:dyDescent="0.2">
      <c r="B69" s="96" t="s">
        <v>59</v>
      </c>
      <c r="C69" s="209">
        <f>C27</f>
        <v>2.9999999999999997E-4</v>
      </c>
      <c r="D69" s="44">
        <f>+C48+D57</f>
        <v>41816.000000000007</v>
      </c>
      <c r="E69" s="218">
        <f t="shared" si="11"/>
        <v>12.5448</v>
      </c>
      <c r="F69" s="236">
        <f>D27</f>
        <v>2.9999999999999997E-4</v>
      </c>
      <c r="G69" s="140">
        <f>+C48+G57</f>
        <v>41816.000000000007</v>
      </c>
      <c r="H69" s="218">
        <f t="shared" si="12"/>
        <v>12.5448</v>
      </c>
      <c r="I69" s="250">
        <f t="shared" si="4"/>
        <v>0</v>
      </c>
      <c r="J69" s="185">
        <f t="shared" si="1"/>
        <v>0</v>
      </c>
      <c r="K69" s="70"/>
      <c r="L69" s="71"/>
      <c r="M69" s="56"/>
      <c r="N69" s="61"/>
      <c r="O69" s="19"/>
    </row>
    <row r="70" spans="2:17" ht="14.25" x14ac:dyDescent="0.2">
      <c r="B70" s="96" t="s">
        <v>60</v>
      </c>
      <c r="C70" s="269">
        <f>C29</f>
        <v>0.25</v>
      </c>
      <c r="D70" s="44">
        <f>D52</f>
        <v>1</v>
      </c>
      <c r="E70" s="218">
        <f t="shared" si="11"/>
        <v>0.25</v>
      </c>
      <c r="F70" s="270">
        <f>D29</f>
        <v>0.25</v>
      </c>
      <c r="G70" s="140">
        <f>+G52</f>
        <v>1</v>
      </c>
      <c r="H70" s="218">
        <f t="shared" si="12"/>
        <v>0.25</v>
      </c>
      <c r="I70" s="250">
        <f t="shared" si="4"/>
        <v>0</v>
      </c>
      <c r="J70" s="185">
        <f t="shared" si="1"/>
        <v>0</v>
      </c>
      <c r="K70" s="70"/>
      <c r="L70" s="71"/>
      <c r="M70" s="56"/>
      <c r="N70" s="61"/>
      <c r="O70" s="19"/>
    </row>
    <row r="71" spans="2:17" ht="15" x14ac:dyDescent="0.2">
      <c r="B71" s="57" t="s">
        <v>65</v>
      </c>
      <c r="C71" s="204"/>
      <c r="D71" s="45"/>
      <c r="E71" s="205">
        <f>SUM(E67:E70)</f>
        <v>163.33240000000006</v>
      </c>
      <c r="F71" s="207"/>
      <c r="G71" s="49"/>
      <c r="H71" s="205">
        <f>SUM(H67:H70)</f>
        <v>163.33240000000006</v>
      </c>
      <c r="I71" s="251">
        <f>SUM(I67:I70)</f>
        <v>0</v>
      </c>
      <c r="J71" s="203">
        <f t="shared" si="1"/>
        <v>0</v>
      </c>
      <c r="K71" s="70"/>
      <c r="L71" s="71"/>
      <c r="M71" s="56"/>
      <c r="N71" s="61"/>
      <c r="O71" s="19"/>
    </row>
    <row r="72" spans="2:17" ht="15" x14ac:dyDescent="0.2">
      <c r="B72" s="57" t="s">
        <v>11</v>
      </c>
      <c r="C72" s="214">
        <f>C30</f>
        <v>7.0000000000000001E-3</v>
      </c>
      <c r="D72" s="134">
        <f>C48</f>
        <v>40000</v>
      </c>
      <c r="E72" s="205">
        <f t="shared" si="11"/>
        <v>280</v>
      </c>
      <c r="F72" s="216">
        <f>D30</f>
        <v>7.0000000000000001E-3</v>
      </c>
      <c r="G72" s="135">
        <f>+C48</f>
        <v>40000</v>
      </c>
      <c r="H72" s="215">
        <f t="shared" si="12"/>
        <v>280</v>
      </c>
      <c r="I72" s="249">
        <f t="shared" si="4"/>
        <v>0</v>
      </c>
      <c r="J72" s="203">
        <f t="shared" si="1"/>
        <v>0</v>
      </c>
      <c r="K72" s="70"/>
      <c r="L72" s="71"/>
      <c r="M72" s="56"/>
      <c r="N72" s="61"/>
      <c r="O72" s="19"/>
    </row>
    <row r="73" spans="2:17" ht="14.25" x14ac:dyDescent="0.2">
      <c r="B73" s="97" t="s">
        <v>68</v>
      </c>
      <c r="C73" s="209">
        <f>11.01/100</f>
        <v>0.1101</v>
      </c>
      <c r="D73" s="44">
        <f>C48</f>
        <v>40000</v>
      </c>
      <c r="E73" s="218">
        <f t="shared" si="11"/>
        <v>4404</v>
      </c>
      <c r="F73" s="236">
        <f>C73</f>
        <v>0.1101</v>
      </c>
      <c r="G73" s="140">
        <f>+C48</f>
        <v>40000</v>
      </c>
      <c r="H73" s="211">
        <f t="shared" si="12"/>
        <v>4404</v>
      </c>
      <c r="I73" s="237">
        <f t="shared" si="4"/>
        <v>0</v>
      </c>
      <c r="J73" s="185">
        <f t="shared" si="1"/>
        <v>0</v>
      </c>
      <c r="K73" s="70"/>
      <c r="L73" s="71"/>
      <c r="M73" s="56"/>
      <c r="N73" s="61"/>
      <c r="O73" s="19"/>
    </row>
    <row r="74" spans="2:17" ht="15.75" thickBot="1" x14ac:dyDescent="0.25">
      <c r="B74" s="57" t="s">
        <v>66</v>
      </c>
      <c r="C74" s="204"/>
      <c r="D74" s="45"/>
      <c r="E74" s="205">
        <f>SUM(E73:E73)</f>
        <v>4404</v>
      </c>
      <c r="F74" s="207"/>
      <c r="G74" s="49"/>
      <c r="H74" s="205">
        <f>SUM(H73:H73)</f>
        <v>4404</v>
      </c>
      <c r="I74" s="249">
        <f>H74-E74</f>
        <v>0</v>
      </c>
      <c r="J74" s="203">
        <f t="shared" si="1"/>
        <v>0</v>
      </c>
      <c r="K74" s="70"/>
      <c r="L74" s="71"/>
      <c r="M74" s="56"/>
      <c r="N74" s="61"/>
      <c r="O74" s="19"/>
    </row>
    <row r="75" spans="2:17" ht="8.25" customHeight="1" thickBot="1" x14ac:dyDescent="0.25">
      <c r="B75" s="101"/>
      <c r="C75" s="219"/>
      <c r="D75" s="50"/>
      <c r="E75" s="220"/>
      <c r="F75" s="221"/>
      <c r="G75" s="51"/>
      <c r="H75" s="220"/>
      <c r="I75" s="252"/>
      <c r="J75" s="224"/>
      <c r="K75" s="56"/>
      <c r="L75" s="71"/>
      <c r="M75" s="56"/>
      <c r="N75" s="61"/>
      <c r="O75" s="19"/>
      <c r="Q75" s="61"/>
    </row>
    <row r="76" spans="2:17" ht="15" x14ac:dyDescent="0.2">
      <c r="B76" s="81" t="s">
        <v>136</v>
      </c>
      <c r="C76" s="225"/>
      <c r="D76" s="52"/>
      <c r="E76" s="226">
        <f>E74+E72+E71+E66</f>
        <v>6140.6140000000014</v>
      </c>
      <c r="F76" s="227"/>
      <c r="G76" s="53"/>
      <c r="H76" s="228">
        <f>H74+H72+H71+H66</f>
        <v>6196.6340000000009</v>
      </c>
      <c r="I76" s="237">
        <f>H76-E76</f>
        <v>56.019999999999527</v>
      </c>
      <c r="J76" s="185">
        <f>IF((H76)=0,"",(I76/E76))</f>
        <v>9.1228662150070854E-3</v>
      </c>
      <c r="K76" s="77"/>
      <c r="L76" s="59"/>
      <c r="M76" s="54"/>
      <c r="N76" s="59"/>
      <c r="O76" s="19"/>
      <c r="Q76" s="59"/>
    </row>
    <row r="77" spans="2:17" ht="14.25" x14ac:dyDescent="0.2">
      <c r="B77" s="82" t="s">
        <v>21</v>
      </c>
      <c r="C77" s="225">
        <v>0.13</v>
      </c>
      <c r="D77" s="55"/>
      <c r="E77" s="229">
        <f>E76*C77</f>
        <v>798.2798200000002</v>
      </c>
      <c r="F77" s="230">
        <v>0.13</v>
      </c>
      <c r="G77" s="37"/>
      <c r="H77" s="231">
        <f>H76*F77</f>
        <v>805.5624200000002</v>
      </c>
      <c r="I77" s="237">
        <f>H77-E77</f>
        <v>7.2826000000000022</v>
      </c>
      <c r="J77" s="185">
        <f>IF((H77)=0,"",(I77/E77))</f>
        <v>9.1228662150071634E-3</v>
      </c>
      <c r="K77" s="55"/>
      <c r="L77" s="61"/>
      <c r="M77" s="56"/>
      <c r="N77" s="61"/>
      <c r="O77" s="19"/>
      <c r="Q77" s="61"/>
    </row>
    <row r="78" spans="2:17" ht="15" x14ac:dyDescent="0.2">
      <c r="B78" s="82" t="s">
        <v>101</v>
      </c>
      <c r="C78" s="225">
        <v>0</v>
      </c>
      <c r="D78" s="55"/>
      <c r="E78" s="229">
        <f>+E76*C78</f>
        <v>0</v>
      </c>
      <c r="F78" s="230">
        <v>0</v>
      </c>
      <c r="G78" s="37"/>
      <c r="H78" s="231">
        <f>+H76*F78</f>
        <v>0</v>
      </c>
      <c r="I78" s="237">
        <f>H78-E78</f>
        <v>0</v>
      </c>
      <c r="J78" s="185" t="str">
        <f>IF((H78)=0,"",(I78/E78))</f>
        <v/>
      </c>
      <c r="K78" s="78"/>
      <c r="L78" s="59"/>
      <c r="M78" s="54"/>
      <c r="N78" s="59"/>
      <c r="O78" s="19"/>
    </row>
    <row r="79" spans="2:17" ht="15" x14ac:dyDescent="0.2">
      <c r="B79" s="88" t="s">
        <v>137</v>
      </c>
      <c r="C79" s="233"/>
      <c r="D79" s="89"/>
      <c r="E79" s="234">
        <f>SUM(E76:E78)</f>
        <v>6938.8938200000011</v>
      </c>
      <c r="F79" s="235"/>
      <c r="G79" s="90"/>
      <c r="H79" s="208">
        <f>SUM(H76:H78)</f>
        <v>7002.1964200000011</v>
      </c>
      <c r="I79" s="249">
        <f>H79-E79</f>
        <v>63.302599999999984</v>
      </c>
      <c r="J79" s="203">
        <f>IF((H79)=0,"",(I79/E79))</f>
        <v>9.12286621500716E-3</v>
      </c>
      <c r="K79" s="19"/>
      <c r="L79" s="19"/>
      <c r="M79" s="19"/>
      <c r="N79" s="19"/>
      <c r="O79" s="19"/>
    </row>
    <row r="80" spans="2:17" ht="15" x14ac:dyDescent="0.2">
      <c r="B80" s="162"/>
      <c r="C80" s="55"/>
      <c r="D80" s="55"/>
      <c r="E80" s="59"/>
      <c r="F80" s="78"/>
      <c r="G80" s="78"/>
      <c r="H80" s="59"/>
      <c r="I80" s="59"/>
      <c r="J80" s="163"/>
      <c r="K80" s="19"/>
      <c r="L80" s="19"/>
      <c r="M80" s="19"/>
      <c r="N80" s="19"/>
      <c r="O80" s="19"/>
    </row>
    <row r="81" spans="2:12" x14ac:dyDescent="0.2">
      <c r="B81" s="152" t="s">
        <v>107</v>
      </c>
      <c r="C81" s="152"/>
      <c r="D81" s="152"/>
      <c r="E81" s="152"/>
      <c r="F81" s="152"/>
      <c r="G81" s="152"/>
      <c r="H81" s="152"/>
      <c r="I81" s="152"/>
      <c r="L81" s="133"/>
    </row>
    <row r="82" spans="2:12" x14ac:dyDescent="0.2">
      <c r="L82" s="133"/>
    </row>
    <row r="83" spans="2:12" ht="12.75" customHeight="1" x14ac:dyDescent="0.2">
      <c r="B83" s="313" t="s">
        <v>131</v>
      </c>
      <c r="C83" s="578" t="s">
        <v>43</v>
      </c>
      <c r="D83" s="579"/>
      <c r="E83" s="579"/>
      <c r="F83" s="578" t="s">
        <v>44</v>
      </c>
      <c r="G83" s="579"/>
      <c r="H83" s="580"/>
      <c r="I83" s="579" t="s">
        <v>45</v>
      </c>
      <c r="J83" s="580"/>
    </row>
    <row r="84" spans="2:12" x14ac:dyDescent="0.2">
      <c r="B84" s="309" t="s">
        <v>133</v>
      </c>
      <c r="C84" s="316">
        <f>+C52</f>
        <v>206.66</v>
      </c>
      <c r="D84" s="295"/>
      <c r="E84" s="298">
        <f>+E52</f>
        <v>206.66</v>
      </c>
      <c r="F84" s="318">
        <f>+F52</f>
        <v>207.9</v>
      </c>
      <c r="G84" s="296"/>
      <c r="H84" s="301">
        <f>+H52</f>
        <v>207.9</v>
      </c>
      <c r="I84" s="296"/>
      <c r="J84" s="297"/>
    </row>
    <row r="85" spans="2:12" x14ac:dyDescent="0.2">
      <c r="B85" s="311" t="s">
        <v>135</v>
      </c>
      <c r="C85" s="317">
        <f>+C53</f>
        <v>4.2316000000000003</v>
      </c>
      <c r="D85" s="295"/>
      <c r="E85" s="298">
        <f>+E53</f>
        <v>423.16</v>
      </c>
      <c r="F85" s="320">
        <f>+F53</f>
        <v>4.1398999999999999</v>
      </c>
      <c r="G85" s="296"/>
      <c r="H85" s="301">
        <f>+H53</f>
        <v>413.99</v>
      </c>
      <c r="I85" s="296"/>
      <c r="J85" s="297"/>
    </row>
    <row r="86" spans="2:12" x14ac:dyDescent="0.2">
      <c r="B86" s="299"/>
      <c r="C86" s="302"/>
      <c r="D86" s="303"/>
      <c r="E86" s="304">
        <f>SUM(E84:E85)</f>
        <v>629.82000000000005</v>
      </c>
      <c r="F86" s="305"/>
      <c r="G86" s="18"/>
      <c r="H86" s="306">
        <f>SUM(H84:H85)</f>
        <v>621.89</v>
      </c>
      <c r="I86" s="307">
        <f>+H86-E86</f>
        <v>-7.9300000000000637</v>
      </c>
      <c r="J86" s="308">
        <f>+I86/E86</f>
        <v>-1.2590898987012262E-2</v>
      </c>
    </row>
  </sheetData>
  <mergeCells count="13">
    <mergeCell ref="C83:E83"/>
    <mergeCell ref="F83:H83"/>
    <mergeCell ref="I83:J83"/>
    <mergeCell ref="B50:B51"/>
    <mergeCell ref="I50:I51"/>
    <mergeCell ref="J50:J51"/>
    <mergeCell ref="N50:N51"/>
    <mergeCell ref="O50:O51"/>
    <mergeCell ref="B11:E11"/>
    <mergeCell ref="C49:E49"/>
    <mergeCell ref="F49:H49"/>
    <mergeCell ref="I49:J49"/>
    <mergeCell ref="N49:O49"/>
  </mergeCells>
  <pageMargins left="0.75" right="0.75" top="1" bottom="1" header="0.5" footer="0.5"/>
  <pageSetup scale="80" orientation="landscape" r:id="rId1"/>
  <headerFooter alignWithMargins="0">
    <oddFooter>&amp;R&amp;F</oddFooter>
  </headerFooter>
  <ignoredErrors>
    <ignoredError sqref="C54:C55 D53 F53 C62:D62 F62:G62 C64:D64 C65 F64:F65 C67:D67 C68:C69 C70:D70 F67:F70 C72:D72 F72:F73 C53 C57:D57 F57 C52 F52 D73" unlockedFormula="1"/>
    <ignoredError sqref="E63 H63 E66 H66 E71 H71:I7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9"/>
  <sheetViews>
    <sheetView showGridLines="0" topLeftCell="A9" zoomScale="90" workbookViewId="0">
      <selection activeCell="D23" sqref="D23"/>
    </sheetView>
  </sheetViews>
  <sheetFormatPr defaultRowHeight="12.75" x14ac:dyDescent="0.2"/>
  <cols>
    <col min="1" max="1" width="2.42578125" customWidth="1"/>
    <col min="2" max="2" width="44.85546875" customWidth="1"/>
    <col min="3" max="3" width="11" customWidth="1"/>
    <col min="4" max="4" width="11.140625" customWidth="1"/>
    <col min="5" max="5" width="13" customWidth="1"/>
    <col min="6" max="6" width="11.28515625" customWidth="1"/>
    <col min="7" max="7" width="9.85546875" bestFit="1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4" max="14" width="9.85546875" bestFit="1" customWidth="1"/>
    <col min="15" max="15" width="12.28515625" customWidth="1"/>
    <col min="17" max="17" width="9.8554687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22</v>
      </c>
      <c r="C9" s="2"/>
      <c r="D9" s="2"/>
      <c r="E9" s="145" t="s">
        <v>83</v>
      </c>
      <c r="F9" s="142" t="s">
        <v>84</v>
      </c>
      <c r="G9" s="2"/>
      <c r="H9" s="2"/>
      <c r="I9" s="2"/>
      <c r="J9" s="2"/>
      <c r="K9" s="2"/>
    </row>
    <row r="10" spans="2:1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8" x14ac:dyDescent="0.25">
      <c r="B11" s="583" t="s">
        <v>71</v>
      </c>
      <c r="C11" s="583"/>
      <c r="D11" s="583"/>
      <c r="E11" s="583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144">
        <v>2017</v>
      </c>
      <c r="D12" s="144">
        <v>2018</v>
      </c>
      <c r="E12" s="2"/>
      <c r="F12" s="2"/>
      <c r="G12" s="2"/>
      <c r="H12" s="2"/>
      <c r="I12" s="2"/>
      <c r="J12" s="2"/>
      <c r="K12" s="2"/>
    </row>
    <row r="13" spans="2:11" ht="26.25" thickBot="1" x14ac:dyDescent="0.25">
      <c r="B13" s="4" t="s">
        <v>1</v>
      </c>
      <c r="C13" s="91" t="s">
        <v>2</v>
      </c>
      <c r="D13" s="91" t="s">
        <v>44</v>
      </c>
      <c r="E13" s="2"/>
      <c r="F13" s="2"/>
      <c r="G13" s="2"/>
      <c r="H13" s="2"/>
      <c r="I13" s="2"/>
      <c r="J13" s="2"/>
      <c r="K13" s="2"/>
    </row>
    <row r="14" spans="2:11" x14ac:dyDescent="0.2">
      <c r="B14" s="141" t="s">
        <v>3</v>
      </c>
      <c r="C14" s="6">
        <v>10.01</v>
      </c>
      <c r="D14" s="6">
        <v>10.07</v>
      </c>
      <c r="E14" s="16"/>
      <c r="F14" s="2"/>
      <c r="G14" s="2"/>
      <c r="H14" s="2"/>
      <c r="I14" s="280"/>
      <c r="J14" s="2"/>
      <c r="K14" s="2"/>
    </row>
    <row r="15" spans="2:11" x14ac:dyDescent="0.2">
      <c r="B15" s="93" t="s">
        <v>5</v>
      </c>
      <c r="C15" s="139">
        <v>3.2599999999999997E-2</v>
      </c>
      <c r="D15" s="139">
        <v>3.2500000000000001E-2</v>
      </c>
      <c r="E15" s="16"/>
      <c r="F15" s="2"/>
      <c r="G15" s="2"/>
      <c r="H15" s="2"/>
      <c r="I15" s="281"/>
      <c r="J15" s="2"/>
      <c r="K15" s="2"/>
    </row>
    <row r="16" spans="2:11" x14ac:dyDescent="0.2">
      <c r="B16" s="9" t="s">
        <v>112</v>
      </c>
      <c r="C16" s="147">
        <v>0</v>
      </c>
      <c r="D16" s="147">
        <v>2.0000000000000001E-4</v>
      </c>
      <c r="E16" s="16"/>
      <c r="F16" s="2"/>
      <c r="G16" s="2"/>
      <c r="H16" s="2"/>
      <c r="I16" s="287"/>
      <c r="J16" s="2"/>
      <c r="K16" s="2"/>
    </row>
    <row r="17" spans="2:11" x14ac:dyDescent="0.2">
      <c r="B17" s="93" t="s">
        <v>96</v>
      </c>
      <c r="C17" s="139"/>
      <c r="D17" s="139">
        <v>-3.0999999999999999E-3</v>
      </c>
      <c r="E17" s="16"/>
      <c r="F17" s="2"/>
      <c r="G17" s="2"/>
      <c r="H17" s="2"/>
      <c r="I17" s="281"/>
      <c r="J17" s="2"/>
      <c r="K17" s="2"/>
    </row>
    <row r="18" spans="2:11" x14ac:dyDescent="0.2">
      <c r="B18" s="93" t="s">
        <v>86</v>
      </c>
      <c r="C18" s="147">
        <v>-1.5E-3</v>
      </c>
      <c r="D18" s="147">
        <v>0</v>
      </c>
      <c r="E18" s="2"/>
      <c r="F18" s="2"/>
      <c r="G18" s="2"/>
      <c r="H18" s="2"/>
      <c r="I18" s="287"/>
      <c r="J18" s="2"/>
      <c r="K18" s="2"/>
    </row>
    <row r="19" spans="2:11" x14ac:dyDescent="0.2">
      <c r="B19" s="93" t="s">
        <v>6</v>
      </c>
      <c r="C19" s="153">
        <v>7.0000000000000001E-3</v>
      </c>
      <c r="D19" s="153">
        <v>6.7999999999999996E-3</v>
      </c>
      <c r="E19" s="2"/>
      <c r="F19" s="2"/>
      <c r="G19" s="2"/>
      <c r="H19" s="2"/>
      <c r="I19" s="281"/>
      <c r="J19" s="2"/>
      <c r="K19" s="2"/>
    </row>
    <row r="20" spans="2:11" ht="24.75" customHeight="1" x14ac:dyDescent="0.2">
      <c r="B20" s="93" t="s">
        <v>7</v>
      </c>
      <c r="C20" s="153">
        <v>5.7999999999999996E-3</v>
      </c>
      <c r="D20" s="153">
        <v>6.1999999999999998E-3</v>
      </c>
      <c r="E20" s="2"/>
      <c r="F20" s="2"/>
      <c r="G20" s="2"/>
      <c r="H20" s="2"/>
      <c r="I20" s="281"/>
      <c r="J20" s="2"/>
      <c r="K20" s="2"/>
    </row>
    <row r="21" spans="2:11" x14ac:dyDescent="0.2">
      <c r="B21" s="93" t="s">
        <v>8</v>
      </c>
      <c r="C21" s="11">
        <v>3.2000000000000002E-3</v>
      </c>
      <c r="D21" s="11">
        <v>3.2000000000000002E-3</v>
      </c>
      <c r="E21" s="2"/>
      <c r="F21" s="2"/>
      <c r="G21" s="2"/>
      <c r="H21" s="2"/>
      <c r="I21" s="136"/>
      <c r="J21" s="2"/>
      <c r="K21" s="2"/>
    </row>
    <row r="22" spans="2:11" x14ac:dyDescent="0.2">
      <c r="B22" s="93" t="s">
        <v>103</v>
      </c>
      <c r="C22" s="11">
        <v>4.0000000000000002E-4</v>
      </c>
      <c r="D22" s="11">
        <v>4.0000000000000002E-4</v>
      </c>
      <c r="E22" s="2"/>
      <c r="F22" s="2"/>
      <c r="G22" s="2"/>
      <c r="H22" s="2"/>
      <c r="I22" s="136"/>
      <c r="J22" s="2"/>
      <c r="K22" s="2"/>
    </row>
    <row r="23" spans="2:11" x14ac:dyDescent="0.2">
      <c r="B23" s="93" t="s">
        <v>9</v>
      </c>
      <c r="C23" s="11">
        <v>2.9999999999999997E-4</v>
      </c>
      <c r="D23" s="11">
        <v>2.9999999999999997E-4</v>
      </c>
      <c r="E23" s="2"/>
      <c r="F23" s="2"/>
      <c r="G23" s="2"/>
      <c r="H23" s="2"/>
      <c r="I23" s="136"/>
      <c r="J23" s="2"/>
      <c r="K23" s="2"/>
    </row>
    <row r="24" spans="2:11" x14ac:dyDescent="0.2">
      <c r="B24" s="93" t="s">
        <v>81</v>
      </c>
      <c r="C24" s="11">
        <v>0</v>
      </c>
      <c r="D24" s="11">
        <v>0</v>
      </c>
      <c r="E24" s="164" t="s">
        <v>105</v>
      </c>
      <c r="F24" s="2"/>
      <c r="G24" s="2"/>
      <c r="H24" s="2"/>
      <c r="I24" s="136"/>
      <c r="J24" s="2"/>
      <c r="K24" s="2"/>
    </row>
    <row r="25" spans="2:11" ht="23.25" customHeight="1" x14ac:dyDescent="0.2">
      <c r="B25" s="93" t="s">
        <v>10</v>
      </c>
      <c r="C25" s="12">
        <v>0.25</v>
      </c>
      <c r="D25" s="12">
        <v>0.25</v>
      </c>
      <c r="E25" s="2"/>
      <c r="F25" s="2"/>
      <c r="G25" s="2"/>
      <c r="H25" s="2"/>
      <c r="I25" s="282"/>
      <c r="J25" s="2"/>
      <c r="K25" s="2"/>
    </row>
    <row r="26" spans="2:11" x14ac:dyDescent="0.2">
      <c r="B26" s="93" t="s">
        <v>11</v>
      </c>
      <c r="C26" s="13">
        <v>7.0000000000000001E-3</v>
      </c>
      <c r="D26" s="13">
        <v>7.0000000000000001E-3</v>
      </c>
      <c r="E26" s="2"/>
      <c r="F26" s="2"/>
      <c r="G26" s="2"/>
      <c r="H26" s="2"/>
      <c r="I26" s="136"/>
      <c r="J26" s="2"/>
      <c r="K26" s="2"/>
    </row>
    <row r="27" spans="2:11" ht="13.5" thickBot="1" x14ac:dyDescent="0.25">
      <c r="B27" s="14" t="s">
        <v>12</v>
      </c>
      <c r="C27" s="15">
        <v>1.0454000000000001</v>
      </c>
      <c r="D27" s="15">
        <v>1.0454000000000001</v>
      </c>
      <c r="E27" s="2"/>
      <c r="F27" s="2"/>
      <c r="G27" s="2"/>
      <c r="H27" s="2"/>
      <c r="I27" s="136"/>
      <c r="J27" s="2"/>
      <c r="K27" s="2"/>
    </row>
    <row r="28" spans="2:11" x14ac:dyDescent="0.2">
      <c r="B28" s="273"/>
      <c r="C28" s="136"/>
      <c r="D28" s="136"/>
      <c r="E28" s="2"/>
      <c r="F28" s="2"/>
      <c r="G28" s="2"/>
      <c r="H28" s="2"/>
      <c r="I28" s="2"/>
      <c r="J28" s="2"/>
      <c r="K28" s="2"/>
    </row>
    <row r="29" spans="2:11" ht="13.5" thickBot="1" x14ac:dyDescent="0.25">
      <c r="B29" s="275" t="s">
        <v>126</v>
      </c>
      <c r="C29" s="144">
        <v>2018</v>
      </c>
      <c r="D29" s="144">
        <v>2018</v>
      </c>
      <c r="E29" s="2"/>
      <c r="F29" s="2"/>
      <c r="G29" s="2"/>
      <c r="H29" s="2"/>
      <c r="I29" s="2"/>
      <c r="J29" s="2"/>
      <c r="K29" s="2"/>
    </row>
    <row r="30" spans="2:11" ht="13.5" thickBot="1" x14ac:dyDescent="0.25">
      <c r="B30" s="551" t="s">
        <v>1</v>
      </c>
      <c r="C30" s="534" t="s">
        <v>127</v>
      </c>
      <c r="D30" s="534" t="s">
        <v>128</v>
      </c>
      <c r="E30" s="2"/>
      <c r="F30" s="2"/>
      <c r="G30" s="2"/>
      <c r="H30" s="2"/>
      <c r="I30" s="2"/>
      <c r="J30" s="2"/>
      <c r="K30" s="2"/>
    </row>
    <row r="31" spans="2:11" x14ac:dyDescent="0.2">
      <c r="B31" s="552" t="s">
        <v>124</v>
      </c>
      <c r="C31" s="556"/>
      <c r="D31" s="556">
        <v>8.9999999999999998E-4</v>
      </c>
      <c r="E31" s="2"/>
      <c r="F31" s="290"/>
      <c r="G31" s="290"/>
      <c r="H31" s="2"/>
      <c r="I31" s="2"/>
      <c r="J31" s="2"/>
      <c r="K31" s="2"/>
    </row>
    <row r="32" spans="2:11" ht="13.5" thickBot="1" x14ac:dyDescent="0.25">
      <c r="B32" s="553" t="s">
        <v>125</v>
      </c>
      <c r="C32" s="557"/>
      <c r="D32" s="557">
        <v>1E-3</v>
      </c>
      <c r="E32" s="2"/>
      <c r="F32" s="290"/>
      <c r="G32" s="290"/>
      <c r="H32" s="2"/>
      <c r="I32" s="2"/>
      <c r="J32" s="2"/>
      <c r="K32" s="2"/>
    </row>
    <row r="33" spans="1:12" x14ac:dyDescent="0.2">
      <c r="B33" s="273"/>
      <c r="C33" s="136"/>
      <c r="D33" s="136"/>
      <c r="E33" s="2"/>
      <c r="F33" s="2"/>
      <c r="G33" s="2"/>
      <c r="H33" s="2"/>
      <c r="I33" s="2"/>
      <c r="J33" s="2"/>
      <c r="K33" s="2"/>
    </row>
    <row r="34" spans="1:12" x14ac:dyDescent="0.2">
      <c r="B34" s="273"/>
      <c r="C34" s="136"/>
      <c r="D34" s="136"/>
      <c r="E34" s="2"/>
      <c r="F34" s="2"/>
      <c r="G34" s="2"/>
      <c r="H34" s="2"/>
      <c r="I34" s="2"/>
      <c r="J34" s="2"/>
      <c r="K34" s="2"/>
    </row>
    <row r="35" spans="1:12" x14ac:dyDescent="0.2">
      <c r="B35" s="92"/>
      <c r="C35" s="2"/>
      <c r="D35" s="2"/>
      <c r="E35" s="85" t="s">
        <v>67</v>
      </c>
      <c r="F35" s="2"/>
      <c r="G35" s="2"/>
      <c r="H35" s="2"/>
      <c r="I35" s="2"/>
      <c r="J35" s="2"/>
      <c r="K35" s="2"/>
    </row>
    <row r="36" spans="1:12" x14ac:dyDescent="0.2">
      <c r="B36" s="92" t="s">
        <v>35</v>
      </c>
      <c r="C36" s="136">
        <v>7.6999999999999999E-2</v>
      </c>
      <c r="D36" s="136">
        <v>7.6999999999999999E-2</v>
      </c>
      <c r="E36" s="86"/>
      <c r="F36" s="2"/>
      <c r="G36" s="2"/>
      <c r="H36" s="2"/>
      <c r="I36" s="2"/>
      <c r="J36" s="2"/>
      <c r="K36" s="2"/>
    </row>
    <row r="37" spans="1:12" x14ac:dyDescent="0.2">
      <c r="B37" s="92" t="s">
        <v>36</v>
      </c>
      <c r="C37" s="136">
        <v>0.09</v>
      </c>
      <c r="D37" s="136">
        <v>0.09</v>
      </c>
      <c r="E37" s="86"/>
      <c r="F37" s="2"/>
      <c r="G37" s="2"/>
      <c r="H37" s="2"/>
      <c r="I37" s="2"/>
      <c r="J37" s="2"/>
      <c r="K37" s="2"/>
    </row>
    <row r="38" spans="1:12" x14ac:dyDescent="0.2">
      <c r="B38" s="92" t="s">
        <v>37</v>
      </c>
      <c r="C38" s="136">
        <v>6.5000000000000002E-2</v>
      </c>
      <c r="D38" s="136">
        <v>6.5000000000000002E-2</v>
      </c>
      <c r="E38" s="86">
        <f>+'Res '!E44</f>
        <v>0.65</v>
      </c>
      <c r="F38" s="87">
        <f>C38*E38</f>
        <v>4.2250000000000003E-2</v>
      </c>
      <c r="G38" s="2"/>
      <c r="H38" s="2"/>
      <c r="I38" s="2"/>
      <c r="J38" s="2"/>
      <c r="K38" s="2"/>
    </row>
    <row r="39" spans="1:12" x14ac:dyDescent="0.2">
      <c r="B39" s="92" t="s">
        <v>38</v>
      </c>
      <c r="C39" s="136">
        <v>9.5000000000000001E-2</v>
      </c>
      <c r="D39" s="136">
        <v>9.5000000000000001E-2</v>
      </c>
      <c r="E39" s="86">
        <f>+'Res '!E45</f>
        <v>0.17</v>
      </c>
      <c r="F39" s="87">
        <f>C39*E39</f>
        <v>1.6150000000000001E-2</v>
      </c>
      <c r="G39" s="2"/>
      <c r="H39" s="2"/>
      <c r="I39" s="2"/>
      <c r="J39" s="2"/>
      <c r="K39" s="2"/>
    </row>
    <row r="40" spans="1:12" x14ac:dyDescent="0.2">
      <c r="B40" s="92" t="s">
        <v>39</v>
      </c>
      <c r="C40" s="136">
        <v>0.13200000000000001</v>
      </c>
      <c r="D40" s="136">
        <v>0.13200000000000001</v>
      </c>
      <c r="E40" s="86">
        <f>+'Res '!E46</f>
        <v>0.18</v>
      </c>
      <c r="F40" s="87">
        <f>C40*E40</f>
        <v>2.376E-2</v>
      </c>
      <c r="G40" s="2"/>
      <c r="H40" s="2"/>
      <c r="I40" s="2"/>
      <c r="J40" s="2"/>
      <c r="K40" s="2"/>
    </row>
    <row r="41" spans="1:12" x14ac:dyDescent="0.2">
      <c r="B41" s="92"/>
      <c r="C41" s="2"/>
      <c r="D41" s="2"/>
      <c r="E41" s="2"/>
      <c r="F41" s="87"/>
      <c r="G41" s="2"/>
      <c r="H41" s="2"/>
      <c r="I41" s="2"/>
      <c r="J41" s="2"/>
      <c r="K41" s="2"/>
    </row>
    <row r="42" spans="1:12" ht="13.5" thickBot="1" x14ac:dyDescent="0.25">
      <c r="B42" s="92"/>
      <c r="C42" s="2"/>
      <c r="D42" s="2"/>
      <c r="E42" s="2"/>
      <c r="F42" s="2"/>
      <c r="G42" s="2"/>
      <c r="H42" s="2"/>
      <c r="I42" s="2"/>
      <c r="J42" s="2"/>
      <c r="K42" s="2"/>
    </row>
    <row r="43" spans="1:12" ht="13.5" thickBot="1" x14ac:dyDescent="0.25">
      <c r="B43" s="102" t="s">
        <v>13</v>
      </c>
      <c r="C43" s="103">
        <v>500</v>
      </c>
      <c r="D43" s="104" t="s">
        <v>14</v>
      </c>
      <c r="E43" s="537"/>
      <c r="F43" s="538"/>
      <c r="G43" s="107"/>
      <c r="H43" s="108" t="s">
        <v>16</v>
      </c>
      <c r="I43" s="109"/>
      <c r="J43" s="110">
        <f>C27</f>
        <v>1.0454000000000001</v>
      </c>
      <c r="K43" s="2"/>
    </row>
    <row r="44" spans="1:12" ht="13.5" thickBot="1" x14ac:dyDescent="0.25">
      <c r="B44" s="102" t="s">
        <v>17</v>
      </c>
      <c r="C44" s="111">
        <v>750</v>
      </c>
      <c r="D44" s="104" t="s">
        <v>14</v>
      </c>
      <c r="E44" s="539"/>
      <c r="F44" s="540"/>
      <c r="G44" s="107"/>
      <c r="H44" s="541" t="s">
        <v>19</v>
      </c>
      <c r="I44" s="114"/>
      <c r="J44" s="115">
        <f>D27</f>
        <v>1.0454000000000001</v>
      </c>
      <c r="K44" s="2"/>
    </row>
    <row r="45" spans="1:12" x14ac:dyDescent="0.2">
      <c r="B45" s="94"/>
      <c r="C45" s="601" t="s">
        <v>43</v>
      </c>
      <c r="D45" s="602"/>
      <c r="E45" s="579"/>
      <c r="F45" s="584" t="s">
        <v>44</v>
      </c>
      <c r="G45" s="579"/>
      <c r="H45" s="585"/>
      <c r="I45" s="584" t="s">
        <v>45</v>
      </c>
      <c r="J45" s="580"/>
      <c r="K45" s="65"/>
      <c r="L45" s="65"/>
    </row>
    <row r="46" spans="1:12" x14ac:dyDescent="0.2">
      <c r="B46" s="586" t="str">
        <f>B11</f>
        <v xml:space="preserve">UNMETERED SCATTERED LOAD (RPP TIER) </v>
      </c>
      <c r="C46" s="33" t="s">
        <v>46</v>
      </c>
      <c r="D46" s="33" t="s">
        <v>20</v>
      </c>
      <c r="E46" s="79" t="s">
        <v>47</v>
      </c>
      <c r="F46" s="74" t="s">
        <v>46</v>
      </c>
      <c r="G46" s="34" t="s">
        <v>20</v>
      </c>
      <c r="H46" s="79" t="s">
        <v>47</v>
      </c>
      <c r="I46" s="604" t="s">
        <v>27</v>
      </c>
      <c r="J46" s="581" t="s">
        <v>28</v>
      </c>
      <c r="K46" s="65"/>
      <c r="L46" s="65"/>
    </row>
    <row r="47" spans="1:12" ht="27" customHeight="1" x14ac:dyDescent="0.2">
      <c r="B47" s="606"/>
      <c r="C47" s="35" t="s">
        <v>48</v>
      </c>
      <c r="D47" s="35"/>
      <c r="E47" s="73" t="s">
        <v>48</v>
      </c>
      <c r="F47" s="75" t="s">
        <v>48</v>
      </c>
      <c r="G47" s="36"/>
      <c r="H47" s="73" t="s">
        <v>48</v>
      </c>
      <c r="I47" s="605"/>
      <c r="J47" s="582"/>
      <c r="K47" s="66"/>
      <c r="L47" s="66"/>
    </row>
    <row r="48" spans="1:12" ht="14.25" x14ac:dyDescent="0.2">
      <c r="A48" s="31" t="s">
        <v>132</v>
      </c>
      <c r="B48" s="95" t="s">
        <v>49</v>
      </c>
      <c r="C48" s="180">
        <f>C14</f>
        <v>10.01</v>
      </c>
      <c r="D48" s="37">
        <v>1</v>
      </c>
      <c r="E48" s="245">
        <f>D48*C48</f>
        <v>10.01</v>
      </c>
      <c r="F48" s="182">
        <f>D14</f>
        <v>10.07</v>
      </c>
      <c r="G48" s="38">
        <v>1</v>
      </c>
      <c r="H48" s="246">
        <f>G48*F48</f>
        <v>10.07</v>
      </c>
      <c r="I48" s="247">
        <f t="shared" ref="I48:I51" si="0">H48-E48</f>
        <v>6.0000000000000497E-2</v>
      </c>
      <c r="J48" s="185">
        <f t="shared" ref="J48:J69" si="1">IF((H48)=0,"",(I48/E48))</f>
        <v>5.9940059940060434E-3</v>
      </c>
      <c r="K48" s="56"/>
      <c r="L48" s="67"/>
    </row>
    <row r="49" spans="1:19" ht="14.25" x14ac:dyDescent="0.2">
      <c r="A49" s="31" t="s">
        <v>134</v>
      </c>
      <c r="B49" s="95" t="s">
        <v>5</v>
      </c>
      <c r="C49" s="186">
        <f>C15</f>
        <v>3.2599999999999997E-2</v>
      </c>
      <c r="D49" s="39">
        <f>C43</f>
        <v>500</v>
      </c>
      <c r="E49" s="245">
        <f>D49*C49</f>
        <v>16.299999999999997</v>
      </c>
      <c r="F49" s="187">
        <f>D15</f>
        <v>3.2500000000000001E-2</v>
      </c>
      <c r="G49" s="40">
        <f>+C43</f>
        <v>500</v>
      </c>
      <c r="H49" s="181">
        <f>G49*F49</f>
        <v>16.25</v>
      </c>
      <c r="I49" s="247">
        <f t="shared" si="0"/>
        <v>-4.9999999999997158E-2</v>
      </c>
      <c r="J49" s="185">
        <f t="shared" si="1"/>
        <v>-3.0674846625765133E-3</v>
      </c>
      <c r="K49" s="58"/>
      <c r="L49" s="69"/>
    </row>
    <row r="50" spans="1:19" ht="14.25" x14ac:dyDescent="0.2">
      <c r="B50" s="97" t="s">
        <v>80</v>
      </c>
      <c r="C50" s="240">
        <f>C18</f>
        <v>-1.5E-3</v>
      </c>
      <c r="D50" s="149">
        <f>+C43</f>
        <v>500</v>
      </c>
      <c r="E50" s="191">
        <f t="shared" ref="E50" si="2">D50*C50</f>
        <v>-0.75</v>
      </c>
      <c r="F50" s="267">
        <f>D18</f>
        <v>0</v>
      </c>
      <c r="G50" s="150">
        <f>+C43</f>
        <v>500</v>
      </c>
      <c r="H50" s="192">
        <f t="shared" ref="H50" si="3">G50*F50</f>
        <v>0</v>
      </c>
      <c r="I50" s="193">
        <f t="shared" si="0"/>
        <v>0.75</v>
      </c>
      <c r="J50" s="185" t="str">
        <f t="shared" si="1"/>
        <v/>
      </c>
      <c r="K50" s="56"/>
      <c r="L50" s="67"/>
    </row>
    <row r="51" spans="1:19" ht="15" x14ac:dyDescent="0.2">
      <c r="B51" s="57" t="s">
        <v>50</v>
      </c>
      <c r="C51" s="330"/>
      <c r="D51" s="331"/>
      <c r="E51" s="332">
        <f>SUM(E48:E50)</f>
        <v>25.559999999999995</v>
      </c>
      <c r="F51" s="260"/>
      <c r="G51" s="49"/>
      <c r="H51" s="333">
        <f>SUM(H48:H50)</f>
        <v>26.32</v>
      </c>
      <c r="I51" s="249">
        <f t="shared" si="0"/>
        <v>0.76000000000000512</v>
      </c>
      <c r="J51" s="203">
        <f t="shared" si="1"/>
        <v>2.9733959311424307E-2</v>
      </c>
      <c r="K51" s="56"/>
      <c r="L51" s="132"/>
    </row>
    <row r="52" spans="1:19" ht="14.25" x14ac:dyDescent="0.2">
      <c r="B52" s="97" t="s">
        <v>51</v>
      </c>
      <c r="C52" s="186">
        <f>+C36</f>
        <v>7.6999999999999999E-2</v>
      </c>
      <c r="D52" s="44">
        <f>$C43*($C27-1)</f>
        <v>22.700000000000053</v>
      </c>
      <c r="E52" s="181">
        <f>C52*D52</f>
        <v>1.747900000000004</v>
      </c>
      <c r="F52" s="187">
        <f>+C52</f>
        <v>7.6999999999999999E-2</v>
      </c>
      <c r="G52" s="44">
        <f>$C43*($C27-1)</f>
        <v>22.700000000000053</v>
      </c>
      <c r="H52" s="181">
        <f>F52*G52</f>
        <v>1.747900000000004</v>
      </c>
      <c r="I52" s="247">
        <f t="shared" ref="I52:I68" si="4">H52-E52</f>
        <v>0</v>
      </c>
      <c r="J52" s="185">
        <f t="shared" si="1"/>
        <v>0</v>
      </c>
      <c r="K52" s="70"/>
    </row>
    <row r="53" spans="1:19" ht="14.25" x14ac:dyDescent="0.2">
      <c r="B53" s="97" t="s">
        <v>129</v>
      </c>
      <c r="C53" s="256"/>
      <c r="D53" s="44"/>
      <c r="E53" s="245">
        <f t="shared" ref="E53:E54" si="5">D53*C53</f>
        <v>0</v>
      </c>
      <c r="F53" s="257">
        <f>+D31</f>
        <v>8.9999999999999998E-4</v>
      </c>
      <c r="G53" s="44">
        <f>+C43</f>
        <v>500</v>
      </c>
      <c r="H53" s="245">
        <f t="shared" ref="H53:H54" si="6">G53*F53</f>
        <v>0.45</v>
      </c>
      <c r="I53" s="250">
        <f t="shared" ref="I53:I54" si="7">H53-E53</f>
        <v>0.45</v>
      </c>
      <c r="J53" s="243" t="e">
        <f t="shared" ref="J53:J54" si="8">IF((H53)=0,"",(I53/E53))</f>
        <v>#DIV/0!</v>
      </c>
      <c r="K53" s="70"/>
    </row>
    <row r="54" spans="1:19" ht="14.25" x14ac:dyDescent="0.2">
      <c r="B54" s="97" t="s">
        <v>125</v>
      </c>
      <c r="C54" s="256"/>
      <c r="D54" s="44"/>
      <c r="E54" s="245">
        <f t="shared" si="5"/>
        <v>0</v>
      </c>
      <c r="F54" s="257">
        <f>+D32</f>
        <v>1E-3</v>
      </c>
      <c r="G54" s="44">
        <f>+C43</f>
        <v>500</v>
      </c>
      <c r="H54" s="245">
        <f t="shared" si="6"/>
        <v>0.5</v>
      </c>
      <c r="I54" s="250">
        <f t="shared" si="7"/>
        <v>0.5</v>
      </c>
      <c r="J54" s="243" t="e">
        <f t="shared" si="8"/>
        <v>#DIV/0!</v>
      </c>
      <c r="K54" s="70"/>
    </row>
    <row r="55" spans="1:19" ht="14.25" x14ac:dyDescent="0.2">
      <c r="B55" s="97" t="s">
        <v>52</v>
      </c>
      <c r="C55" s="186"/>
      <c r="D55" s="44"/>
      <c r="E55" s="181">
        <f>D55*C55</f>
        <v>0</v>
      </c>
      <c r="F55" s="187">
        <f>D17</f>
        <v>-3.0999999999999999E-3</v>
      </c>
      <c r="G55" s="44">
        <f>+C43</f>
        <v>500</v>
      </c>
      <c r="H55" s="181">
        <f>G55*F55</f>
        <v>-1.55</v>
      </c>
      <c r="I55" s="247">
        <f t="shared" si="4"/>
        <v>-1.55</v>
      </c>
      <c r="J55" s="185" t="e">
        <f t="shared" si="1"/>
        <v>#DIV/0!</v>
      </c>
      <c r="K55" s="70"/>
    </row>
    <row r="56" spans="1:19" ht="14.25" x14ac:dyDescent="0.2">
      <c r="B56" s="97" t="s">
        <v>113</v>
      </c>
      <c r="C56" s="186"/>
      <c r="D56" s="44"/>
      <c r="E56" s="181">
        <f>D56*C56</f>
        <v>0</v>
      </c>
      <c r="F56" s="187">
        <f>+D16</f>
        <v>2.0000000000000001E-4</v>
      </c>
      <c r="G56" s="44">
        <f>+C43</f>
        <v>500</v>
      </c>
      <c r="H56" s="181">
        <f>G56*F56</f>
        <v>0.1</v>
      </c>
      <c r="I56" s="247">
        <f t="shared" si="4"/>
        <v>0.1</v>
      </c>
      <c r="J56" s="185" t="e">
        <f t="shared" si="1"/>
        <v>#DIV/0!</v>
      </c>
      <c r="K56" s="70"/>
      <c r="L56" s="327"/>
      <c r="N56" s="69"/>
      <c r="O56" s="56"/>
      <c r="P56" s="61"/>
    </row>
    <row r="57" spans="1:19" ht="15" x14ac:dyDescent="0.2">
      <c r="B57" s="57" t="s">
        <v>54</v>
      </c>
      <c r="C57" s="204"/>
      <c r="D57" s="45"/>
      <c r="E57" s="205">
        <f>SUM(E52:E56)+E51</f>
        <v>27.3079</v>
      </c>
      <c r="F57" s="206"/>
      <c r="G57" s="46"/>
      <c r="H57" s="205">
        <f>SUM(H52:H56)+H51</f>
        <v>27.567900000000005</v>
      </c>
      <c r="I57" s="249">
        <f>H57-E57</f>
        <v>0.26000000000000512</v>
      </c>
      <c r="J57" s="203">
        <f t="shared" si="1"/>
        <v>9.5210543469107876E-3</v>
      </c>
      <c r="K57" s="56"/>
    </row>
    <row r="58" spans="1:19" ht="15" x14ac:dyDescent="0.2">
      <c r="B58" s="99" t="s">
        <v>55</v>
      </c>
      <c r="C58" s="186">
        <f>C19</f>
        <v>7.0000000000000001E-3</v>
      </c>
      <c r="D58" s="72">
        <f>C43+D52</f>
        <v>522.70000000000005</v>
      </c>
      <c r="E58" s="245">
        <f>D58*C58</f>
        <v>3.6589000000000005</v>
      </c>
      <c r="F58" s="187">
        <f>D19</f>
        <v>6.7999999999999996E-3</v>
      </c>
      <c r="G58" s="276">
        <f>+C43+G52</f>
        <v>522.70000000000005</v>
      </c>
      <c r="H58" s="181">
        <f>G58*F58</f>
        <v>3.55436</v>
      </c>
      <c r="I58" s="247">
        <f t="shared" si="4"/>
        <v>-0.10454000000000052</v>
      </c>
      <c r="J58" s="185">
        <f t="shared" si="1"/>
        <v>-2.8571428571428709E-2</v>
      </c>
      <c r="K58" s="70"/>
      <c r="S58" s="59"/>
    </row>
    <row r="59" spans="1:19" ht="21.75" customHeight="1" x14ac:dyDescent="0.2">
      <c r="B59" s="100" t="s">
        <v>56</v>
      </c>
      <c r="C59" s="186">
        <f>C20</f>
        <v>5.7999999999999996E-3</v>
      </c>
      <c r="D59" s="72">
        <f>+C43+D52</f>
        <v>522.70000000000005</v>
      </c>
      <c r="E59" s="245">
        <f>D59*C59</f>
        <v>3.03166</v>
      </c>
      <c r="F59" s="187">
        <f>D20</f>
        <v>6.1999999999999998E-3</v>
      </c>
      <c r="G59" s="276">
        <f>+C43+G52</f>
        <v>522.70000000000005</v>
      </c>
      <c r="H59" s="181">
        <f>G59*F59</f>
        <v>3.2407400000000002</v>
      </c>
      <c r="I59" s="247">
        <f t="shared" si="4"/>
        <v>0.20908000000000015</v>
      </c>
      <c r="J59" s="185">
        <f t="shared" si="1"/>
        <v>6.8965517241379365E-2</v>
      </c>
      <c r="K59" s="70"/>
      <c r="L59" s="328"/>
    </row>
    <row r="60" spans="1:19" ht="15" x14ac:dyDescent="0.2">
      <c r="B60" s="57" t="s">
        <v>57</v>
      </c>
      <c r="C60" s="204"/>
      <c r="D60" s="45"/>
      <c r="E60" s="205">
        <f>SUM(E57:E59)</f>
        <v>33.998460000000001</v>
      </c>
      <c r="F60" s="207"/>
      <c r="G60" s="49"/>
      <c r="H60" s="205">
        <f>SUM(H57:H59)</f>
        <v>34.363000000000007</v>
      </c>
      <c r="I60" s="249">
        <f>H60-E60</f>
        <v>0.36454000000000519</v>
      </c>
      <c r="J60" s="203">
        <f t="shared" si="1"/>
        <v>1.0722250360751787E-2</v>
      </c>
      <c r="K60" s="54"/>
      <c r="L60" s="59"/>
    </row>
    <row r="61" spans="1:19" ht="14.25" x14ac:dyDescent="0.2">
      <c r="B61" s="97" t="s">
        <v>58</v>
      </c>
      <c r="C61" s="209">
        <f>C21</f>
        <v>3.2000000000000002E-3</v>
      </c>
      <c r="D61" s="44">
        <f>C43+D52</f>
        <v>522.70000000000005</v>
      </c>
      <c r="E61" s="218">
        <f t="shared" ref="E61:E68" si="9">D61*C61</f>
        <v>1.6726400000000001</v>
      </c>
      <c r="F61" s="236">
        <f>D21</f>
        <v>3.2000000000000002E-3</v>
      </c>
      <c r="G61" s="277">
        <f>+C43+G52</f>
        <v>522.70000000000005</v>
      </c>
      <c r="H61" s="211">
        <f t="shared" ref="H61:H68" si="10">G61*F61</f>
        <v>1.6726400000000001</v>
      </c>
      <c r="I61" s="237">
        <f t="shared" si="4"/>
        <v>0</v>
      </c>
      <c r="J61" s="185">
        <f t="shared" si="1"/>
        <v>0</v>
      </c>
      <c r="K61" s="70"/>
      <c r="L61" s="71"/>
    </row>
    <row r="62" spans="1:19" ht="14.25" x14ac:dyDescent="0.2">
      <c r="B62" s="97" t="s">
        <v>103</v>
      </c>
      <c r="C62" s="209">
        <f>C22</f>
        <v>4.0000000000000002E-4</v>
      </c>
      <c r="D62" s="166">
        <f>+C43+D52</f>
        <v>522.70000000000005</v>
      </c>
      <c r="E62" s="218">
        <f t="shared" si="9"/>
        <v>0.20908000000000002</v>
      </c>
      <c r="F62" s="236">
        <f>D22</f>
        <v>4.0000000000000002E-4</v>
      </c>
      <c r="G62" s="277">
        <f>+C43+G52</f>
        <v>522.70000000000005</v>
      </c>
      <c r="H62" s="211">
        <f t="shared" si="10"/>
        <v>0.20908000000000002</v>
      </c>
      <c r="I62" s="237">
        <f t="shared" si="4"/>
        <v>0</v>
      </c>
      <c r="J62" s="185">
        <f t="shared" si="1"/>
        <v>0</v>
      </c>
      <c r="K62" s="70"/>
      <c r="L62" s="71"/>
    </row>
    <row r="63" spans="1:19" ht="14.25" x14ac:dyDescent="0.2">
      <c r="B63" s="96" t="s">
        <v>59</v>
      </c>
      <c r="C63" s="209">
        <f>C23</f>
        <v>2.9999999999999997E-4</v>
      </c>
      <c r="D63" s="166">
        <f>+C43+D52</f>
        <v>522.70000000000005</v>
      </c>
      <c r="E63" s="218">
        <f t="shared" si="9"/>
        <v>0.15681</v>
      </c>
      <c r="F63" s="236">
        <f>D23</f>
        <v>2.9999999999999997E-4</v>
      </c>
      <c r="G63" s="277">
        <f>+C43+G52</f>
        <v>522.70000000000005</v>
      </c>
      <c r="H63" s="218">
        <f t="shared" si="10"/>
        <v>0.15681</v>
      </c>
      <c r="I63" s="250">
        <f t="shared" si="4"/>
        <v>0</v>
      </c>
      <c r="J63" s="185">
        <f t="shared" si="1"/>
        <v>0</v>
      </c>
      <c r="K63" s="70"/>
      <c r="L63" s="71"/>
    </row>
    <row r="64" spans="1:19" ht="14.25" x14ac:dyDescent="0.2">
      <c r="B64" s="96" t="s">
        <v>60</v>
      </c>
      <c r="C64" s="269">
        <f>C25</f>
        <v>0.25</v>
      </c>
      <c r="D64" s="44">
        <f>D48</f>
        <v>1</v>
      </c>
      <c r="E64" s="218">
        <f t="shared" si="9"/>
        <v>0.25</v>
      </c>
      <c r="F64" s="270">
        <f>D25</f>
        <v>0.25</v>
      </c>
      <c r="G64" s="140">
        <f>+G48</f>
        <v>1</v>
      </c>
      <c r="H64" s="218">
        <f t="shared" si="10"/>
        <v>0.25</v>
      </c>
      <c r="I64" s="250">
        <f t="shared" si="4"/>
        <v>0</v>
      </c>
      <c r="J64" s="185">
        <f t="shared" si="1"/>
        <v>0</v>
      </c>
      <c r="K64" s="70"/>
      <c r="L64" s="71"/>
    </row>
    <row r="65" spans="2:17" ht="15" x14ac:dyDescent="0.2">
      <c r="B65" s="57" t="s">
        <v>65</v>
      </c>
      <c r="C65" s="204"/>
      <c r="D65" s="45"/>
      <c r="E65" s="205">
        <f>SUM(E61:E64)</f>
        <v>2.2885300000000002</v>
      </c>
      <c r="F65" s="207"/>
      <c r="G65" s="49"/>
      <c r="H65" s="205">
        <f>SUM(H61:H64)</f>
        <v>2.2885300000000002</v>
      </c>
      <c r="I65" s="249">
        <f>SUM(I61:I64)</f>
        <v>0</v>
      </c>
      <c r="J65" s="203">
        <f t="shared" si="1"/>
        <v>0</v>
      </c>
      <c r="K65" s="70"/>
      <c r="L65" s="71"/>
    </row>
    <row r="66" spans="2:17" ht="15" x14ac:dyDescent="0.2">
      <c r="B66" s="57" t="s">
        <v>11</v>
      </c>
      <c r="C66" s="214">
        <f>C26</f>
        <v>7.0000000000000001E-3</v>
      </c>
      <c r="D66" s="45">
        <f>C43</f>
        <v>500</v>
      </c>
      <c r="E66" s="205">
        <f t="shared" si="9"/>
        <v>3.5</v>
      </c>
      <c r="F66" s="214">
        <f>D26</f>
        <v>7.0000000000000001E-3</v>
      </c>
      <c r="G66" s="278">
        <f>+C43</f>
        <v>500</v>
      </c>
      <c r="H66" s="205">
        <f t="shared" si="10"/>
        <v>3.5</v>
      </c>
      <c r="I66" s="249">
        <f t="shared" si="4"/>
        <v>0</v>
      </c>
      <c r="J66" s="203">
        <f t="shared" si="1"/>
        <v>0</v>
      </c>
      <c r="K66" s="70"/>
      <c r="L66" s="71"/>
    </row>
    <row r="67" spans="2:17" ht="14.25" x14ac:dyDescent="0.2">
      <c r="B67" s="97" t="s">
        <v>35</v>
      </c>
      <c r="C67" s="209">
        <f>C36</f>
        <v>7.6999999999999999E-2</v>
      </c>
      <c r="D67" s="44">
        <f>IF(C43&gt;C44,C44,C43)</f>
        <v>500</v>
      </c>
      <c r="E67" s="218">
        <f t="shared" si="9"/>
        <v>38.5</v>
      </c>
      <c r="F67" s="236">
        <f>C67</f>
        <v>7.6999999999999999E-2</v>
      </c>
      <c r="G67" s="44">
        <f>IF(C43&gt;C44,C44,C43)</f>
        <v>500</v>
      </c>
      <c r="H67" s="211">
        <f t="shared" si="10"/>
        <v>38.5</v>
      </c>
      <c r="I67" s="237">
        <f t="shared" si="4"/>
        <v>0</v>
      </c>
      <c r="J67" s="185">
        <f t="shared" si="1"/>
        <v>0</v>
      </c>
      <c r="K67" s="70"/>
      <c r="L67" s="71"/>
    </row>
    <row r="68" spans="2:17" ht="14.25" x14ac:dyDescent="0.2">
      <c r="B68" s="97" t="s">
        <v>36</v>
      </c>
      <c r="C68" s="209">
        <f>C37</f>
        <v>0.09</v>
      </c>
      <c r="D68" s="44">
        <f>IF(C43&gt;C44,C44-C43,0)</f>
        <v>0</v>
      </c>
      <c r="E68" s="218">
        <f t="shared" si="9"/>
        <v>0</v>
      </c>
      <c r="F68" s="236">
        <f>C68</f>
        <v>0.09</v>
      </c>
      <c r="G68" s="140">
        <f>D68</f>
        <v>0</v>
      </c>
      <c r="H68" s="218">
        <f t="shared" si="10"/>
        <v>0</v>
      </c>
      <c r="I68" s="250">
        <f t="shared" si="4"/>
        <v>0</v>
      </c>
      <c r="J68" s="185" t="str">
        <f t="shared" si="1"/>
        <v/>
      </c>
      <c r="K68" s="70"/>
      <c r="L68" s="71"/>
    </row>
    <row r="69" spans="2:17" ht="15.75" thickBot="1" x14ac:dyDescent="0.25">
      <c r="B69" s="57" t="s">
        <v>66</v>
      </c>
      <c r="C69" s="204"/>
      <c r="D69" s="45"/>
      <c r="E69" s="205">
        <f>SUM(E67:E68)</f>
        <v>38.5</v>
      </c>
      <c r="F69" s="207"/>
      <c r="G69" s="49"/>
      <c r="H69" s="205">
        <f>SUM(H67:H68)</f>
        <v>38.5</v>
      </c>
      <c r="I69" s="249">
        <f>H69-E69</f>
        <v>0</v>
      </c>
      <c r="J69" s="203">
        <f t="shared" si="1"/>
        <v>0</v>
      </c>
      <c r="K69" s="70"/>
      <c r="L69" s="71"/>
      <c r="N69" s="151"/>
    </row>
    <row r="70" spans="2:17" ht="8.25" customHeight="1" thickBot="1" x14ac:dyDescent="0.25">
      <c r="B70" s="101"/>
      <c r="C70" s="219"/>
      <c r="D70" s="50"/>
      <c r="E70" s="220"/>
      <c r="F70" s="221"/>
      <c r="G70" s="51"/>
      <c r="H70" s="220"/>
      <c r="I70" s="252"/>
      <c r="J70" s="224"/>
      <c r="K70" s="56"/>
      <c r="L70" s="71"/>
    </row>
    <row r="71" spans="2:17" ht="15" x14ac:dyDescent="0.2">
      <c r="B71" s="81" t="s">
        <v>138</v>
      </c>
      <c r="C71" s="225"/>
      <c r="D71" s="52"/>
      <c r="E71" s="226">
        <f>E69+E66+E65+E60</f>
        <v>78.286990000000003</v>
      </c>
      <c r="F71" s="227"/>
      <c r="G71" s="53"/>
      <c r="H71" s="228">
        <f>H69+H66+H65+H60</f>
        <v>78.651530000000008</v>
      </c>
      <c r="I71" s="184">
        <f>H71-E71</f>
        <v>0.36454000000000519</v>
      </c>
      <c r="J71" s="185">
        <f>IF((H71)=0,"",(I71/E71))</f>
        <v>4.656456966860077E-3</v>
      </c>
      <c r="K71" s="77"/>
      <c r="L71" s="59"/>
      <c r="M71" s="54"/>
      <c r="N71" s="59"/>
      <c r="O71" s="59"/>
      <c r="Q71" s="59"/>
    </row>
    <row r="72" spans="2:17" ht="14.25" x14ac:dyDescent="0.2">
      <c r="B72" s="82" t="s">
        <v>21</v>
      </c>
      <c r="C72" s="225">
        <v>0.13</v>
      </c>
      <c r="D72" s="55"/>
      <c r="E72" s="229">
        <f>E71*C72</f>
        <v>10.177308700000001</v>
      </c>
      <c r="F72" s="230">
        <v>0.13</v>
      </c>
      <c r="G72" s="37"/>
      <c r="H72" s="231">
        <f>H71*F72</f>
        <v>10.224698900000002</v>
      </c>
      <c r="I72" s="184">
        <f>H72-E72</f>
        <v>4.7390200000000604E-2</v>
      </c>
      <c r="J72" s="185">
        <f>IF((H72)=0,"",(I72/E72))</f>
        <v>4.6564569668600701E-3</v>
      </c>
      <c r="K72" s="55"/>
      <c r="L72" s="61"/>
      <c r="M72" s="56"/>
      <c r="N72" s="61"/>
      <c r="O72" s="62"/>
      <c r="Q72" s="61"/>
    </row>
    <row r="73" spans="2:17" ht="15" x14ac:dyDescent="0.2">
      <c r="B73" s="82" t="s">
        <v>101</v>
      </c>
      <c r="C73" s="225">
        <v>-0.08</v>
      </c>
      <c r="D73" s="55"/>
      <c r="E73" s="229">
        <f>+E71*C73</f>
        <v>-6.2629592000000001</v>
      </c>
      <c r="F73" s="230">
        <v>-0.08</v>
      </c>
      <c r="G73" s="37"/>
      <c r="H73" s="231">
        <f>+H71*F73</f>
        <v>-6.2921224000000011</v>
      </c>
      <c r="I73" s="184">
        <f>H73-E73</f>
        <v>-2.9163200000001055E-2</v>
      </c>
      <c r="J73" s="185">
        <f>IF((H73)=0,"",(I73/E73))</f>
        <v>4.6564569668601794E-3</v>
      </c>
      <c r="K73" s="78"/>
      <c r="L73" s="59"/>
      <c r="M73" s="54"/>
      <c r="N73" s="59"/>
      <c r="O73" s="60"/>
    </row>
    <row r="74" spans="2:17" ht="15" x14ac:dyDescent="0.2">
      <c r="B74" s="88" t="s">
        <v>139</v>
      </c>
      <c r="C74" s="233"/>
      <c r="D74" s="89"/>
      <c r="E74" s="234">
        <f>SUM(E71:E73)</f>
        <v>82.201339500000003</v>
      </c>
      <c r="F74" s="235"/>
      <c r="G74" s="90"/>
      <c r="H74" s="208">
        <f>SUM(H71:H73)</f>
        <v>82.584106500000019</v>
      </c>
      <c r="I74" s="202">
        <f>H74-E74</f>
        <v>0.3827670000000154</v>
      </c>
      <c r="J74" s="203">
        <f>IF((H74)=0,"",(I74/E74))</f>
        <v>4.6564569668601976E-3</v>
      </c>
      <c r="K74" s="19"/>
      <c r="L74" s="19"/>
      <c r="M74" s="19"/>
      <c r="N74" s="19"/>
      <c r="O74" s="19"/>
    </row>
    <row r="75" spans="2:17" x14ac:dyDescent="0.2">
      <c r="L75" s="133"/>
    </row>
    <row r="76" spans="2:17" ht="12.75" customHeight="1" x14ac:dyDescent="0.2">
      <c r="B76" s="313" t="s">
        <v>131</v>
      </c>
      <c r="C76" s="578" t="s">
        <v>43</v>
      </c>
      <c r="D76" s="579"/>
      <c r="E76" s="579"/>
      <c r="F76" s="578" t="s">
        <v>44</v>
      </c>
      <c r="G76" s="579"/>
      <c r="H76" s="580"/>
      <c r="I76" s="579" t="s">
        <v>45</v>
      </c>
      <c r="J76" s="580"/>
    </row>
    <row r="77" spans="2:17" x14ac:dyDescent="0.2">
      <c r="B77" s="309" t="s">
        <v>133</v>
      </c>
      <c r="C77" s="316">
        <f>+C48</f>
        <v>10.01</v>
      </c>
      <c r="D77" s="295"/>
      <c r="E77" s="298">
        <f>+E48</f>
        <v>10.01</v>
      </c>
      <c r="F77" s="318">
        <f>+F48</f>
        <v>10.07</v>
      </c>
      <c r="G77" s="296"/>
      <c r="H77" s="301">
        <f>+H48</f>
        <v>10.07</v>
      </c>
      <c r="I77" s="296"/>
      <c r="J77" s="297"/>
    </row>
    <row r="78" spans="2:17" x14ac:dyDescent="0.2">
      <c r="B78" s="311" t="s">
        <v>135</v>
      </c>
      <c r="C78" s="317">
        <f>+C49</f>
        <v>3.2599999999999997E-2</v>
      </c>
      <c r="D78" s="295"/>
      <c r="E78" s="298">
        <f>+E49</f>
        <v>16.299999999999997</v>
      </c>
      <c r="F78" s="320">
        <f>+F49</f>
        <v>3.2500000000000001E-2</v>
      </c>
      <c r="G78" s="296"/>
      <c r="H78" s="301">
        <f>+H49</f>
        <v>16.25</v>
      </c>
      <c r="I78" s="296"/>
      <c r="J78" s="297"/>
    </row>
    <row r="79" spans="2:17" x14ac:dyDescent="0.2">
      <c r="B79" s="299"/>
      <c r="C79" s="302"/>
      <c r="D79" s="303"/>
      <c r="E79" s="304">
        <f>SUM(E77:E78)</f>
        <v>26.309999999999995</v>
      </c>
      <c r="F79" s="305"/>
      <c r="G79" s="18"/>
      <c r="H79" s="306">
        <f>SUM(H77:H78)</f>
        <v>26.32</v>
      </c>
      <c r="I79" s="307">
        <f>+H79-E79</f>
        <v>1.0000000000005116E-2</v>
      </c>
      <c r="J79" s="308">
        <f>+I79/E79</f>
        <v>3.8008361839624163E-4</v>
      </c>
    </row>
  </sheetData>
  <mergeCells count="10">
    <mergeCell ref="B11:E11"/>
    <mergeCell ref="C45:E45"/>
    <mergeCell ref="F45:H45"/>
    <mergeCell ref="I45:J45"/>
    <mergeCell ref="C76:E76"/>
    <mergeCell ref="F76:H76"/>
    <mergeCell ref="I76:J76"/>
    <mergeCell ref="B46:B47"/>
    <mergeCell ref="I46:I47"/>
    <mergeCell ref="J46:J47"/>
  </mergeCells>
  <pageMargins left="0.75" right="0.75" top="1" bottom="1" header="0.5" footer="0.5"/>
  <pageSetup scale="83" orientation="landscape" r:id="rId1"/>
  <headerFooter alignWithMargins="0"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2"/>
  <sheetViews>
    <sheetView showGridLines="0" topLeftCell="A9" zoomScale="90" workbookViewId="0">
      <selection activeCell="D23" sqref="D23"/>
    </sheetView>
  </sheetViews>
  <sheetFormatPr defaultRowHeight="12.75" x14ac:dyDescent="0.2"/>
  <cols>
    <col min="1" max="1" width="2.28515625" customWidth="1"/>
    <col min="2" max="2" width="45.140625" customWidth="1"/>
    <col min="3" max="3" width="11.5703125" customWidth="1"/>
    <col min="4" max="4" width="11.140625" customWidth="1"/>
    <col min="5" max="5" width="13" customWidth="1"/>
    <col min="6" max="6" width="11.140625" customWidth="1"/>
    <col min="7" max="7" width="9.85546875" bestFit="1" customWidth="1"/>
    <col min="8" max="8" width="13.140625" customWidth="1"/>
    <col min="9" max="9" width="10.7109375" bestFit="1" customWidth="1"/>
    <col min="10" max="10" width="11.140625" bestFit="1" customWidth="1"/>
    <col min="11" max="11" width="13.140625" customWidth="1"/>
    <col min="14" max="14" width="9.85546875" bestFit="1" customWidth="1"/>
    <col min="15" max="15" width="12.28515625" customWidth="1"/>
    <col min="17" max="17" width="9.8554687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22</v>
      </c>
      <c r="C9" s="2"/>
      <c r="D9" s="2"/>
      <c r="E9" s="145" t="s">
        <v>83</v>
      </c>
      <c r="F9" s="142" t="s">
        <v>84</v>
      </c>
      <c r="G9" s="2"/>
      <c r="H9" s="2"/>
      <c r="I9" s="2"/>
      <c r="J9" s="2"/>
      <c r="K9" s="2"/>
    </row>
    <row r="10" spans="2:1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8" x14ac:dyDescent="0.25">
      <c r="B11" s="583" t="s">
        <v>72</v>
      </c>
      <c r="C11" s="583"/>
      <c r="D11" s="583"/>
      <c r="E11" s="583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144">
        <v>2017</v>
      </c>
      <c r="D12" s="144">
        <v>2018</v>
      </c>
      <c r="E12" s="2"/>
      <c r="F12" s="2"/>
      <c r="G12" s="2"/>
      <c r="H12" s="2"/>
      <c r="I12" s="2"/>
      <c r="J12" s="2"/>
      <c r="K12" s="2"/>
    </row>
    <row r="13" spans="2:11" ht="26.25" thickBot="1" x14ac:dyDescent="0.25">
      <c r="B13" s="4" t="s">
        <v>1</v>
      </c>
      <c r="C13" s="91" t="s">
        <v>2</v>
      </c>
      <c r="D13" s="91" t="s">
        <v>44</v>
      </c>
      <c r="E13" s="2"/>
      <c r="F13" s="2"/>
      <c r="G13" s="2"/>
      <c r="H13" s="2"/>
      <c r="I13" s="288"/>
      <c r="J13" s="2"/>
      <c r="K13" s="2"/>
    </row>
    <row r="14" spans="2:11" x14ac:dyDescent="0.2">
      <c r="B14" s="141" t="s">
        <v>3</v>
      </c>
      <c r="C14" s="6">
        <v>5.7</v>
      </c>
      <c r="D14" s="6">
        <v>5.73</v>
      </c>
      <c r="E14" s="2"/>
      <c r="F14" s="2"/>
      <c r="G14" s="2"/>
      <c r="H14" s="2"/>
      <c r="I14" s="280"/>
      <c r="J14" s="280"/>
      <c r="K14" s="2"/>
    </row>
    <row r="15" spans="2:11" x14ac:dyDescent="0.2">
      <c r="B15" s="93" t="s">
        <v>5</v>
      </c>
      <c r="C15" s="139">
        <v>15.404999999999999</v>
      </c>
      <c r="D15" s="139">
        <v>15.404999999999999</v>
      </c>
      <c r="E15" s="2"/>
      <c r="F15" s="2"/>
      <c r="G15" s="2"/>
      <c r="H15" s="2"/>
      <c r="I15" s="281"/>
      <c r="J15" s="281"/>
      <c r="K15" s="2"/>
    </row>
    <row r="16" spans="2:11" x14ac:dyDescent="0.2">
      <c r="B16" s="93" t="s">
        <v>96</v>
      </c>
      <c r="C16" s="139"/>
      <c r="D16" s="139">
        <v>-0.96660000000000001</v>
      </c>
      <c r="E16" s="164" t="s">
        <v>73</v>
      </c>
      <c r="F16" s="265"/>
      <c r="G16" s="2"/>
      <c r="H16" s="2"/>
      <c r="I16" s="281"/>
      <c r="J16" s="281"/>
      <c r="K16" s="2"/>
    </row>
    <row r="17" spans="2:11" x14ac:dyDescent="0.2">
      <c r="B17" s="93" t="s">
        <v>6</v>
      </c>
      <c r="C17" s="139">
        <v>2.1223000000000001</v>
      </c>
      <c r="D17" s="139">
        <v>2.0695000000000001</v>
      </c>
      <c r="E17" s="2"/>
      <c r="F17" s="2"/>
      <c r="G17" s="2"/>
      <c r="H17" s="2"/>
      <c r="I17" s="281"/>
      <c r="J17" s="281"/>
      <c r="K17" s="2"/>
    </row>
    <row r="18" spans="2:11" ht="26.25" customHeight="1" x14ac:dyDescent="0.2">
      <c r="B18" s="93" t="s">
        <v>7</v>
      </c>
      <c r="C18" s="153">
        <v>1.7393000000000001</v>
      </c>
      <c r="D18" s="153">
        <v>1.857</v>
      </c>
      <c r="E18" s="2"/>
      <c r="F18" s="2"/>
      <c r="G18" s="2"/>
      <c r="H18" s="2"/>
      <c r="I18" s="281"/>
      <c r="J18" s="281"/>
      <c r="K18" s="2"/>
    </row>
    <row r="19" spans="2:11" x14ac:dyDescent="0.2">
      <c r="B19" s="93" t="s">
        <v>8</v>
      </c>
      <c r="C19" s="11">
        <v>3.2000000000000002E-3</v>
      </c>
      <c r="D19" s="11">
        <v>3.2000000000000002E-3</v>
      </c>
      <c r="E19" s="2"/>
      <c r="F19" s="2"/>
      <c r="G19" s="2"/>
      <c r="H19" s="2"/>
      <c r="I19" s="136"/>
      <c r="J19" s="136"/>
      <c r="K19" s="2"/>
    </row>
    <row r="20" spans="2:11" x14ac:dyDescent="0.2">
      <c r="B20" s="93" t="s">
        <v>103</v>
      </c>
      <c r="C20" s="11">
        <v>4.0000000000000002E-4</v>
      </c>
      <c r="D20" s="11">
        <v>4.0000000000000002E-4</v>
      </c>
      <c r="E20" s="2"/>
      <c r="F20" s="2"/>
      <c r="G20" s="2"/>
      <c r="H20" s="2"/>
      <c r="I20" s="136"/>
      <c r="J20" s="136"/>
      <c r="K20" s="2"/>
    </row>
    <row r="21" spans="2:11" x14ac:dyDescent="0.2">
      <c r="B21" s="93" t="s">
        <v>9</v>
      </c>
      <c r="C21" s="11">
        <v>2.9999999999999997E-4</v>
      </c>
      <c r="D21" s="11">
        <v>2.9999999999999997E-4</v>
      </c>
      <c r="E21" s="2"/>
      <c r="F21" s="2"/>
      <c r="G21" s="2"/>
      <c r="H21" s="2"/>
      <c r="I21" s="136"/>
      <c r="J21" s="136"/>
      <c r="K21" s="2"/>
    </row>
    <row r="22" spans="2:11" x14ac:dyDescent="0.2">
      <c r="B22" s="93" t="s">
        <v>81</v>
      </c>
      <c r="C22" s="11">
        <v>0</v>
      </c>
      <c r="D22" s="11">
        <v>0</v>
      </c>
      <c r="E22" s="164" t="s">
        <v>105</v>
      </c>
      <c r="F22" s="2"/>
      <c r="G22" s="2"/>
      <c r="H22" s="2"/>
      <c r="I22" s="136"/>
      <c r="J22" s="136"/>
      <c r="K22" s="2"/>
    </row>
    <row r="23" spans="2:11" ht="23.25" customHeight="1" x14ac:dyDescent="0.2">
      <c r="B23" s="93" t="s">
        <v>10</v>
      </c>
      <c r="C23" s="12">
        <v>0.25</v>
      </c>
      <c r="D23" s="12">
        <v>0.25</v>
      </c>
      <c r="E23" s="2"/>
      <c r="F23" s="2"/>
      <c r="G23" s="2"/>
      <c r="H23" s="2"/>
      <c r="I23" s="282"/>
      <c r="J23" s="282"/>
      <c r="K23" s="2"/>
    </row>
    <row r="24" spans="2:11" x14ac:dyDescent="0.2">
      <c r="B24" s="93" t="s">
        <v>11</v>
      </c>
      <c r="C24" s="13">
        <v>7.0000000000000001E-3</v>
      </c>
      <c r="D24" s="13">
        <v>7.0000000000000001E-3</v>
      </c>
      <c r="E24" s="2"/>
      <c r="F24" s="2"/>
      <c r="G24" s="2"/>
      <c r="H24" s="2"/>
      <c r="I24" s="136"/>
      <c r="J24" s="136"/>
      <c r="K24" s="2"/>
    </row>
    <row r="25" spans="2:11" ht="13.5" thickBot="1" x14ac:dyDescent="0.25">
      <c r="B25" s="14" t="s">
        <v>12</v>
      </c>
      <c r="C25" s="15">
        <v>1.0454000000000001</v>
      </c>
      <c r="D25" s="15">
        <v>1.0454000000000001</v>
      </c>
      <c r="E25" s="2"/>
      <c r="F25" s="2"/>
      <c r="G25" s="2"/>
      <c r="H25" s="2"/>
      <c r="I25" s="136"/>
      <c r="J25" s="136"/>
      <c r="K25" s="2"/>
    </row>
    <row r="26" spans="2:11" x14ac:dyDescent="0.2">
      <c r="B26" s="92"/>
      <c r="C26" s="2"/>
      <c r="D26" s="2"/>
      <c r="E26" s="2"/>
      <c r="F26" s="2"/>
      <c r="G26" s="2"/>
      <c r="H26" s="2"/>
      <c r="I26" s="288"/>
      <c r="J26" s="288"/>
      <c r="K26" s="2"/>
    </row>
    <row r="27" spans="2:11" ht="13.5" thickBot="1" x14ac:dyDescent="0.25">
      <c r="B27" s="275" t="s">
        <v>126</v>
      </c>
      <c r="C27" s="144">
        <v>2018</v>
      </c>
      <c r="D27" s="144">
        <v>2018</v>
      </c>
      <c r="E27" s="2"/>
      <c r="F27" s="2"/>
      <c r="G27" s="2"/>
      <c r="H27" s="2"/>
      <c r="I27" s="2"/>
      <c r="J27" s="2"/>
      <c r="K27" s="2"/>
    </row>
    <row r="28" spans="2:11" ht="13.5" thickBot="1" x14ac:dyDescent="0.25">
      <c r="B28" s="564" t="s">
        <v>1</v>
      </c>
      <c r="C28" s="565" t="s">
        <v>127</v>
      </c>
      <c r="D28" s="565" t="s">
        <v>128</v>
      </c>
      <c r="E28" s="2"/>
      <c r="F28" s="2"/>
      <c r="G28" s="2"/>
      <c r="H28" s="2"/>
      <c r="I28" s="2"/>
      <c r="J28" s="2"/>
      <c r="K28" s="2"/>
    </row>
    <row r="29" spans="2:11" ht="13.5" thickBot="1" x14ac:dyDescent="0.25">
      <c r="B29" s="566"/>
      <c r="C29" s="567"/>
      <c r="D29" s="567"/>
      <c r="E29" s="2"/>
      <c r="F29" s="2"/>
      <c r="G29" s="2"/>
      <c r="H29" s="2"/>
      <c r="I29" s="2"/>
      <c r="J29" s="2"/>
      <c r="K29" s="2"/>
    </row>
    <row r="30" spans="2:11" x14ac:dyDescent="0.2">
      <c r="B30" s="92"/>
      <c r="C30" s="2"/>
      <c r="D30" s="2"/>
      <c r="E30" s="2"/>
      <c r="F30" s="2"/>
      <c r="G30" s="2"/>
      <c r="H30" s="2"/>
      <c r="I30" s="2"/>
      <c r="J30" s="2"/>
      <c r="K30" s="2"/>
    </row>
    <row r="31" spans="2:11" x14ac:dyDescent="0.2">
      <c r="B31" s="92"/>
      <c r="C31" s="2"/>
      <c r="D31" s="2"/>
      <c r="E31" s="2"/>
      <c r="F31" s="2"/>
      <c r="G31" s="2"/>
      <c r="H31" s="2"/>
      <c r="I31" s="2"/>
      <c r="J31" s="2"/>
      <c r="K31" s="2"/>
    </row>
    <row r="32" spans="2:11" x14ac:dyDescent="0.2">
      <c r="B32" s="9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">
      <c r="B33" s="92" t="s">
        <v>35</v>
      </c>
      <c r="C33" s="136">
        <v>7.6999999999999999E-2</v>
      </c>
      <c r="D33" s="136">
        <v>7.6999999999999999E-2</v>
      </c>
      <c r="E33" s="86"/>
      <c r="F33" s="2"/>
      <c r="G33" s="2"/>
      <c r="H33" s="2"/>
      <c r="I33" s="2"/>
      <c r="J33" s="2"/>
      <c r="K33" s="2"/>
    </row>
    <row r="34" spans="1:11" x14ac:dyDescent="0.2">
      <c r="B34" s="92" t="s">
        <v>36</v>
      </c>
      <c r="C34" s="136">
        <v>0.09</v>
      </c>
      <c r="D34" s="136">
        <v>0.09</v>
      </c>
      <c r="E34" s="86"/>
      <c r="F34" s="2"/>
      <c r="G34" s="2"/>
      <c r="H34" s="2"/>
      <c r="I34" s="2"/>
      <c r="J34" s="2"/>
      <c r="K34" s="2"/>
    </row>
    <row r="35" spans="1:11" x14ac:dyDescent="0.2">
      <c r="B35" s="92" t="s">
        <v>37</v>
      </c>
      <c r="C35" s="136">
        <v>6.5000000000000002E-2</v>
      </c>
      <c r="D35" s="136">
        <v>6.5000000000000002E-2</v>
      </c>
      <c r="E35" s="86">
        <f>'Res '!E44</f>
        <v>0.65</v>
      </c>
      <c r="F35" s="87">
        <f>C35*E35</f>
        <v>4.2250000000000003E-2</v>
      </c>
      <c r="G35" s="2"/>
      <c r="H35" s="2"/>
      <c r="I35" s="2"/>
      <c r="J35" s="2"/>
      <c r="K35" s="2"/>
    </row>
    <row r="36" spans="1:11" x14ac:dyDescent="0.2">
      <c r="B36" s="92" t="s">
        <v>38</v>
      </c>
      <c r="C36" s="136">
        <v>9.5000000000000001E-2</v>
      </c>
      <c r="D36" s="136">
        <v>9.5000000000000001E-2</v>
      </c>
      <c r="E36" s="86">
        <f>'Res '!E45</f>
        <v>0.17</v>
      </c>
      <c r="F36" s="87">
        <f>C36*E36</f>
        <v>1.6150000000000001E-2</v>
      </c>
      <c r="G36" s="2"/>
      <c r="H36" s="2"/>
      <c r="I36" s="2"/>
      <c r="J36" s="2"/>
      <c r="K36" s="2"/>
    </row>
    <row r="37" spans="1:11" x14ac:dyDescent="0.2">
      <c r="B37" s="92" t="s">
        <v>39</v>
      </c>
      <c r="C37" s="136">
        <v>0.13200000000000001</v>
      </c>
      <c r="D37" s="136">
        <v>0.13200000000000001</v>
      </c>
      <c r="E37" s="86">
        <f>'Res '!E46</f>
        <v>0.18</v>
      </c>
      <c r="F37" s="87">
        <f>C37*E37</f>
        <v>2.376E-2</v>
      </c>
      <c r="G37" s="2"/>
      <c r="H37" s="2"/>
      <c r="I37" s="2"/>
      <c r="J37" s="2"/>
      <c r="K37" s="2"/>
    </row>
    <row r="38" spans="1:11" x14ac:dyDescent="0.2">
      <c r="B38" s="92"/>
      <c r="C38" s="2"/>
      <c r="D38" s="2"/>
      <c r="E38" s="2"/>
      <c r="F38" s="87"/>
      <c r="G38" s="2"/>
      <c r="H38" s="2"/>
      <c r="I38" s="2"/>
      <c r="J38" s="2"/>
      <c r="K38" s="2"/>
    </row>
    <row r="39" spans="1:11" ht="13.5" thickBot="1" x14ac:dyDescent="0.25">
      <c r="B39" s="92"/>
      <c r="C39" s="2"/>
      <c r="D39" s="2"/>
      <c r="E39" s="2"/>
      <c r="F39" s="2"/>
      <c r="G39" s="2"/>
      <c r="H39" s="2"/>
      <c r="I39" s="2"/>
      <c r="J39" s="2"/>
      <c r="K39" s="2"/>
    </row>
    <row r="40" spans="1:11" ht="13.5" thickBot="1" x14ac:dyDescent="0.25">
      <c r="B40" s="102" t="s">
        <v>13</v>
      </c>
      <c r="C40" s="103">
        <v>150</v>
      </c>
      <c r="D40" s="104" t="s">
        <v>14</v>
      </c>
      <c r="E40" s="105">
        <v>1</v>
      </c>
      <c r="F40" s="106" t="s">
        <v>15</v>
      </c>
      <c r="G40" s="107"/>
      <c r="H40" s="108" t="s">
        <v>16</v>
      </c>
      <c r="I40" s="109"/>
      <c r="J40" s="110">
        <f>C25</f>
        <v>1.0454000000000001</v>
      </c>
      <c r="K40" s="2"/>
    </row>
    <row r="41" spans="1:11" ht="13.5" thickBot="1" x14ac:dyDescent="0.25">
      <c r="B41" s="102" t="s">
        <v>17</v>
      </c>
      <c r="C41" s="111">
        <v>750</v>
      </c>
      <c r="D41" s="104" t="s">
        <v>14</v>
      </c>
      <c r="E41" s="112" t="s">
        <v>18</v>
      </c>
      <c r="F41" s="117">
        <f>C40/E40/730</f>
        <v>0.20547945205479451</v>
      </c>
      <c r="G41" s="107"/>
      <c r="H41" s="113" t="s">
        <v>19</v>
      </c>
      <c r="I41" s="114"/>
      <c r="J41" s="115">
        <f>D25</f>
        <v>1.0454000000000001</v>
      </c>
      <c r="K41" s="2"/>
    </row>
    <row r="42" spans="1:11" x14ac:dyDescent="0.2">
      <c r="B42" s="94"/>
      <c r="C42" s="578" t="s">
        <v>43</v>
      </c>
      <c r="D42" s="579"/>
      <c r="E42" s="579"/>
      <c r="F42" s="584" t="s">
        <v>44</v>
      </c>
      <c r="G42" s="579"/>
      <c r="H42" s="579"/>
      <c r="I42" s="584" t="s">
        <v>45</v>
      </c>
      <c r="J42" s="580"/>
      <c r="K42" s="65"/>
    </row>
    <row r="43" spans="1:11" ht="18" customHeight="1" x14ac:dyDescent="0.2">
      <c r="B43" s="586" t="str">
        <f>B11</f>
        <v>SENTINEL LIGHTING (RPP TIER)</v>
      </c>
      <c r="C43" s="33" t="s">
        <v>46</v>
      </c>
      <c r="D43" s="33" t="s">
        <v>20</v>
      </c>
      <c r="E43" s="79" t="s">
        <v>47</v>
      </c>
      <c r="F43" s="74" t="s">
        <v>46</v>
      </c>
      <c r="G43" s="34" t="s">
        <v>20</v>
      </c>
      <c r="H43" s="79" t="s">
        <v>47</v>
      </c>
      <c r="I43" s="604" t="s">
        <v>27</v>
      </c>
      <c r="J43" s="581" t="s">
        <v>28</v>
      </c>
      <c r="K43" s="65"/>
    </row>
    <row r="44" spans="1:11" ht="21.75" customHeight="1" x14ac:dyDescent="0.2">
      <c r="B44" s="603"/>
      <c r="C44" s="35" t="s">
        <v>48</v>
      </c>
      <c r="D44" s="35"/>
      <c r="E44" s="73" t="s">
        <v>48</v>
      </c>
      <c r="F44" s="75" t="s">
        <v>48</v>
      </c>
      <c r="G44" s="36"/>
      <c r="H44" s="73" t="s">
        <v>48</v>
      </c>
      <c r="I44" s="605"/>
      <c r="J44" s="582"/>
      <c r="K44" s="66"/>
    </row>
    <row r="45" spans="1:11" ht="14.25" x14ac:dyDescent="0.2">
      <c r="A45" s="31" t="s">
        <v>132</v>
      </c>
      <c r="B45" s="95" t="s">
        <v>49</v>
      </c>
      <c r="C45" s="180">
        <f>C14</f>
        <v>5.7</v>
      </c>
      <c r="D45" s="37">
        <v>1</v>
      </c>
      <c r="E45" s="181">
        <f>D45*C45</f>
        <v>5.7</v>
      </c>
      <c r="F45" s="182">
        <f>D14</f>
        <v>5.73</v>
      </c>
      <c r="G45" s="38">
        <v>1</v>
      </c>
      <c r="H45" s="246">
        <f>G45*F45</f>
        <v>5.73</v>
      </c>
      <c r="I45" s="247">
        <f t="shared" ref="I45:I47" si="0">H45-E45</f>
        <v>3.0000000000000249E-2</v>
      </c>
      <c r="J45" s="185">
        <f t="shared" ref="J45:J62" si="1">IF((H45)=0,"",(I45/E45))</f>
        <v>5.2631578947368854E-3</v>
      </c>
      <c r="K45" s="56"/>
    </row>
    <row r="46" spans="1:11" ht="14.25" x14ac:dyDescent="0.2">
      <c r="A46" s="31" t="s">
        <v>134</v>
      </c>
      <c r="B46" s="95" t="s">
        <v>5</v>
      </c>
      <c r="C46" s="186">
        <f>C15</f>
        <v>15.404999999999999</v>
      </c>
      <c r="D46" s="39">
        <f>E40</f>
        <v>1</v>
      </c>
      <c r="E46" s="181">
        <f>D46*C46</f>
        <v>15.404999999999999</v>
      </c>
      <c r="F46" s="187">
        <f>D15</f>
        <v>15.404999999999999</v>
      </c>
      <c r="G46" s="40">
        <f>+E40</f>
        <v>1</v>
      </c>
      <c r="H46" s="181">
        <f>G46*F46</f>
        <v>15.404999999999999</v>
      </c>
      <c r="I46" s="247">
        <f t="shared" si="0"/>
        <v>0</v>
      </c>
      <c r="J46" s="185">
        <f t="shared" si="1"/>
        <v>0</v>
      </c>
      <c r="K46" s="58"/>
    </row>
    <row r="47" spans="1:11" ht="15" x14ac:dyDescent="0.2">
      <c r="B47" s="43" t="s">
        <v>50</v>
      </c>
      <c r="C47" s="198"/>
      <c r="D47" s="83"/>
      <c r="E47" s="199">
        <f>SUM(E45:E46)</f>
        <v>21.105</v>
      </c>
      <c r="F47" s="200"/>
      <c r="G47" s="84"/>
      <c r="H47" s="199">
        <f>SUM(H45:H46)</f>
        <v>21.134999999999998</v>
      </c>
      <c r="I47" s="249">
        <f t="shared" si="0"/>
        <v>2.9999999999997584E-2</v>
      </c>
      <c r="J47" s="203">
        <f t="shared" si="1"/>
        <v>1.4214641080311577E-3</v>
      </c>
      <c r="K47" s="56"/>
    </row>
    <row r="48" spans="1:11" ht="14.25" x14ac:dyDescent="0.2">
      <c r="B48" s="97" t="s">
        <v>51</v>
      </c>
      <c r="C48" s="186">
        <f>C33</f>
        <v>7.6999999999999999E-2</v>
      </c>
      <c r="D48" s="44">
        <f>$C40*($C25-1)</f>
        <v>6.8100000000000165</v>
      </c>
      <c r="E48" s="181">
        <f>C48*D48</f>
        <v>0.52437000000000122</v>
      </c>
      <c r="F48" s="187">
        <f>C48</f>
        <v>7.6999999999999999E-2</v>
      </c>
      <c r="G48" s="44">
        <f>$C40*($C25-1)</f>
        <v>6.8100000000000165</v>
      </c>
      <c r="H48" s="181">
        <f>F48*G48</f>
        <v>0.52437000000000122</v>
      </c>
      <c r="I48" s="247">
        <f t="shared" ref="I48:I61" si="2">H48-E48</f>
        <v>0</v>
      </c>
      <c r="J48" s="185">
        <f t="shared" si="1"/>
        <v>0</v>
      </c>
      <c r="K48" s="70"/>
    </row>
    <row r="49" spans="2:12" ht="14.25" x14ac:dyDescent="0.2">
      <c r="B49" s="97" t="s">
        <v>52</v>
      </c>
      <c r="C49" s="186"/>
      <c r="D49" s="44"/>
      <c r="E49" s="181">
        <f>D49*C49</f>
        <v>0</v>
      </c>
      <c r="F49" s="187">
        <f>D16</f>
        <v>-0.96660000000000001</v>
      </c>
      <c r="G49" s="44">
        <f>+E40</f>
        <v>1</v>
      </c>
      <c r="H49" s="181">
        <f>G49*F49</f>
        <v>-0.96660000000000001</v>
      </c>
      <c r="I49" s="247">
        <f t="shared" si="2"/>
        <v>-0.96660000000000001</v>
      </c>
      <c r="J49" s="185" t="e">
        <f t="shared" si="1"/>
        <v>#DIV/0!</v>
      </c>
      <c r="K49" s="70"/>
      <c r="L49" s="327"/>
    </row>
    <row r="50" spans="2:12" ht="15" x14ac:dyDescent="0.2">
      <c r="B50" s="57" t="s">
        <v>54</v>
      </c>
      <c r="C50" s="204"/>
      <c r="D50" s="45"/>
      <c r="E50" s="205">
        <f>SUM(E48:E49)+E47</f>
        <v>21.629370000000002</v>
      </c>
      <c r="F50" s="206"/>
      <c r="G50" s="46"/>
      <c r="H50" s="205">
        <f>SUM(H48:H49)+H47</f>
        <v>20.692769999999999</v>
      </c>
      <c r="I50" s="249">
        <f>H50-E50</f>
        <v>-0.9366000000000021</v>
      </c>
      <c r="J50" s="203">
        <f t="shared" si="1"/>
        <v>-4.3302232103847781E-2</v>
      </c>
      <c r="K50" s="56"/>
    </row>
    <row r="51" spans="2:12" ht="14.25" x14ac:dyDescent="0.2">
      <c r="B51" s="99" t="s">
        <v>55</v>
      </c>
      <c r="C51" s="186">
        <f>C17</f>
        <v>2.1223000000000001</v>
      </c>
      <c r="D51" s="72">
        <f>E40</f>
        <v>1</v>
      </c>
      <c r="E51" s="181">
        <f>D51*C51</f>
        <v>2.1223000000000001</v>
      </c>
      <c r="F51" s="187">
        <f>D17</f>
        <v>2.0695000000000001</v>
      </c>
      <c r="G51" s="48">
        <f>+E40</f>
        <v>1</v>
      </c>
      <c r="H51" s="181">
        <f>G51*F51</f>
        <v>2.0695000000000001</v>
      </c>
      <c r="I51" s="247">
        <f t="shared" si="2"/>
        <v>-5.2799999999999958E-2</v>
      </c>
      <c r="J51" s="185">
        <f t="shared" si="1"/>
        <v>-2.4878669368138321E-2</v>
      </c>
      <c r="K51" s="70"/>
    </row>
    <row r="52" spans="2:12" ht="21.75" customHeight="1" x14ac:dyDescent="0.2">
      <c r="B52" s="100" t="s">
        <v>56</v>
      </c>
      <c r="C52" s="186">
        <f>C18</f>
        <v>1.7393000000000001</v>
      </c>
      <c r="D52" s="47">
        <f>+E40</f>
        <v>1</v>
      </c>
      <c r="E52" s="181">
        <f>D52*C52</f>
        <v>1.7393000000000001</v>
      </c>
      <c r="F52" s="187">
        <f>D18</f>
        <v>1.857</v>
      </c>
      <c r="G52" s="48">
        <f>+E40</f>
        <v>1</v>
      </c>
      <c r="H52" s="181">
        <f>G52*F52</f>
        <v>1.857</v>
      </c>
      <c r="I52" s="247">
        <f t="shared" si="2"/>
        <v>0.11769999999999992</v>
      </c>
      <c r="J52" s="185">
        <f t="shared" si="1"/>
        <v>6.7670902087046458E-2</v>
      </c>
      <c r="K52" s="70"/>
      <c r="L52" s="328"/>
    </row>
    <row r="53" spans="2:12" ht="15" x14ac:dyDescent="0.2">
      <c r="B53" s="57" t="s">
        <v>57</v>
      </c>
      <c r="C53" s="204"/>
      <c r="D53" s="45"/>
      <c r="E53" s="205">
        <f>SUM(E50:E52)</f>
        <v>25.490970000000001</v>
      </c>
      <c r="F53" s="207"/>
      <c r="G53" s="49"/>
      <c r="H53" s="205">
        <f>SUM(H50:H52)</f>
        <v>24.61927</v>
      </c>
      <c r="I53" s="249">
        <f>H53-E53</f>
        <v>-0.87170000000000059</v>
      </c>
      <c r="J53" s="203">
        <f t="shared" si="1"/>
        <v>-3.4196423282440824E-2</v>
      </c>
      <c r="K53" s="54"/>
    </row>
    <row r="54" spans="2:12" ht="14.25" x14ac:dyDescent="0.2">
      <c r="B54" s="97" t="s">
        <v>58</v>
      </c>
      <c r="C54" s="209">
        <f>C19</f>
        <v>3.2000000000000002E-3</v>
      </c>
      <c r="D54" s="44">
        <f>C40+D48</f>
        <v>156.81</v>
      </c>
      <c r="E54" s="218">
        <f t="shared" ref="E54:E61" si="3">D54*C54</f>
        <v>0.50179200000000002</v>
      </c>
      <c r="F54" s="236">
        <f>D19</f>
        <v>3.2000000000000002E-3</v>
      </c>
      <c r="G54" s="277">
        <f>+C40+G48</f>
        <v>156.81</v>
      </c>
      <c r="H54" s="211">
        <f t="shared" ref="H54:H60" si="4">G54*F54</f>
        <v>0.50179200000000002</v>
      </c>
      <c r="I54" s="250">
        <f t="shared" si="2"/>
        <v>0</v>
      </c>
      <c r="J54" s="243">
        <f t="shared" si="1"/>
        <v>0</v>
      </c>
      <c r="K54" s="70"/>
    </row>
    <row r="55" spans="2:12" ht="14.25" x14ac:dyDescent="0.2">
      <c r="B55" s="97" t="s">
        <v>103</v>
      </c>
      <c r="C55" s="209">
        <f>C20</f>
        <v>4.0000000000000002E-4</v>
      </c>
      <c r="D55" s="166">
        <f>+C40+D48</f>
        <v>156.81</v>
      </c>
      <c r="E55" s="218">
        <f t="shared" si="3"/>
        <v>6.2724000000000002E-2</v>
      </c>
      <c r="F55" s="236">
        <f>D20</f>
        <v>4.0000000000000002E-4</v>
      </c>
      <c r="G55" s="277">
        <f>+C40+G48</f>
        <v>156.81</v>
      </c>
      <c r="H55" s="211">
        <f t="shared" si="4"/>
        <v>6.2724000000000002E-2</v>
      </c>
      <c r="I55" s="250">
        <f t="shared" si="2"/>
        <v>0</v>
      </c>
      <c r="J55" s="243">
        <f t="shared" si="1"/>
        <v>0</v>
      </c>
      <c r="K55" s="70"/>
    </row>
    <row r="56" spans="2:12" ht="14.25" x14ac:dyDescent="0.2">
      <c r="B56" s="96" t="s">
        <v>59</v>
      </c>
      <c r="C56" s="209">
        <f>C21</f>
        <v>2.9999999999999997E-4</v>
      </c>
      <c r="D56" s="166">
        <f>+C40+D48</f>
        <v>156.81</v>
      </c>
      <c r="E56" s="218">
        <f t="shared" si="3"/>
        <v>4.7042999999999995E-2</v>
      </c>
      <c r="F56" s="236">
        <f>D21</f>
        <v>2.9999999999999997E-4</v>
      </c>
      <c r="G56" s="277">
        <f>+C40+G48</f>
        <v>156.81</v>
      </c>
      <c r="H56" s="218">
        <f t="shared" si="4"/>
        <v>4.7042999999999995E-2</v>
      </c>
      <c r="I56" s="250">
        <f t="shared" si="2"/>
        <v>0</v>
      </c>
      <c r="J56" s="243">
        <f t="shared" si="1"/>
        <v>0</v>
      </c>
      <c r="K56" s="70"/>
    </row>
    <row r="57" spans="2:12" ht="14.25" x14ac:dyDescent="0.2">
      <c r="B57" s="96" t="s">
        <v>60</v>
      </c>
      <c r="C57" s="269">
        <f>C23</f>
        <v>0.25</v>
      </c>
      <c r="D57" s="44">
        <f>D45</f>
        <v>1</v>
      </c>
      <c r="E57" s="218">
        <f t="shared" si="3"/>
        <v>0.25</v>
      </c>
      <c r="F57" s="270">
        <f>D23</f>
        <v>0.25</v>
      </c>
      <c r="G57" s="140">
        <f>+G45</f>
        <v>1</v>
      </c>
      <c r="H57" s="218">
        <f t="shared" si="4"/>
        <v>0.25</v>
      </c>
      <c r="I57" s="250">
        <f t="shared" si="2"/>
        <v>0</v>
      </c>
      <c r="J57" s="243">
        <f t="shared" si="1"/>
        <v>0</v>
      </c>
      <c r="K57" s="70"/>
    </row>
    <row r="58" spans="2:12" ht="15" x14ac:dyDescent="0.2">
      <c r="B58" s="57" t="s">
        <v>65</v>
      </c>
      <c r="C58" s="204"/>
      <c r="D58" s="45"/>
      <c r="E58" s="205">
        <f>SUM(E54:E57)</f>
        <v>0.86155899999999996</v>
      </c>
      <c r="F58" s="207"/>
      <c r="G58" s="49"/>
      <c r="H58" s="205">
        <f>SUM(H54:H57)</f>
        <v>0.86155899999999996</v>
      </c>
      <c r="I58" s="249">
        <f>SUM(I54:I57)</f>
        <v>0</v>
      </c>
      <c r="J58" s="203">
        <f t="shared" si="1"/>
        <v>0</v>
      </c>
      <c r="K58" s="70"/>
    </row>
    <row r="59" spans="2:12" ht="15" x14ac:dyDescent="0.2">
      <c r="B59" s="57" t="s">
        <v>11</v>
      </c>
      <c r="C59" s="214">
        <f>C24</f>
        <v>7.0000000000000001E-3</v>
      </c>
      <c r="D59" s="134">
        <f>C40</f>
        <v>150</v>
      </c>
      <c r="E59" s="261">
        <f t="shared" si="3"/>
        <v>1.05</v>
      </c>
      <c r="F59" s="216">
        <f>D24</f>
        <v>7.0000000000000001E-3</v>
      </c>
      <c r="G59" s="135">
        <f>+C40</f>
        <v>150</v>
      </c>
      <c r="H59" s="215">
        <f t="shared" si="4"/>
        <v>1.05</v>
      </c>
      <c r="I59" s="249">
        <f t="shared" si="2"/>
        <v>0</v>
      </c>
      <c r="J59" s="203">
        <f t="shared" si="1"/>
        <v>0</v>
      </c>
      <c r="K59" s="70"/>
    </row>
    <row r="60" spans="2:12" ht="14.25" x14ac:dyDescent="0.2">
      <c r="B60" s="97" t="s">
        <v>35</v>
      </c>
      <c r="C60" s="209">
        <f>C33</f>
        <v>7.6999999999999999E-2</v>
      </c>
      <c r="D60" s="263">
        <f>IF(C40&gt;C41,C41,C40)</f>
        <v>150</v>
      </c>
      <c r="E60" s="218">
        <f t="shared" si="3"/>
        <v>11.55</v>
      </c>
      <c r="F60" s="236">
        <f>C60</f>
        <v>7.6999999999999999E-2</v>
      </c>
      <c r="G60" s="263">
        <f>IF(C40&gt;C41,C41,C40)</f>
        <v>150</v>
      </c>
      <c r="H60" s="218">
        <f t="shared" si="4"/>
        <v>11.55</v>
      </c>
      <c r="I60" s="250">
        <f t="shared" si="2"/>
        <v>0</v>
      </c>
      <c r="J60" s="253">
        <f t="shared" si="1"/>
        <v>0</v>
      </c>
      <c r="K60" s="70"/>
    </row>
    <row r="61" spans="2:12" ht="14.25" x14ac:dyDescent="0.2">
      <c r="B61" s="97" t="s">
        <v>36</v>
      </c>
      <c r="C61" s="209">
        <f>C34</f>
        <v>0.09</v>
      </c>
      <c r="D61" s="264">
        <f>IF(C40&gt;C41,C41-C40,0)</f>
        <v>0</v>
      </c>
      <c r="E61" s="218">
        <f t="shared" si="3"/>
        <v>0</v>
      </c>
      <c r="F61" s="236">
        <f>C61</f>
        <v>0.09</v>
      </c>
      <c r="G61" s="264">
        <f>D61</f>
        <v>0</v>
      </c>
      <c r="H61" s="218">
        <f>F61*G61</f>
        <v>0</v>
      </c>
      <c r="I61" s="250">
        <f t="shared" si="2"/>
        <v>0</v>
      </c>
      <c r="J61" s="243" t="str">
        <f t="shared" si="1"/>
        <v/>
      </c>
      <c r="K61" s="70"/>
    </row>
    <row r="62" spans="2:12" ht="15.75" thickBot="1" x14ac:dyDescent="0.25">
      <c r="B62" s="57" t="s">
        <v>66</v>
      </c>
      <c r="C62" s="204"/>
      <c r="D62" s="45"/>
      <c r="E62" s="262">
        <f>SUM(E60:E61)</f>
        <v>11.55</v>
      </c>
      <c r="F62" s="207"/>
      <c r="G62" s="49"/>
      <c r="H62" s="205">
        <f>SUM(H60:H61)</f>
        <v>11.55</v>
      </c>
      <c r="I62" s="249">
        <f>H62-E62</f>
        <v>0</v>
      </c>
      <c r="J62" s="203">
        <f t="shared" si="1"/>
        <v>0</v>
      </c>
      <c r="K62" s="70"/>
    </row>
    <row r="63" spans="2:12" ht="7.5" customHeight="1" thickBot="1" x14ac:dyDescent="0.25">
      <c r="B63" s="101"/>
      <c r="C63" s="219"/>
      <c r="D63" s="50"/>
      <c r="E63" s="220"/>
      <c r="F63" s="221"/>
      <c r="G63" s="51"/>
      <c r="H63" s="220"/>
      <c r="I63" s="252"/>
      <c r="J63" s="224"/>
      <c r="K63" s="56"/>
    </row>
    <row r="64" spans="2:12" ht="15" x14ac:dyDescent="0.2">
      <c r="B64" s="81" t="s">
        <v>138</v>
      </c>
      <c r="C64" s="225"/>
      <c r="D64" s="52"/>
      <c r="E64" s="226">
        <f>E62+E59+E58+E53</f>
        <v>38.952528999999998</v>
      </c>
      <c r="F64" s="227"/>
      <c r="G64" s="53"/>
      <c r="H64" s="228">
        <f>H62+H59+H58+H53</f>
        <v>38.080829000000001</v>
      </c>
      <c r="I64" s="250">
        <f>H64-E64</f>
        <v>-0.87169999999999703</v>
      </c>
      <c r="J64" s="185">
        <f>IF((H64)=0,"",(I64/E64))</f>
        <v>-2.2378521302172629E-2</v>
      </c>
      <c r="K64" s="77"/>
    </row>
    <row r="65" spans="2:18" ht="14.25" x14ac:dyDescent="0.2">
      <c r="B65" s="82" t="s">
        <v>21</v>
      </c>
      <c r="C65" s="225">
        <v>0.13</v>
      </c>
      <c r="D65" s="55"/>
      <c r="E65" s="229">
        <f>E64*C65</f>
        <v>5.0638287699999998</v>
      </c>
      <c r="F65" s="230">
        <v>0.13</v>
      </c>
      <c r="G65" s="37"/>
      <c r="H65" s="231">
        <f>H64*F65</f>
        <v>4.9505077700000006</v>
      </c>
      <c r="I65" s="250">
        <f>H65-E65</f>
        <v>-0.11332099999999912</v>
      </c>
      <c r="J65" s="185">
        <f>IF((H65)=0,"",(I65/E65))</f>
        <v>-2.2378521302172532E-2</v>
      </c>
      <c r="K65" s="55"/>
    </row>
    <row r="66" spans="2:18" ht="15" x14ac:dyDescent="0.2">
      <c r="B66" s="82" t="s">
        <v>101</v>
      </c>
      <c r="C66" s="225">
        <v>-0.08</v>
      </c>
      <c r="D66" s="55"/>
      <c r="E66" s="229">
        <f>+E64*C66</f>
        <v>-3.1162023199999997</v>
      </c>
      <c r="F66" s="230">
        <v>-0.08</v>
      </c>
      <c r="G66" s="37"/>
      <c r="H66" s="231">
        <f>+H64*F66</f>
        <v>-3.0464663200000004</v>
      </c>
      <c r="I66" s="250">
        <f>H66-E66</f>
        <v>6.9735999999999354E-2</v>
      </c>
      <c r="J66" s="185">
        <f>IF((H66)=0,"",(I66/E66))</f>
        <v>-2.2378521302172497E-2</v>
      </c>
      <c r="K66" s="78"/>
    </row>
    <row r="67" spans="2:18" ht="15" x14ac:dyDescent="0.2">
      <c r="B67" s="88" t="s">
        <v>139</v>
      </c>
      <c r="C67" s="233"/>
      <c r="D67" s="89"/>
      <c r="E67" s="234">
        <f>SUM(E64:E66)</f>
        <v>40.90015545</v>
      </c>
      <c r="F67" s="235"/>
      <c r="G67" s="90"/>
      <c r="H67" s="208">
        <f>SUM(H64:H66)</f>
        <v>39.984870450000003</v>
      </c>
      <c r="I67" s="249">
        <f>H67-E67</f>
        <v>-0.91528499999999724</v>
      </c>
      <c r="J67" s="203">
        <f>IF((H67)=0,"",(I67/E67))</f>
        <v>-2.2378521302172636E-2</v>
      </c>
      <c r="K67" s="19"/>
      <c r="L67" s="19"/>
      <c r="M67" s="19"/>
      <c r="N67" s="19"/>
      <c r="O67" s="19"/>
      <c r="P67" s="133"/>
      <c r="Q67" s="133"/>
      <c r="R67" s="133"/>
    </row>
    <row r="68" spans="2:18" x14ac:dyDescent="0.2">
      <c r="B68" s="31"/>
      <c r="L68" s="133"/>
      <c r="M68" s="133"/>
      <c r="N68" s="133"/>
      <c r="O68" s="133"/>
      <c r="P68" s="133"/>
      <c r="Q68" s="133"/>
      <c r="R68" s="133"/>
    </row>
    <row r="69" spans="2:18" ht="12.75" customHeight="1" x14ac:dyDescent="0.2">
      <c r="B69" s="313" t="s">
        <v>131</v>
      </c>
      <c r="C69" s="578" t="s">
        <v>43</v>
      </c>
      <c r="D69" s="579"/>
      <c r="E69" s="579"/>
      <c r="F69" s="578" t="s">
        <v>44</v>
      </c>
      <c r="G69" s="579"/>
      <c r="H69" s="580"/>
      <c r="I69" s="579" t="s">
        <v>45</v>
      </c>
      <c r="J69" s="580"/>
    </row>
    <row r="70" spans="2:18" x14ac:dyDescent="0.2">
      <c r="B70" s="309" t="s">
        <v>133</v>
      </c>
      <c r="C70" s="316">
        <f>+C45</f>
        <v>5.7</v>
      </c>
      <c r="D70" s="295"/>
      <c r="E70" s="298">
        <f>+E45</f>
        <v>5.7</v>
      </c>
      <c r="F70" s="318">
        <f>+F45</f>
        <v>5.73</v>
      </c>
      <c r="G70" s="296"/>
      <c r="H70" s="301">
        <f>+H45</f>
        <v>5.73</v>
      </c>
      <c r="I70" s="296"/>
      <c r="J70" s="297"/>
    </row>
    <row r="71" spans="2:18" x14ac:dyDescent="0.2">
      <c r="B71" s="311" t="s">
        <v>135</v>
      </c>
      <c r="C71" s="317">
        <f>+C46</f>
        <v>15.404999999999999</v>
      </c>
      <c r="D71" s="295"/>
      <c r="E71" s="298">
        <f>+E46</f>
        <v>15.404999999999999</v>
      </c>
      <c r="F71" s="320">
        <f>+F46</f>
        <v>15.404999999999999</v>
      </c>
      <c r="G71" s="296"/>
      <c r="H71" s="301">
        <f>+H46</f>
        <v>15.404999999999999</v>
      </c>
      <c r="I71" s="296"/>
      <c r="J71" s="297"/>
    </row>
    <row r="72" spans="2:18" x14ac:dyDescent="0.2">
      <c r="B72" s="299"/>
      <c r="C72" s="302"/>
      <c r="D72" s="303"/>
      <c r="E72" s="304">
        <f>SUM(E70:E71)</f>
        <v>21.105</v>
      </c>
      <c r="F72" s="305"/>
      <c r="G72" s="18"/>
      <c r="H72" s="306">
        <f>SUM(H70:H71)</f>
        <v>21.134999999999998</v>
      </c>
      <c r="I72" s="307">
        <f>+H72-E72</f>
        <v>2.9999999999997584E-2</v>
      </c>
      <c r="J72" s="308">
        <f>+I72/E72</f>
        <v>1.4214641080311577E-3</v>
      </c>
    </row>
  </sheetData>
  <mergeCells count="10">
    <mergeCell ref="B11:E11"/>
    <mergeCell ref="C42:E42"/>
    <mergeCell ref="F42:H42"/>
    <mergeCell ref="I42:J42"/>
    <mergeCell ref="C69:E69"/>
    <mergeCell ref="F69:H69"/>
    <mergeCell ref="I69:J69"/>
    <mergeCell ref="B43:B44"/>
    <mergeCell ref="I43:I44"/>
    <mergeCell ref="J43:J44"/>
  </mergeCells>
  <pageMargins left="0.75" right="0.75" top="1" bottom="1" header="0.5" footer="0.5"/>
  <pageSetup scale="86" orientation="landscape" r:id="rId1"/>
  <headerFooter alignWithMargins="0">
    <oddFooter>&amp;R&amp;F</oddFooter>
  </headerFooter>
  <ignoredErrors>
    <ignoredError sqref="C45:C46 F45 C48:D48 F48:G48 G49 C51:D51 F51:G51 C52:D52 F52:G52 C54:D54 F54:G54 C55:D55 F55:G55 C56:D56 F56:G56 C57:D57 F57:G57 C59:D59 F59:G59 F60:F61 C60:C61 F46 D46" unlockedFormula="1"/>
    <ignoredError sqref="E50 H50 E53 H53 E58 H58:I5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3"/>
  <sheetViews>
    <sheetView showGridLines="0" topLeftCell="A12" zoomScale="90" workbookViewId="0">
      <selection activeCell="F29" sqref="F29"/>
    </sheetView>
  </sheetViews>
  <sheetFormatPr defaultRowHeight="12.75" x14ac:dyDescent="0.2"/>
  <cols>
    <col min="1" max="1" width="2.28515625" customWidth="1"/>
    <col min="2" max="2" width="47.42578125" customWidth="1"/>
    <col min="3" max="3" width="11" customWidth="1"/>
    <col min="4" max="4" width="11.140625" customWidth="1"/>
    <col min="5" max="5" width="14.28515625" customWidth="1"/>
    <col min="6" max="6" width="10.42578125" customWidth="1"/>
    <col min="7" max="7" width="9.85546875" bestFit="1" customWidth="1"/>
    <col min="8" max="8" width="15.5703125" customWidth="1"/>
    <col min="9" max="9" width="11.28515625" customWidth="1"/>
    <col min="10" max="10" width="11.140625" bestFit="1" customWidth="1"/>
    <col min="11" max="11" width="13.140625" customWidth="1"/>
    <col min="12" max="13" width="12.7109375" bestFit="1" customWidth="1"/>
    <col min="14" max="14" width="10" customWidth="1"/>
    <col min="15" max="15" width="10.42578125" bestFit="1" customWidth="1"/>
    <col min="16" max="16" width="9.28515625" bestFit="1" customWidth="1"/>
  </cols>
  <sheetData>
    <row r="1" spans="2:11" hidden="1" x14ac:dyDescent="0.2"/>
    <row r="2" spans="2:11" hidden="1" x14ac:dyDescent="0.2"/>
    <row r="3" spans="2:11" hidden="1" x14ac:dyDescent="0.2"/>
    <row r="4" spans="2:11" hidden="1" x14ac:dyDescent="0.2"/>
    <row r="5" spans="2:11" hidden="1" x14ac:dyDescent="0.2"/>
    <row r="6" spans="2:11" hidden="1" x14ac:dyDescent="0.2"/>
    <row r="7" spans="2:11" hidden="1" x14ac:dyDescent="0.2"/>
    <row r="8" spans="2:11" hidden="1" x14ac:dyDescent="0.2"/>
    <row r="9" spans="2:11" ht="18" x14ac:dyDescent="0.25">
      <c r="B9" s="1" t="s">
        <v>22</v>
      </c>
      <c r="C9" s="2"/>
      <c r="D9" s="2"/>
      <c r="E9" s="145"/>
      <c r="F9" s="142" t="s">
        <v>84</v>
      </c>
      <c r="G9" s="2"/>
      <c r="H9" s="2"/>
      <c r="I9" s="2"/>
      <c r="J9" s="2"/>
      <c r="K9" s="2"/>
    </row>
    <row r="10" spans="2:1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1" ht="18" x14ac:dyDescent="0.25">
      <c r="B11" s="583" t="s">
        <v>24</v>
      </c>
      <c r="C11" s="583"/>
      <c r="D11" s="583"/>
      <c r="E11" s="583"/>
      <c r="F11" s="3"/>
      <c r="G11" s="3"/>
      <c r="H11" s="2"/>
      <c r="I11" s="2"/>
      <c r="J11" s="2"/>
      <c r="K11" s="2"/>
    </row>
    <row r="12" spans="2:11" ht="13.5" thickBot="1" x14ac:dyDescent="0.25">
      <c r="B12" s="2"/>
      <c r="C12" s="144">
        <v>2017</v>
      </c>
      <c r="D12" s="144">
        <v>2018</v>
      </c>
      <c r="E12" s="2"/>
      <c r="F12" s="2"/>
      <c r="G12" s="2"/>
      <c r="H12" s="2"/>
      <c r="I12" s="2"/>
      <c r="J12" s="2"/>
      <c r="K12" s="2"/>
    </row>
    <row r="13" spans="2:11" ht="26.25" thickBot="1" x14ac:dyDescent="0.25">
      <c r="B13" s="4" t="s">
        <v>1</v>
      </c>
      <c r="C13" s="91" t="s">
        <v>2</v>
      </c>
      <c r="D13" s="91" t="s">
        <v>44</v>
      </c>
      <c r="E13" s="2"/>
      <c r="F13" s="2"/>
      <c r="G13" s="2"/>
      <c r="H13" s="2"/>
      <c r="I13" s="2"/>
      <c r="J13" s="2"/>
      <c r="K13" s="2"/>
    </row>
    <row r="14" spans="2:11" x14ac:dyDescent="0.2">
      <c r="B14" s="141" t="s">
        <v>3</v>
      </c>
      <c r="C14" s="6">
        <v>1.79</v>
      </c>
      <c r="D14" s="6">
        <v>1.8</v>
      </c>
      <c r="E14" s="2"/>
      <c r="F14" s="2"/>
      <c r="G14" s="2"/>
      <c r="H14" s="2"/>
      <c r="I14" s="280"/>
      <c r="J14" s="2"/>
      <c r="K14" s="2"/>
    </row>
    <row r="15" spans="2:11" x14ac:dyDescent="0.2">
      <c r="B15" s="93" t="s">
        <v>5</v>
      </c>
      <c r="C15" s="139">
        <v>7.1336000000000004</v>
      </c>
      <c r="D15" s="139">
        <v>7.0857999999999999</v>
      </c>
      <c r="E15" s="2"/>
      <c r="F15" s="2"/>
      <c r="G15" s="2"/>
      <c r="H15" s="2"/>
      <c r="I15" s="281"/>
      <c r="J15" s="2"/>
      <c r="K15" s="2"/>
    </row>
    <row r="16" spans="2:11" x14ac:dyDescent="0.2">
      <c r="B16" s="9" t="s">
        <v>97</v>
      </c>
      <c r="C16" s="139">
        <v>0.44519999999999998</v>
      </c>
      <c r="D16" s="147">
        <v>0</v>
      </c>
      <c r="E16" s="2"/>
      <c r="F16" s="2"/>
      <c r="G16" s="2"/>
      <c r="H16" s="2"/>
      <c r="I16" s="281"/>
      <c r="J16" s="2"/>
      <c r="K16" s="2"/>
    </row>
    <row r="17" spans="2:11" x14ac:dyDescent="0.2">
      <c r="B17" s="9" t="s">
        <v>112</v>
      </c>
      <c r="C17" s="147">
        <v>0</v>
      </c>
      <c r="D17" s="147">
        <v>8.1000000000000003E-2</v>
      </c>
      <c r="E17" s="16"/>
      <c r="F17" s="2"/>
      <c r="G17" s="2"/>
      <c r="H17" s="2"/>
      <c r="I17" s="287"/>
      <c r="J17" s="2"/>
      <c r="K17" s="2"/>
    </row>
    <row r="18" spans="2:11" x14ac:dyDescent="0.2">
      <c r="B18" s="93" t="s">
        <v>116</v>
      </c>
      <c r="C18" s="139"/>
      <c r="D18" s="139">
        <v>-1.0827</v>
      </c>
      <c r="E18" s="2"/>
      <c r="F18" s="2"/>
      <c r="G18" s="2"/>
      <c r="H18" s="2"/>
      <c r="I18" s="281"/>
      <c r="J18" s="2"/>
      <c r="K18" s="2"/>
    </row>
    <row r="19" spans="2:11" s="133" customFormat="1" x14ac:dyDescent="0.2">
      <c r="B19" s="93" t="s">
        <v>117</v>
      </c>
      <c r="C19" s="10"/>
      <c r="D19" s="139">
        <v>1.2999999999999999E-3</v>
      </c>
      <c r="E19" s="16"/>
      <c r="F19" s="16"/>
      <c r="G19" s="16"/>
      <c r="H19" s="16"/>
      <c r="I19" s="17"/>
      <c r="J19" s="16"/>
      <c r="K19" s="16"/>
    </row>
    <row r="20" spans="2:11" x14ac:dyDescent="0.2">
      <c r="B20" s="93" t="s">
        <v>86</v>
      </c>
      <c r="C20" s="147">
        <v>-0.55179999999999996</v>
      </c>
      <c r="D20" s="147">
        <v>0</v>
      </c>
      <c r="E20" s="2"/>
      <c r="F20" s="2"/>
      <c r="G20" s="2"/>
      <c r="H20" s="2"/>
      <c r="I20" s="287"/>
      <c r="J20" s="2"/>
      <c r="K20" s="2"/>
    </row>
    <row r="21" spans="2:11" x14ac:dyDescent="0.2">
      <c r="B21" s="93" t="s">
        <v>6</v>
      </c>
      <c r="C21" s="153">
        <v>2.1114999999999999</v>
      </c>
      <c r="D21" s="153">
        <v>2.0590000000000002</v>
      </c>
      <c r="E21" s="2"/>
      <c r="F21" s="2"/>
      <c r="G21" s="2"/>
      <c r="H21" s="2"/>
      <c r="I21" s="281"/>
      <c r="J21" s="2"/>
      <c r="K21" s="2"/>
    </row>
    <row r="22" spans="2:11" ht="27" customHeight="1" x14ac:dyDescent="0.2">
      <c r="B22" s="93" t="s">
        <v>7</v>
      </c>
      <c r="C22" s="153">
        <v>1.7037</v>
      </c>
      <c r="D22" s="153">
        <v>1.8189</v>
      </c>
      <c r="E22" s="2"/>
      <c r="F22" s="2"/>
      <c r="G22" s="2"/>
      <c r="H22" s="2"/>
      <c r="I22" s="281"/>
      <c r="J22" s="2"/>
      <c r="K22" s="2"/>
    </row>
    <row r="23" spans="2:11" x14ac:dyDescent="0.2">
      <c r="B23" s="93" t="s">
        <v>8</v>
      </c>
      <c r="C23" s="11">
        <v>3.2000000000000002E-3</v>
      </c>
      <c r="D23" s="11">
        <v>3.2000000000000002E-3</v>
      </c>
      <c r="E23" s="2"/>
      <c r="F23" s="2"/>
      <c r="G23" s="2"/>
      <c r="H23" s="2"/>
      <c r="I23" s="136"/>
      <c r="J23" s="2"/>
      <c r="K23" s="2"/>
    </row>
    <row r="24" spans="2:11" x14ac:dyDescent="0.2">
      <c r="B24" s="93" t="s">
        <v>103</v>
      </c>
      <c r="C24" s="11">
        <v>4.0000000000000002E-4</v>
      </c>
      <c r="D24" s="11">
        <v>4.0000000000000002E-4</v>
      </c>
      <c r="E24" s="2"/>
      <c r="F24" s="2"/>
      <c r="G24" s="2"/>
      <c r="H24" s="2"/>
      <c r="I24" s="136"/>
      <c r="J24" s="2"/>
      <c r="K24" s="2"/>
    </row>
    <row r="25" spans="2:11" x14ac:dyDescent="0.2">
      <c r="B25" s="93" t="s">
        <v>9</v>
      </c>
      <c r="C25" s="11">
        <v>2.9999999999999997E-4</v>
      </c>
      <c r="D25" s="11">
        <v>2.9999999999999997E-4</v>
      </c>
      <c r="E25" s="2"/>
      <c r="F25" s="2"/>
      <c r="G25" s="2"/>
      <c r="H25" s="2"/>
      <c r="I25" s="136"/>
      <c r="J25" s="2"/>
      <c r="K25" s="2"/>
    </row>
    <row r="26" spans="2:11" x14ac:dyDescent="0.2">
      <c r="B26" s="93" t="s">
        <v>81</v>
      </c>
      <c r="C26" s="11">
        <v>0</v>
      </c>
      <c r="D26" s="11">
        <v>0</v>
      </c>
      <c r="E26" s="164" t="s">
        <v>105</v>
      </c>
      <c r="F26" s="2"/>
      <c r="G26" s="2"/>
      <c r="H26" s="2"/>
      <c r="I26" s="136"/>
      <c r="J26" s="2"/>
      <c r="K26" s="2"/>
    </row>
    <row r="27" spans="2:11" ht="23.25" customHeight="1" x14ac:dyDescent="0.2">
      <c r="B27" s="93" t="s">
        <v>10</v>
      </c>
      <c r="C27" s="12">
        <v>0.25</v>
      </c>
      <c r="D27" s="12">
        <v>0.25</v>
      </c>
      <c r="E27" s="2"/>
      <c r="F27" s="2"/>
      <c r="G27" s="2"/>
      <c r="H27" s="2"/>
      <c r="I27" s="282"/>
      <c r="J27" s="2"/>
      <c r="K27" s="2"/>
    </row>
    <row r="28" spans="2:11" x14ac:dyDescent="0.2">
      <c r="B28" s="93" t="s">
        <v>11</v>
      </c>
      <c r="C28" s="13">
        <v>7.0000000000000001E-3</v>
      </c>
      <c r="D28" s="13">
        <v>7.0000000000000001E-3</v>
      </c>
      <c r="E28" s="2"/>
      <c r="F28" s="2"/>
      <c r="G28" s="2"/>
      <c r="H28" s="2"/>
      <c r="I28" s="136"/>
      <c r="J28" s="2"/>
      <c r="K28" s="2"/>
    </row>
    <row r="29" spans="2:11" ht="13.5" thickBot="1" x14ac:dyDescent="0.25">
      <c r="B29" s="14" t="s">
        <v>12</v>
      </c>
      <c r="C29" s="15">
        <v>1.0454000000000001</v>
      </c>
      <c r="D29" s="15">
        <v>1.0454000000000001</v>
      </c>
      <c r="E29" s="2"/>
      <c r="F29" s="2"/>
      <c r="G29" s="2"/>
      <c r="H29" s="2"/>
      <c r="I29" s="136"/>
      <c r="J29" s="2"/>
      <c r="K29" s="2"/>
    </row>
    <row r="30" spans="2:11" x14ac:dyDescent="0.2">
      <c r="B30" s="92"/>
      <c r="C30" s="2"/>
      <c r="D30" s="2"/>
      <c r="E30" s="2"/>
      <c r="F30" s="2"/>
      <c r="G30" s="2"/>
      <c r="H30" s="2"/>
      <c r="I30" s="2"/>
      <c r="J30" s="2"/>
      <c r="K30" s="2"/>
    </row>
    <row r="31" spans="2:11" ht="13.5" thickBot="1" x14ac:dyDescent="0.25">
      <c r="B31" s="275" t="s">
        <v>126</v>
      </c>
      <c r="C31" s="144">
        <v>2018</v>
      </c>
      <c r="D31" s="144">
        <v>2018</v>
      </c>
      <c r="E31" s="2"/>
      <c r="F31" s="2"/>
      <c r="G31" s="2"/>
      <c r="H31" s="2"/>
      <c r="I31" s="2"/>
      <c r="J31" s="2"/>
      <c r="K31" s="2"/>
    </row>
    <row r="32" spans="2:11" ht="13.5" thickBot="1" x14ac:dyDescent="0.25">
      <c r="B32" s="533" t="s">
        <v>1</v>
      </c>
      <c r="C32" s="534" t="s">
        <v>127</v>
      </c>
      <c r="D32" s="534" t="s">
        <v>128</v>
      </c>
      <c r="E32" s="2"/>
      <c r="F32" s="2"/>
      <c r="G32" s="2"/>
      <c r="H32" s="2"/>
      <c r="I32" s="2"/>
      <c r="J32" s="2"/>
      <c r="K32" s="2"/>
    </row>
    <row r="33" spans="2:13" x14ac:dyDescent="0.2">
      <c r="B33" s="560" t="s">
        <v>124</v>
      </c>
      <c r="C33" s="561"/>
      <c r="D33" s="556">
        <v>0.24590000000000001</v>
      </c>
      <c r="E33" s="2"/>
      <c r="F33" s="290"/>
      <c r="G33" s="290"/>
      <c r="H33" s="2"/>
      <c r="I33" s="2"/>
      <c r="J33" s="2"/>
      <c r="K33" s="2"/>
    </row>
    <row r="34" spans="2:13" ht="13.5" thickBot="1" x14ac:dyDescent="0.25">
      <c r="B34" s="553" t="s">
        <v>125</v>
      </c>
      <c r="C34" s="557"/>
      <c r="D34" s="557">
        <v>0.3674</v>
      </c>
      <c r="E34" s="2"/>
      <c r="F34" s="290"/>
      <c r="G34" s="290"/>
      <c r="H34" s="2"/>
      <c r="I34" s="2"/>
      <c r="J34" s="2"/>
      <c r="K34" s="2"/>
    </row>
    <row r="35" spans="2:13" x14ac:dyDescent="0.2">
      <c r="B35" s="92"/>
      <c r="C35" s="2"/>
      <c r="D35" s="2"/>
      <c r="E35" s="2"/>
      <c r="F35" s="2"/>
      <c r="G35" s="2"/>
      <c r="H35" s="2"/>
      <c r="I35" s="2"/>
      <c r="J35" s="2"/>
      <c r="K35" s="2"/>
    </row>
    <row r="36" spans="2:13" x14ac:dyDescent="0.2">
      <c r="B36" s="92"/>
      <c r="C36" s="2"/>
      <c r="D36" s="2"/>
      <c r="E36" s="2"/>
      <c r="F36" s="2"/>
      <c r="G36" s="2"/>
      <c r="H36" s="2"/>
      <c r="I36" s="2"/>
      <c r="J36" s="2"/>
      <c r="K36" s="2"/>
    </row>
    <row r="37" spans="2:13" x14ac:dyDescent="0.2">
      <c r="B37" s="9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">
      <c r="B38" s="92" t="s">
        <v>35</v>
      </c>
      <c r="C38" s="136">
        <v>7.6999999999999999E-2</v>
      </c>
      <c r="D38" s="136">
        <v>7.6999999999999999E-2</v>
      </c>
      <c r="E38" s="86"/>
      <c r="F38" s="2"/>
      <c r="G38" s="2"/>
      <c r="H38" s="2"/>
      <c r="I38" s="2"/>
      <c r="J38" s="2"/>
      <c r="K38" s="2"/>
    </row>
    <row r="39" spans="2:13" x14ac:dyDescent="0.2">
      <c r="B39" s="92" t="s">
        <v>36</v>
      </c>
      <c r="C39" s="136">
        <v>0.09</v>
      </c>
      <c r="D39" s="136">
        <v>0.09</v>
      </c>
      <c r="E39" s="86"/>
      <c r="F39" s="2"/>
      <c r="G39" s="2"/>
      <c r="H39" s="2"/>
      <c r="I39" s="2"/>
      <c r="J39" s="2"/>
      <c r="K39" s="2"/>
    </row>
    <row r="40" spans="2:13" x14ac:dyDescent="0.2">
      <c r="B40" s="92" t="s">
        <v>37</v>
      </c>
      <c r="C40" s="136">
        <v>6.5000000000000002E-2</v>
      </c>
      <c r="D40" s="136">
        <v>6.5000000000000002E-2</v>
      </c>
      <c r="E40" s="86">
        <f>'Res '!E44</f>
        <v>0.65</v>
      </c>
      <c r="F40" s="87">
        <f>C40*E40</f>
        <v>4.2250000000000003E-2</v>
      </c>
      <c r="G40" s="2"/>
      <c r="H40" s="2"/>
      <c r="I40" s="2"/>
      <c r="J40" s="2"/>
      <c r="K40" s="2"/>
    </row>
    <row r="41" spans="2:13" x14ac:dyDescent="0.2">
      <c r="B41" s="92" t="s">
        <v>38</v>
      </c>
      <c r="C41" s="136">
        <v>9.5000000000000001E-2</v>
      </c>
      <c r="D41" s="136">
        <v>9.5000000000000001E-2</v>
      </c>
      <c r="E41" s="86">
        <f>'Res '!E45</f>
        <v>0.17</v>
      </c>
      <c r="F41" s="87">
        <f>C41*E41</f>
        <v>1.6150000000000001E-2</v>
      </c>
      <c r="G41" s="2"/>
      <c r="H41" s="2"/>
      <c r="I41" s="2"/>
      <c r="J41" s="2"/>
      <c r="K41" s="2"/>
    </row>
    <row r="42" spans="2:13" x14ac:dyDescent="0.2">
      <c r="B42" s="92" t="s">
        <v>39</v>
      </c>
      <c r="C42" s="136">
        <v>0.13200000000000001</v>
      </c>
      <c r="D42" s="136">
        <v>0.13200000000000001</v>
      </c>
      <c r="E42" s="86">
        <f>'Res '!E46</f>
        <v>0.18</v>
      </c>
      <c r="F42" s="87">
        <f>C42*E42</f>
        <v>2.376E-2</v>
      </c>
      <c r="G42" s="2"/>
      <c r="H42" s="2"/>
      <c r="I42" s="2"/>
      <c r="J42" s="2"/>
      <c r="K42" s="2"/>
    </row>
    <row r="43" spans="2:13" x14ac:dyDescent="0.2">
      <c r="B43" s="92"/>
      <c r="C43" s="2"/>
      <c r="D43" s="2"/>
      <c r="E43" s="2"/>
      <c r="F43" s="87"/>
      <c r="G43" s="2"/>
      <c r="H43" s="2"/>
      <c r="I43" s="2"/>
      <c r="J43" s="2"/>
      <c r="K43" s="2"/>
    </row>
    <row r="44" spans="2:13" ht="13.5" thickBot="1" x14ac:dyDescent="0.25">
      <c r="B44" s="92"/>
      <c r="C44" s="2"/>
      <c r="D44" s="2"/>
      <c r="E44" s="2"/>
      <c r="F44" s="2"/>
      <c r="G44" s="2"/>
      <c r="H44" s="2"/>
      <c r="I44" s="2"/>
      <c r="J44" s="2"/>
      <c r="K44" s="2"/>
    </row>
    <row r="45" spans="2:13" ht="13.5" thickBot="1" x14ac:dyDescent="0.25">
      <c r="B45" s="102" t="s">
        <v>13</v>
      </c>
      <c r="C45" s="103">
        <v>420000</v>
      </c>
      <c r="D45" s="104" t="s">
        <v>14</v>
      </c>
      <c r="E45" s="515">
        <v>1074</v>
      </c>
      <c r="F45" s="104" t="s">
        <v>15</v>
      </c>
      <c r="G45" s="107"/>
      <c r="H45" s="516" t="s">
        <v>16</v>
      </c>
      <c r="I45" s="517"/>
      <c r="J45" s="518">
        <f>C29</f>
        <v>1.0454000000000001</v>
      </c>
      <c r="K45" s="2"/>
    </row>
    <row r="46" spans="2:13" x14ac:dyDescent="0.2">
      <c r="B46" s="514"/>
      <c r="C46" s="578" t="s">
        <v>43</v>
      </c>
      <c r="D46" s="579"/>
      <c r="E46" s="579"/>
      <c r="F46" s="584" t="s">
        <v>44</v>
      </c>
      <c r="G46" s="579"/>
      <c r="H46" s="579"/>
      <c r="I46" s="584" t="s">
        <v>45</v>
      </c>
      <c r="J46" s="580"/>
      <c r="K46" s="2"/>
    </row>
    <row r="47" spans="2:13" ht="18" customHeight="1" x14ac:dyDescent="0.2">
      <c r="B47" s="607" t="str">
        <f>B11</f>
        <v>STREET LIGHTING (Non-RPP)</v>
      </c>
      <c r="C47" s="33" t="s">
        <v>46</v>
      </c>
      <c r="D47" s="33" t="s">
        <v>20</v>
      </c>
      <c r="E47" s="79" t="s">
        <v>47</v>
      </c>
      <c r="F47" s="74" t="s">
        <v>46</v>
      </c>
      <c r="G47" s="34" t="s">
        <v>20</v>
      </c>
      <c r="H47" s="79" t="s">
        <v>47</v>
      </c>
      <c r="I47" s="604" t="s">
        <v>27</v>
      </c>
      <c r="J47" s="581" t="s">
        <v>28</v>
      </c>
      <c r="K47" s="65"/>
      <c r="L47" s="65"/>
      <c r="M47" s="64"/>
    </row>
    <row r="48" spans="2:13" ht="21.75" customHeight="1" x14ac:dyDescent="0.2">
      <c r="B48" s="608"/>
      <c r="C48" s="35" t="s">
        <v>48</v>
      </c>
      <c r="D48" s="35"/>
      <c r="E48" s="73" t="s">
        <v>48</v>
      </c>
      <c r="F48" s="75" t="s">
        <v>48</v>
      </c>
      <c r="G48" s="36"/>
      <c r="H48" s="73" t="s">
        <v>48</v>
      </c>
      <c r="I48" s="605"/>
      <c r="J48" s="582"/>
      <c r="K48" s="66"/>
      <c r="L48" s="66"/>
      <c r="M48" s="64"/>
    </row>
    <row r="49" spans="1:17" ht="14.25" x14ac:dyDescent="0.2">
      <c r="A49" s="31" t="s">
        <v>132</v>
      </c>
      <c r="B49" s="95" t="s">
        <v>49</v>
      </c>
      <c r="C49" s="254">
        <f>C14</f>
        <v>1.79</v>
      </c>
      <c r="D49" s="116">
        <v>11900</v>
      </c>
      <c r="E49" s="181">
        <f>D49*C49</f>
        <v>21301</v>
      </c>
      <c r="F49" s="255">
        <f>D14</f>
        <v>1.8</v>
      </c>
      <c r="G49" s="38">
        <v>11900</v>
      </c>
      <c r="H49" s="246">
        <f>G49*F49</f>
        <v>21420</v>
      </c>
      <c r="I49" s="247">
        <f t="shared" ref="I49:I53" si="0">H49-E49</f>
        <v>119</v>
      </c>
      <c r="J49" s="185">
        <f t="shared" ref="J49:J71" si="1">IF((H49)=0,"",(I49/E49))</f>
        <v>5.5865921787709499E-3</v>
      </c>
      <c r="K49" s="56"/>
      <c r="L49" s="67"/>
      <c r="M49" s="56"/>
    </row>
    <row r="50" spans="1:17" ht="14.25" x14ac:dyDescent="0.2">
      <c r="A50" s="31" t="s">
        <v>134</v>
      </c>
      <c r="B50" s="95" t="s">
        <v>5</v>
      </c>
      <c r="C50" s="256">
        <f>C15</f>
        <v>7.1336000000000004</v>
      </c>
      <c r="D50" s="39">
        <f>E45</f>
        <v>1074</v>
      </c>
      <c r="E50" s="181">
        <f>D50*C50</f>
        <v>7661.4864000000007</v>
      </c>
      <c r="F50" s="257">
        <f>D15</f>
        <v>7.0857999999999999</v>
      </c>
      <c r="G50" s="40">
        <f>+E45</f>
        <v>1074</v>
      </c>
      <c r="H50" s="181">
        <f>G50*F50</f>
        <v>7610.1491999999998</v>
      </c>
      <c r="I50" s="247">
        <f t="shared" si="0"/>
        <v>-51.337200000000848</v>
      </c>
      <c r="J50" s="185">
        <f t="shared" si="1"/>
        <v>-6.7006840865763131E-3</v>
      </c>
      <c r="K50" s="58"/>
      <c r="L50" s="69"/>
      <c r="M50" s="56"/>
      <c r="O50" s="156"/>
      <c r="P50" s="156"/>
      <c r="Q50" s="156"/>
    </row>
    <row r="51" spans="1:17" ht="14.25" x14ac:dyDescent="0.2">
      <c r="B51" s="97" t="s">
        <v>80</v>
      </c>
      <c r="C51" s="240">
        <f>C20</f>
        <v>-0.55179999999999996</v>
      </c>
      <c r="D51" s="149">
        <f>+E45</f>
        <v>1074</v>
      </c>
      <c r="E51" s="191">
        <f t="shared" ref="E51:E52" si="2">D51*C51</f>
        <v>-592.63319999999999</v>
      </c>
      <c r="F51" s="241">
        <f>D20</f>
        <v>0</v>
      </c>
      <c r="G51" s="150">
        <f>+E45</f>
        <v>1074</v>
      </c>
      <c r="H51" s="192">
        <f t="shared" ref="H51:H52" si="3">G51*F51</f>
        <v>0</v>
      </c>
      <c r="I51" s="193">
        <f t="shared" si="0"/>
        <v>592.63319999999999</v>
      </c>
      <c r="J51" s="185" t="str">
        <f t="shared" si="1"/>
        <v/>
      </c>
      <c r="K51" s="56"/>
      <c r="L51" s="67"/>
      <c r="M51" s="56"/>
      <c r="N51" s="31"/>
      <c r="O51" s="157"/>
      <c r="P51" s="157"/>
      <c r="Q51" s="157"/>
    </row>
    <row r="52" spans="1:17" ht="14.25" x14ac:dyDescent="0.2">
      <c r="B52" s="171" t="s">
        <v>119</v>
      </c>
      <c r="C52" s="258">
        <f>C16</f>
        <v>0.44519999999999998</v>
      </c>
      <c r="D52" s="41">
        <f>+E45</f>
        <v>1074</v>
      </c>
      <c r="E52" s="195">
        <f t="shared" si="2"/>
        <v>478.14479999999998</v>
      </c>
      <c r="F52" s="196">
        <f>D16</f>
        <v>0</v>
      </c>
      <c r="G52" s="42">
        <f>+E45</f>
        <v>1074</v>
      </c>
      <c r="H52" s="195">
        <f t="shared" si="3"/>
        <v>0</v>
      </c>
      <c r="I52" s="247">
        <f t="shared" si="0"/>
        <v>-478.14479999999998</v>
      </c>
      <c r="J52" s="185" t="str">
        <f t="shared" si="1"/>
        <v/>
      </c>
      <c r="K52" s="58"/>
      <c r="L52" s="329"/>
      <c r="M52" s="328"/>
      <c r="N52" s="31"/>
      <c r="O52" s="156"/>
      <c r="P52" s="156"/>
      <c r="Q52" s="156"/>
    </row>
    <row r="53" spans="1:17" ht="15" x14ac:dyDescent="0.2">
      <c r="B53" s="43" t="s">
        <v>50</v>
      </c>
      <c r="C53" s="198"/>
      <c r="D53" s="83"/>
      <c r="E53" s="199">
        <f>SUM(E49:E52)</f>
        <v>28847.998</v>
      </c>
      <c r="F53" s="200"/>
      <c r="G53" s="84"/>
      <c r="H53" s="199">
        <f>SUM(H49:H52)</f>
        <v>29030.1492</v>
      </c>
      <c r="I53" s="249">
        <f t="shared" si="0"/>
        <v>182.15120000000024</v>
      </c>
      <c r="J53" s="203">
        <f t="shared" si="1"/>
        <v>6.3141712641549769E-3</v>
      </c>
      <c r="K53" s="56"/>
      <c r="L53" s="132"/>
      <c r="M53" s="122"/>
      <c r="N53" s="31"/>
      <c r="O53" s="156"/>
      <c r="P53" s="156"/>
      <c r="Q53" s="156"/>
    </row>
    <row r="54" spans="1:17" ht="14.25" x14ac:dyDescent="0.2">
      <c r="B54" s="97" t="s">
        <v>51</v>
      </c>
      <c r="C54" s="256">
        <f>'GS&gt;50 '!C57</f>
        <v>0.1101</v>
      </c>
      <c r="D54" s="44">
        <f>$C45*($C29-1)</f>
        <v>19068.000000000044</v>
      </c>
      <c r="E54" s="245">
        <f>C54*D54</f>
        <v>2099.3868000000048</v>
      </c>
      <c r="F54" s="187">
        <f>C54</f>
        <v>0.1101</v>
      </c>
      <c r="G54" s="44">
        <f>$C45*($C29-1)</f>
        <v>19068.000000000044</v>
      </c>
      <c r="H54" s="181">
        <f>F54*G54</f>
        <v>2099.3868000000048</v>
      </c>
      <c r="I54" s="247">
        <f t="shared" ref="I54:I70" si="4">H54-E54</f>
        <v>0</v>
      </c>
      <c r="J54" s="185">
        <f t="shared" si="1"/>
        <v>0</v>
      </c>
      <c r="K54" s="70"/>
      <c r="N54" s="31"/>
      <c r="O54" s="156"/>
      <c r="P54" s="156"/>
      <c r="Q54" s="156"/>
    </row>
    <row r="55" spans="1:17" ht="14.25" x14ac:dyDescent="0.2">
      <c r="B55" s="97" t="s">
        <v>129</v>
      </c>
      <c r="C55" s="256"/>
      <c r="D55" s="44"/>
      <c r="E55" s="245">
        <f t="shared" ref="E55:E56" si="5">D55*C55</f>
        <v>0</v>
      </c>
      <c r="F55" s="257">
        <f>+D33</f>
        <v>0.24590000000000001</v>
      </c>
      <c r="G55" s="44">
        <f>+E45</f>
        <v>1074</v>
      </c>
      <c r="H55" s="245">
        <f t="shared" ref="H55:H56" si="6">G55*F55</f>
        <v>264.09660000000002</v>
      </c>
      <c r="I55" s="250">
        <f t="shared" ref="I55:I56" si="7">H55-E55</f>
        <v>264.09660000000002</v>
      </c>
      <c r="J55" s="243" t="e">
        <f t="shared" ref="J55:J56" si="8">IF((H55)=0,"",(I55/E55))</f>
        <v>#DIV/0!</v>
      </c>
      <c r="K55" s="70"/>
      <c r="N55" s="31"/>
      <c r="O55" s="156"/>
      <c r="P55" s="156"/>
      <c r="Q55" s="156"/>
    </row>
    <row r="56" spans="1:17" ht="14.25" x14ac:dyDescent="0.2">
      <c r="B56" s="97" t="s">
        <v>125</v>
      </c>
      <c r="C56" s="256"/>
      <c r="D56" s="44"/>
      <c r="E56" s="245">
        <f t="shared" si="5"/>
        <v>0</v>
      </c>
      <c r="F56" s="257">
        <f>+D34</f>
        <v>0.3674</v>
      </c>
      <c r="G56" s="44">
        <f>+E45</f>
        <v>1074</v>
      </c>
      <c r="H56" s="245">
        <f t="shared" si="6"/>
        <v>394.58760000000001</v>
      </c>
      <c r="I56" s="250">
        <f t="shared" si="7"/>
        <v>394.58760000000001</v>
      </c>
      <c r="J56" s="243" t="e">
        <f t="shared" si="8"/>
        <v>#DIV/0!</v>
      </c>
      <c r="K56" s="70"/>
      <c r="N56" s="31"/>
      <c r="O56" s="156"/>
      <c r="P56" s="156"/>
      <c r="Q56" s="156"/>
    </row>
    <row r="57" spans="1:17" ht="14.25" x14ac:dyDescent="0.2">
      <c r="B57" s="97" t="s">
        <v>121</v>
      </c>
      <c r="C57" s="186"/>
      <c r="D57" s="44"/>
      <c r="E57" s="181">
        <f>D57*C57</f>
        <v>0</v>
      </c>
      <c r="F57" s="257">
        <f>D18</f>
        <v>-1.0827</v>
      </c>
      <c r="G57" s="44">
        <f>+E45</f>
        <v>1074</v>
      </c>
      <c r="H57" s="181">
        <f>G57*F57</f>
        <v>-1162.8198</v>
      </c>
      <c r="I57" s="247">
        <f t="shared" si="4"/>
        <v>-1162.8198</v>
      </c>
      <c r="J57" s="185" t="e">
        <f t="shared" si="1"/>
        <v>#DIV/0!</v>
      </c>
      <c r="K57" s="70"/>
      <c r="N57" s="31"/>
      <c r="O57" s="156"/>
      <c r="P57" s="156"/>
      <c r="Q57" s="156"/>
    </row>
    <row r="58" spans="1:17" ht="14.25" x14ac:dyDescent="0.2">
      <c r="B58" s="97" t="s">
        <v>113</v>
      </c>
      <c r="C58" s="186"/>
      <c r="D58" s="44"/>
      <c r="E58" s="181">
        <f>D58*C58</f>
        <v>0</v>
      </c>
      <c r="F58" s="257">
        <f>D17</f>
        <v>8.1000000000000003E-2</v>
      </c>
      <c r="G58" s="44">
        <f>+E45</f>
        <v>1074</v>
      </c>
      <c r="H58" s="181">
        <f>G58*F58</f>
        <v>86.994</v>
      </c>
      <c r="I58" s="247">
        <f t="shared" si="4"/>
        <v>86.994</v>
      </c>
      <c r="J58" s="185" t="e">
        <f t="shared" si="1"/>
        <v>#DIV/0!</v>
      </c>
      <c r="K58" s="70"/>
      <c r="L58" s="327"/>
      <c r="N58" s="69"/>
      <c r="O58" s="56"/>
      <c r="P58" s="61"/>
    </row>
    <row r="59" spans="1:17" ht="14.85" customHeight="1" x14ac:dyDescent="0.2">
      <c r="B59" s="97" t="s">
        <v>122</v>
      </c>
      <c r="C59" s="186">
        <f>C19</f>
        <v>0</v>
      </c>
      <c r="D59" s="44">
        <f>C45</f>
        <v>420000</v>
      </c>
      <c r="E59" s="181">
        <f>D59*C59</f>
        <v>0</v>
      </c>
      <c r="F59" s="257">
        <f>D19</f>
        <v>1.2999999999999999E-3</v>
      </c>
      <c r="G59" s="44">
        <f>C45</f>
        <v>420000</v>
      </c>
      <c r="H59" s="181">
        <f>G59*F59</f>
        <v>546</v>
      </c>
      <c r="I59" s="247">
        <f t="shared" ref="I59" si="9">H59-E59</f>
        <v>546</v>
      </c>
      <c r="J59" s="185" t="e">
        <f t="shared" ref="J59" si="10">IF((H59)=0,"",(I59/E59))</f>
        <v>#DIV/0!</v>
      </c>
      <c r="K59" s="70"/>
      <c r="N59" s="31"/>
      <c r="O59" s="161"/>
      <c r="P59" s="161"/>
      <c r="Q59" s="156"/>
    </row>
    <row r="60" spans="1:17" ht="15" x14ac:dyDescent="0.2">
      <c r="B60" s="57" t="s">
        <v>54</v>
      </c>
      <c r="C60" s="204"/>
      <c r="D60" s="45"/>
      <c r="E60" s="205">
        <f>SUM(E54:E59)+E53</f>
        <v>30947.384800000003</v>
      </c>
      <c r="F60" s="206"/>
      <c r="G60" s="46"/>
      <c r="H60" s="205">
        <f>SUM(H54:H59)+H53</f>
        <v>31258.394400000005</v>
      </c>
      <c r="I60" s="249">
        <f>H60-E60</f>
        <v>311.00960000000123</v>
      </c>
      <c r="J60" s="203">
        <f t="shared" si="1"/>
        <v>1.004962461319191E-2</v>
      </c>
      <c r="K60" s="56"/>
      <c r="N60" s="31"/>
      <c r="O60" s="161"/>
      <c r="P60" s="161"/>
      <c r="Q60" s="156"/>
    </row>
    <row r="61" spans="1:17" ht="14.25" x14ac:dyDescent="0.2">
      <c r="B61" s="99" t="s">
        <v>55</v>
      </c>
      <c r="C61" s="186">
        <f>C21</f>
        <v>2.1114999999999999</v>
      </c>
      <c r="D61" s="72">
        <f>E45</f>
        <v>1074</v>
      </c>
      <c r="E61" s="181">
        <f>D61*C61</f>
        <v>2267.7509999999997</v>
      </c>
      <c r="F61" s="187">
        <f>D21</f>
        <v>2.0590000000000002</v>
      </c>
      <c r="G61" s="48">
        <f>+E45</f>
        <v>1074</v>
      </c>
      <c r="H61" s="181">
        <f>G61*F61</f>
        <v>2211.366</v>
      </c>
      <c r="I61" s="247">
        <f t="shared" si="4"/>
        <v>-56.384999999999764</v>
      </c>
      <c r="J61" s="185">
        <f t="shared" si="1"/>
        <v>-2.4863840871418321E-2</v>
      </c>
      <c r="K61" s="70"/>
      <c r="N61" s="31"/>
      <c r="O61" s="161"/>
      <c r="P61" s="161"/>
    </row>
    <row r="62" spans="1:17" ht="21.75" customHeight="1" x14ac:dyDescent="0.2">
      <c r="B62" s="100" t="s">
        <v>56</v>
      </c>
      <c r="C62" s="186">
        <f>C22</f>
        <v>1.7037</v>
      </c>
      <c r="D62" s="47">
        <f>+E45</f>
        <v>1074</v>
      </c>
      <c r="E62" s="181">
        <f>D62*C62</f>
        <v>1829.7737999999999</v>
      </c>
      <c r="F62" s="187">
        <f>D22</f>
        <v>1.8189</v>
      </c>
      <c r="G62" s="48">
        <f>+E45</f>
        <v>1074</v>
      </c>
      <c r="H62" s="181">
        <f>G62*F62</f>
        <v>1953.4985999999999</v>
      </c>
      <c r="I62" s="247">
        <f t="shared" si="4"/>
        <v>123.72479999999996</v>
      </c>
      <c r="J62" s="185">
        <f t="shared" si="1"/>
        <v>6.7617538298996277E-2</v>
      </c>
      <c r="K62" s="70"/>
      <c r="L62" s="328"/>
      <c r="M62" s="56"/>
      <c r="O62" s="161"/>
      <c r="P62" s="161"/>
      <c r="Q62" s="31"/>
    </row>
    <row r="63" spans="1:17" ht="15" x14ac:dyDescent="0.2">
      <c r="B63" s="57" t="s">
        <v>57</v>
      </c>
      <c r="C63" s="204"/>
      <c r="D63" s="45"/>
      <c r="E63" s="205">
        <f>SUM(E60:E62)</f>
        <v>35044.909600000006</v>
      </c>
      <c r="F63" s="207"/>
      <c r="G63" s="49"/>
      <c r="H63" s="205">
        <f>SUM(H60:H62)</f>
        <v>35423.259000000005</v>
      </c>
      <c r="I63" s="249">
        <f>H63-E63</f>
        <v>378.34939999999915</v>
      </c>
      <c r="J63" s="203">
        <f>IF((H63)=0,"",(I63/E63))</f>
        <v>1.0796130003428489E-2</v>
      </c>
      <c r="K63" s="54"/>
      <c r="L63" s="59"/>
      <c r="M63" s="54"/>
    </row>
    <row r="64" spans="1:17" ht="14.25" x14ac:dyDescent="0.2">
      <c r="B64" s="97" t="s">
        <v>58</v>
      </c>
      <c r="C64" s="209">
        <f>C23</f>
        <v>3.2000000000000002E-3</v>
      </c>
      <c r="D64" s="44">
        <f>C45+D54</f>
        <v>439068.00000000006</v>
      </c>
      <c r="E64" s="218">
        <f t="shared" ref="E64:E70" si="11">D64*C64</f>
        <v>1405.0176000000004</v>
      </c>
      <c r="F64" s="236">
        <f>D23</f>
        <v>3.2000000000000002E-3</v>
      </c>
      <c r="G64" s="140">
        <f>+C45+G54</f>
        <v>439068.00000000006</v>
      </c>
      <c r="H64" s="211">
        <f t="shared" ref="H64:H70" si="12">G64*F64</f>
        <v>1405.0176000000004</v>
      </c>
      <c r="I64" s="250">
        <f t="shared" si="4"/>
        <v>0</v>
      </c>
      <c r="J64" s="185">
        <f t="shared" si="1"/>
        <v>0</v>
      </c>
      <c r="K64" s="70"/>
      <c r="L64" s="71"/>
      <c r="M64" s="56"/>
    </row>
    <row r="65" spans="2:13" ht="14.25" x14ac:dyDescent="0.2">
      <c r="B65" s="97" t="s">
        <v>103</v>
      </c>
      <c r="C65" s="209">
        <f>C24</f>
        <v>4.0000000000000002E-4</v>
      </c>
      <c r="D65" s="44">
        <f>+C45+D54</f>
        <v>439068.00000000006</v>
      </c>
      <c r="E65" s="218">
        <f t="shared" si="11"/>
        <v>175.62720000000004</v>
      </c>
      <c r="F65" s="236">
        <f>D24</f>
        <v>4.0000000000000002E-4</v>
      </c>
      <c r="G65" s="140">
        <f>+C45+G54</f>
        <v>439068.00000000006</v>
      </c>
      <c r="H65" s="211">
        <f t="shared" si="12"/>
        <v>175.62720000000004</v>
      </c>
      <c r="I65" s="250">
        <f t="shared" si="4"/>
        <v>0</v>
      </c>
      <c r="J65" s="185">
        <f t="shared" si="1"/>
        <v>0</v>
      </c>
      <c r="K65" s="70"/>
      <c r="L65" s="71"/>
      <c r="M65" s="56"/>
    </row>
    <row r="66" spans="2:13" ht="14.25" x14ac:dyDescent="0.2">
      <c r="B66" s="96" t="s">
        <v>59</v>
      </c>
      <c r="C66" s="209">
        <f>C25</f>
        <v>2.9999999999999997E-4</v>
      </c>
      <c r="D66" s="44">
        <f>+C45+D54</f>
        <v>439068.00000000006</v>
      </c>
      <c r="E66" s="218">
        <f t="shared" si="11"/>
        <v>131.72040000000001</v>
      </c>
      <c r="F66" s="236">
        <f>D25</f>
        <v>2.9999999999999997E-4</v>
      </c>
      <c r="G66" s="140">
        <f>+C45+G54</f>
        <v>439068.00000000006</v>
      </c>
      <c r="H66" s="218">
        <f t="shared" si="12"/>
        <v>131.72040000000001</v>
      </c>
      <c r="I66" s="250">
        <f t="shared" si="4"/>
        <v>0</v>
      </c>
      <c r="J66" s="185">
        <f t="shared" si="1"/>
        <v>0</v>
      </c>
      <c r="K66" s="70"/>
      <c r="L66" s="71"/>
      <c r="M66" s="56"/>
    </row>
    <row r="67" spans="2:13" ht="14.25" x14ac:dyDescent="0.2">
      <c r="B67" s="96" t="s">
        <v>60</v>
      </c>
      <c r="C67" s="269">
        <f>C27</f>
        <v>0.25</v>
      </c>
      <c r="D67" s="44">
        <f>+D49</f>
        <v>11900</v>
      </c>
      <c r="E67" s="218">
        <f t="shared" si="11"/>
        <v>2975</v>
      </c>
      <c r="F67" s="270">
        <f>D27</f>
        <v>0.25</v>
      </c>
      <c r="G67" s="140">
        <f>+G49</f>
        <v>11900</v>
      </c>
      <c r="H67" s="218">
        <f t="shared" si="12"/>
        <v>2975</v>
      </c>
      <c r="I67" s="250">
        <f t="shared" si="4"/>
        <v>0</v>
      </c>
      <c r="J67" s="185">
        <f t="shared" si="1"/>
        <v>0</v>
      </c>
      <c r="K67" s="70"/>
      <c r="L67" s="71"/>
      <c r="M67" s="56"/>
    </row>
    <row r="68" spans="2:13" ht="15" x14ac:dyDescent="0.2">
      <c r="B68" s="57" t="s">
        <v>65</v>
      </c>
      <c r="C68" s="204"/>
      <c r="D68" s="45"/>
      <c r="E68" s="205">
        <f>SUM(E64:E67)</f>
        <v>4687.3652000000002</v>
      </c>
      <c r="F68" s="207"/>
      <c r="G68" s="49"/>
      <c r="H68" s="205">
        <f>SUM(H64:H67)</f>
        <v>4687.3652000000002</v>
      </c>
      <c r="I68" s="249">
        <f>SUM(I64:I67)</f>
        <v>0</v>
      </c>
      <c r="J68" s="203">
        <f t="shared" si="1"/>
        <v>0</v>
      </c>
      <c r="K68" s="70"/>
      <c r="L68" s="71"/>
      <c r="M68" s="56"/>
    </row>
    <row r="69" spans="2:13" ht="15" x14ac:dyDescent="0.2">
      <c r="B69" s="57" t="s">
        <v>11</v>
      </c>
      <c r="C69" s="214">
        <f>C28</f>
        <v>7.0000000000000001E-3</v>
      </c>
      <c r="D69" s="134">
        <f>C45</f>
        <v>420000</v>
      </c>
      <c r="E69" s="215">
        <f t="shared" si="11"/>
        <v>2940</v>
      </c>
      <c r="F69" s="216">
        <f>D28</f>
        <v>7.0000000000000001E-3</v>
      </c>
      <c r="G69" s="135">
        <f>+C45</f>
        <v>420000</v>
      </c>
      <c r="H69" s="215">
        <f t="shared" si="12"/>
        <v>2940</v>
      </c>
      <c r="I69" s="249">
        <f t="shared" si="4"/>
        <v>0</v>
      </c>
      <c r="J69" s="203">
        <f t="shared" si="1"/>
        <v>0</v>
      </c>
      <c r="K69" s="70"/>
      <c r="L69" s="71"/>
      <c r="M69" s="56"/>
    </row>
    <row r="70" spans="2:13" ht="14.25" x14ac:dyDescent="0.2">
      <c r="B70" s="97" t="s">
        <v>68</v>
      </c>
      <c r="C70" s="209">
        <f>C54</f>
        <v>0.1101</v>
      </c>
      <c r="D70" s="44">
        <f>C45</f>
        <v>420000</v>
      </c>
      <c r="E70" s="218">
        <f t="shared" si="11"/>
        <v>46242</v>
      </c>
      <c r="F70" s="236">
        <f>C70</f>
        <v>0.1101</v>
      </c>
      <c r="G70" s="279">
        <f>+C45</f>
        <v>420000</v>
      </c>
      <c r="H70" s="211">
        <f t="shared" si="12"/>
        <v>46242</v>
      </c>
      <c r="I70" s="250">
        <f t="shared" si="4"/>
        <v>0</v>
      </c>
      <c r="J70" s="259">
        <f t="shared" si="1"/>
        <v>0</v>
      </c>
      <c r="K70" s="70"/>
      <c r="L70" s="71"/>
      <c r="M70" s="71"/>
    </row>
    <row r="71" spans="2:13" ht="15.75" thickBot="1" x14ac:dyDescent="0.25">
      <c r="B71" s="57" t="s">
        <v>66</v>
      </c>
      <c r="C71" s="204"/>
      <c r="D71" s="45"/>
      <c r="E71" s="205">
        <f>SUM(E70:E70)</f>
        <v>46242</v>
      </c>
      <c r="F71" s="207"/>
      <c r="G71" s="49"/>
      <c r="H71" s="205">
        <f>SUM(H70:H70)</f>
        <v>46242</v>
      </c>
      <c r="I71" s="249">
        <f>H71-E71</f>
        <v>0</v>
      </c>
      <c r="J71" s="203">
        <f t="shared" si="1"/>
        <v>0</v>
      </c>
      <c r="K71" s="70"/>
      <c r="L71" s="71"/>
      <c r="M71" s="56"/>
    </row>
    <row r="72" spans="2:13" ht="7.5" customHeight="1" thickBot="1" x14ac:dyDescent="0.25">
      <c r="B72" s="101"/>
      <c r="C72" s="219"/>
      <c r="D72" s="50"/>
      <c r="E72" s="220"/>
      <c r="F72" s="221"/>
      <c r="G72" s="51"/>
      <c r="H72" s="220"/>
      <c r="I72" s="252"/>
      <c r="J72" s="224"/>
      <c r="K72" s="56"/>
      <c r="L72" s="71"/>
      <c r="M72" s="56"/>
    </row>
    <row r="73" spans="2:13" ht="15" x14ac:dyDescent="0.2">
      <c r="B73" s="81" t="s">
        <v>136</v>
      </c>
      <c r="C73" s="225"/>
      <c r="D73" s="52"/>
      <c r="E73" s="226">
        <f>E71+E69+E68+E63</f>
        <v>88914.274800000014</v>
      </c>
      <c r="F73" s="227"/>
      <c r="G73" s="53"/>
      <c r="H73" s="228">
        <f>H71+H69+H68+H63</f>
        <v>89292.624200000006</v>
      </c>
      <c r="I73" s="184">
        <f>H73-E73</f>
        <v>378.34939999999187</v>
      </c>
      <c r="J73" s="185">
        <f>IF((H73)=0,"",(I73/E73))</f>
        <v>4.2552154966234044E-3</v>
      </c>
      <c r="K73" s="77"/>
      <c r="L73" s="59"/>
      <c r="M73" s="54"/>
    </row>
    <row r="74" spans="2:13" ht="14.25" x14ac:dyDescent="0.2">
      <c r="B74" s="82" t="s">
        <v>21</v>
      </c>
      <c r="C74" s="225">
        <v>0.13</v>
      </c>
      <c r="D74" s="55"/>
      <c r="E74" s="229">
        <f>E73*C74</f>
        <v>11558.855724000003</v>
      </c>
      <c r="F74" s="230">
        <v>0.13</v>
      </c>
      <c r="G74" s="37"/>
      <c r="H74" s="231">
        <f>H73*F74</f>
        <v>11608.041146000001</v>
      </c>
      <c r="I74" s="184">
        <f>H74-E74</f>
        <v>49.185421999998653</v>
      </c>
      <c r="J74" s="185">
        <f>IF((H74)=0,"",(I74/E74))</f>
        <v>4.2552154966233784E-3</v>
      </c>
      <c r="K74" s="55"/>
      <c r="L74" s="61"/>
      <c r="M74" s="56"/>
    </row>
    <row r="75" spans="2:13" ht="15" x14ac:dyDescent="0.2">
      <c r="B75" s="82" t="s">
        <v>101</v>
      </c>
      <c r="C75" s="225">
        <v>0</v>
      </c>
      <c r="D75" s="55"/>
      <c r="E75" s="229">
        <f>+E73*C75</f>
        <v>0</v>
      </c>
      <c r="F75" s="230">
        <v>0</v>
      </c>
      <c r="G75" s="37"/>
      <c r="H75" s="231">
        <f>+H73*F75</f>
        <v>0</v>
      </c>
      <c r="I75" s="184">
        <f>H75-E75</f>
        <v>0</v>
      </c>
      <c r="J75" s="185" t="str">
        <f>IF((H75)=0,"",(I75/E75))</f>
        <v/>
      </c>
      <c r="K75" s="78"/>
      <c r="L75" s="59"/>
      <c r="M75" s="54"/>
    </row>
    <row r="76" spans="2:13" ht="15" x14ac:dyDescent="0.2">
      <c r="B76" s="88" t="s">
        <v>137</v>
      </c>
      <c r="C76" s="233"/>
      <c r="D76" s="89"/>
      <c r="E76" s="234">
        <f>SUM(E73:E75)</f>
        <v>100473.13052400002</v>
      </c>
      <c r="F76" s="235"/>
      <c r="G76" s="90"/>
      <c r="H76" s="208">
        <f>SUM(H73:H75)</f>
        <v>100900.66534600001</v>
      </c>
      <c r="I76" s="202">
        <f>H76-E76</f>
        <v>427.53482199998689</v>
      </c>
      <c r="J76" s="203">
        <f>IF((H76)=0,"",(I76/E76))</f>
        <v>4.2552154966233645E-3</v>
      </c>
      <c r="K76" s="19"/>
      <c r="L76" s="19"/>
      <c r="M76" s="19"/>
    </row>
    <row r="77" spans="2:13" ht="15" x14ac:dyDescent="0.2">
      <c r="B77" s="162"/>
      <c r="C77" s="55"/>
      <c r="D77" s="55"/>
      <c r="E77" s="59"/>
      <c r="F77" s="78"/>
      <c r="G77" s="78"/>
      <c r="H77" s="59"/>
      <c r="I77" s="59"/>
      <c r="J77" s="163"/>
      <c r="K77" s="19"/>
      <c r="L77" s="19"/>
      <c r="M77" s="19"/>
    </row>
    <row r="78" spans="2:13" s="152" customFormat="1" ht="11.25" x14ac:dyDescent="0.2">
      <c r="B78" s="152" t="s">
        <v>107</v>
      </c>
    </row>
    <row r="80" spans="2:13" ht="12.75" customHeight="1" x14ac:dyDescent="0.2">
      <c r="B80" s="313" t="s">
        <v>131</v>
      </c>
      <c r="C80" s="578" t="s">
        <v>43</v>
      </c>
      <c r="D80" s="579"/>
      <c r="E80" s="579"/>
      <c r="F80" s="578" t="s">
        <v>44</v>
      </c>
      <c r="G80" s="579"/>
      <c r="H80" s="580"/>
      <c r="I80" s="579" t="s">
        <v>45</v>
      </c>
      <c r="J80" s="580"/>
    </row>
    <row r="81" spans="2:10" x14ac:dyDescent="0.2">
      <c r="B81" s="309" t="s">
        <v>133</v>
      </c>
      <c r="C81" s="316">
        <f>+C49</f>
        <v>1.79</v>
      </c>
      <c r="D81" s="295"/>
      <c r="E81" s="298">
        <f>+E49</f>
        <v>21301</v>
      </c>
      <c r="F81" s="318">
        <f>+F49</f>
        <v>1.8</v>
      </c>
      <c r="G81" s="296"/>
      <c r="H81" s="301">
        <f>+H49</f>
        <v>21420</v>
      </c>
      <c r="I81" s="296"/>
      <c r="J81" s="297"/>
    </row>
    <row r="82" spans="2:10" x14ac:dyDescent="0.2">
      <c r="B82" s="311" t="s">
        <v>135</v>
      </c>
      <c r="C82" s="317">
        <f>+C50</f>
        <v>7.1336000000000004</v>
      </c>
      <c r="D82" s="295"/>
      <c r="E82" s="298">
        <f>+E50</f>
        <v>7661.4864000000007</v>
      </c>
      <c r="F82" s="320">
        <f>+F50</f>
        <v>7.0857999999999999</v>
      </c>
      <c r="G82" s="296"/>
      <c r="H82" s="301">
        <f>+H50</f>
        <v>7610.1491999999998</v>
      </c>
      <c r="I82" s="296"/>
      <c r="J82" s="297"/>
    </row>
    <row r="83" spans="2:10" x14ac:dyDescent="0.2">
      <c r="B83" s="299"/>
      <c r="C83" s="302"/>
      <c r="D83" s="303"/>
      <c r="E83" s="304">
        <f>SUM(E81:E82)</f>
        <v>28962.486400000002</v>
      </c>
      <c r="F83" s="305"/>
      <c r="G83" s="18"/>
      <c r="H83" s="306">
        <f>SUM(H81:H82)</f>
        <v>29030.1492</v>
      </c>
      <c r="I83" s="307">
        <f>+H83-E83</f>
        <v>67.662799999998242</v>
      </c>
      <c r="J83" s="308">
        <f>+I83/E83</f>
        <v>2.3362220724253233E-3</v>
      </c>
    </row>
  </sheetData>
  <mergeCells count="10">
    <mergeCell ref="B11:E11"/>
    <mergeCell ref="C80:E80"/>
    <mergeCell ref="F80:H80"/>
    <mergeCell ref="I80:J80"/>
    <mergeCell ref="B47:B48"/>
    <mergeCell ref="I47:I48"/>
    <mergeCell ref="J47:J48"/>
    <mergeCell ref="C46:E46"/>
    <mergeCell ref="F46:H46"/>
    <mergeCell ref="I46:J46"/>
  </mergeCells>
  <pageMargins left="0.75" right="0.75" top="1" bottom="1" header="0.5" footer="0.5"/>
  <pageSetup scale="84" orientation="landscape" r:id="rId1"/>
  <headerFooter alignWithMargins="0">
    <oddFooter>&amp;R&amp;F</oddFooter>
  </headerFooter>
  <ignoredErrors>
    <ignoredError sqref="C50:D50 D52 C49 F50:G50 C51 F51 C54:D54 F54:G54 G57 F58:G58 C59:D59 F59:G59 C61:D61 F61:G61 C62:D62 F62:G62 C64:D64 F64:G64 C65:D65 F65:G65 C66:D66 F66:G66 C67:D67 F67:G67 C69:D69 F69:G69 F70 F49 G51:G52 C70:D70" unlockedFormula="1"/>
    <ignoredError sqref="E60 H60 E63 H63 E68 H68:I6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Summary Bill Impact</vt:lpstr>
      <vt:lpstr>Res </vt:lpstr>
      <vt:lpstr>Res recalc 10th percentile </vt:lpstr>
      <vt:lpstr>GS&lt;50</vt:lpstr>
      <vt:lpstr>GS&gt;50 </vt:lpstr>
      <vt:lpstr>USL</vt:lpstr>
      <vt:lpstr>SL </vt:lpstr>
      <vt:lpstr>ST </vt:lpstr>
      <vt:lpstr>'GS&lt;50'!Print_Area</vt:lpstr>
      <vt:lpstr>'GS&gt;50 '!Print_Area</vt:lpstr>
      <vt:lpstr>'Res '!Print_Area</vt:lpstr>
      <vt:lpstr>'Res recalc 10th percentile '!Print_Area</vt:lpstr>
      <vt:lpstr>'SL '!Print_Area</vt:lpstr>
      <vt:lpstr>'ST '!Print_Area</vt:lpstr>
      <vt:lpstr>USL!Print_Area</vt:lpstr>
    </vt:vector>
  </TitlesOfParts>
  <Company>whitby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sreffle</dc:creator>
  <cp:lastModifiedBy>Cindy Perrin</cp:lastModifiedBy>
  <cp:lastPrinted>2017-09-05T16:15:17Z</cp:lastPrinted>
  <dcterms:created xsi:type="dcterms:W3CDTF">2011-09-29T22:51:34Z</dcterms:created>
  <dcterms:modified xsi:type="dcterms:W3CDTF">2017-12-15T19:09:53Z</dcterms:modified>
</cp:coreProperties>
</file>