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 2018 CoS\Settlement Conference\"/>
    </mc:Choice>
  </mc:AlternateContent>
  <bookViews>
    <workbookView xWindow="0" yWindow="0" windowWidth="38400" windowHeight="1731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4" l="1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88" i="4"/>
  <c r="I88" i="4"/>
  <c r="H88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22" i="4"/>
  <c r="J14" i="4"/>
  <c r="I14" i="4"/>
  <c r="H14" i="4"/>
  <c r="I10" i="4"/>
  <c r="J9" i="4"/>
  <c r="I9" i="4"/>
  <c r="H9" i="4"/>
  <c r="I15" i="4" l="1"/>
  <c r="J15" i="4" s="1"/>
  <c r="H15" i="4"/>
  <c r="G122" i="1" l="1"/>
  <c r="J21" i="4" l="1"/>
  <c r="J20" i="4"/>
  <c r="G17" i="4"/>
  <c r="J122" i="4"/>
  <c r="I122" i="4"/>
  <c r="H122" i="4"/>
  <c r="J37" i="4"/>
  <c r="I37" i="4"/>
  <c r="H37" i="4"/>
  <c r="I22" i="4"/>
  <c r="H22" i="4"/>
  <c r="J16" i="4"/>
  <c r="I16" i="4"/>
  <c r="J78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H27" i="4" s="1"/>
  <c r="K115" i="4"/>
  <c r="K29" i="4" s="1"/>
  <c r="L115" i="4"/>
  <c r="L29" i="4" s="1"/>
  <c r="I29" i="4" l="1"/>
  <c r="I35" i="4"/>
  <c r="I27" i="4" s="1"/>
  <c r="J29" i="4"/>
  <c r="J35" i="4"/>
  <c r="J2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H16" i="4" s="1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G12" i="5"/>
  <c r="H261" i="1"/>
  <c r="H258" i="1"/>
  <c r="H259" i="1" s="1"/>
  <c r="K177" i="1"/>
  <c r="J241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G16" i="5"/>
  <c r="G22" i="5" s="1"/>
  <c r="G14" i="5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J97" i="1"/>
  <c r="I97" i="1"/>
  <c r="J96" i="1"/>
  <c r="I96" i="1"/>
  <c r="I155" i="1" l="1"/>
  <c r="I209" i="1" s="1"/>
  <c r="I129" i="1"/>
  <c r="I128" i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129" i="1"/>
  <c r="J155" i="1"/>
  <c r="J209" i="1" s="1"/>
  <c r="I154" i="1"/>
  <c r="I208" i="1" s="1"/>
  <c r="J131" i="1"/>
  <c r="J213" i="1" l="1"/>
  <c r="J234" i="1" s="1"/>
  <c r="J216" i="1"/>
  <c r="J237" i="1" s="1"/>
  <c r="J230" i="1"/>
  <c r="I211" i="1"/>
  <c r="I232" i="1" s="1"/>
  <c r="I218" i="1"/>
  <c r="I239" i="1" s="1"/>
  <c r="I214" i="1"/>
  <c r="I235" i="1" s="1"/>
  <c r="I217" i="1"/>
  <c r="I238" i="1" s="1"/>
  <c r="I228" i="1"/>
  <c r="K131" i="1"/>
  <c r="J154" i="1"/>
  <c r="J208" i="1" s="1"/>
  <c r="J217" i="1" s="1"/>
  <c r="J238" i="1" s="1"/>
  <c r="I219" i="1"/>
  <c r="I240" i="1" s="1"/>
  <c r="I215" i="1"/>
  <c r="I236" i="1" s="1"/>
  <c r="I212" i="1"/>
  <c r="I233" i="1" s="1"/>
  <c r="I229" i="1"/>
  <c r="J211" i="1"/>
  <c r="J232" i="1" s="1"/>
  <c r="J218" i="1"/>
  <c r="J239" i="1" s="1"/>
  <c r="J214" i="1"/>
  <c r="J235" i="1" s="1"/>
  <c r="J228" i="1"/>
  <c r="I213" i="1"/>
  <c r="I234" i="1" s="1"/>
  <c r="I216" i="1"/>
  <c r="I237" i="1" s="1"/>
  <c r="I230" i="1"/>
  <c r="I245" i="1" l="1"/>
  <c r="I246" i="1" s="1"/>
  <c r="I248" i="1" s="1"/>
  <c r="I257" i="1" s="1"/>
  <c r="J219" i="1"/>
  <c r="J240" i="1" s="1"/>
  <c r="J212" i="1"/>
  <c r="J233" i="1" s="1"/>
  <c r="J215" i="1"/>
  <c r="J236" i="1" s="1"/>
  <c r="J229" i="1"/>
  <c r="K154" i="1"/>
  <c r="K208" i="1" s="1"/>
  <c r="L131" i="1"/>
  <c r="J245" i="1" l="1"/>
  <c r="J246" i="1" s="1"/>
  <c r="J248" i="1" s="1"/>
  <c r="J257" i="1" s="1"/>
  <c r="I12" i="5" s="1"/>
  <c r="I10" i="5" s="1"/>
  <c r="I14" i="5" s="1"/>
  <c r="I16" i="5" s="1"/>
  <c r="M131" i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I261" i="1"/>
  <c r="H12" i="5"/>
  <c r="I258" i="1"/>
  <c r="I259" i="1" s="1"/>
  <c r="J261" i="1" l="1"/>
  <c r="J258" i="1"/>
  <c r="J259" i="1" s="1"/>
  <c r="H14" i="5"/>
  <c r="H16" i="5"/>
  <c r="I18" i="5" s="1"/>
  <c r="M219" i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22" i="5"/>
  <c r="H22" i="5" l="1"/>
  <c r="H18" i="5"/>
  <c r="H24" i="5" s="1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<sst xmlns="http://schemas.openxmlformats.org/spreadsheetml/2006/main" count="520" uniqueCount="278">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</sst>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EI%202018%20Data%20Vault%20SettlementP%20Dec%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1.4 TB Var Analysis"/>
      <sheetName val="Exhibit 2 -&gt;"/>
      <sheetName val="2.1. Rate Base Trend "/>
      <sheetName val="2.2 RateBase VarAnalysis"/>
      <sheetName val="2.3 Summary of Capital Projects"/>
      <sheetName val="For printing purposes only (1)"/>
      <sheetName val="2.4. Var Capital Expenditures"/>
      <sheetName val="2.5 DSP Input Tables"/>
      <sheetName val="FIXED ASSET CONTINUITY STMT -&gt;"/>
      <sheetName val="2.5 Service Life Comp"/>
      <sheetName val="2.6 Fixed Asset Cont Stmt"/>
      <sheetName val="2.7 Overhead"/>
      <sheetName val="For printing purposes only (2)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For printing purposes only (3)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2-H"/>
      <sheetName val="3.2 Other_Oper_Rev 2-H (2)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"/>
      <sheetName val="ROE Calcs -&gt;"/>
      <sheetName val="6.4 ROE"/>
      <sheetName val="6.5 OEB Input Appendices"/>
      <sheetName val="6.6 OEB ROE Summary"/>
      <sheetName val="6.8 Over_Under-earning Driv"/>
      <sheetName val="6.8 Scorecard"/>
      <sheetName val="Exhibit 8 -&gt;"/>
      <sheetName val="8.1 Loss Factor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treetLight"/>
      <sheetName val="Settlement Conference Tables"/>
      <sheetName val="8.2 IFRS Transition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0">
          <cell r="E23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7">
          <cell r="E37">
            <v>28472872</v>
          </cell>
          <cell r="G37">
            <v>29936354.962987415</v>
          </cell>
        </row>
        <row r="52">
          <cell r="H52">
            <v>29891982.06657267</v>
          </cell>
        </row>
      </sheetData>
      <sheetData sheetId="46"/>
      <sheetData sheetId="47"/>
      <sheetData sheetId="48">
        <row r="17">
          <cell r="F17">
            <v>0</v>
          </cell>
          <cell r="G17">
            <v>0</v>
          </cell>
          <cell r="H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1306.48</v>
          </cell>
          <cell r="G19">
            <v>1380</v>
          </cell>
          <cell r="H19">
            <v>1449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</row>
        <row r="27">
          <cell r="F27">
            <v>3185.14</v>
          </cell>
          <cell r="G27">
            <v>3350</v>
          </cell>
          <cell r="H27">
            <v>3500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3">
          <cell r="F33">
            <v>907.5</v>
          </cell>
          <cell r="G33">
            <v>1200</v>
          </cell>
          <cell r="H33">
            <v>1400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F35">
            <v>19441.63</v>
          </cell>
          <cell r="G35">
            <v>20400</v>
          </cell>
          <cell r="H35">
            <v>21420</v>
          </cell>
        </row>
        <row r="36">
          <cell r="F36">
            <v>9368.08</v>
          </cell>
          <cell r="G36">
            <v>9500</v>
          </cell>
          <cell r="H36">
            <v>8800</v>
          </cell>
        </row>
        <row r="37">
          <cell r="F37">
            <v>0</v>
          </cell>
          <cell r="G37">
            <v>0</v>
          </cell>
          <cell r="H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3">
          <cell r="F43">
            <v>0</v>
          </cell>
          <cell r="G43">
            <v>0</v>
          </cell>
          <cell r="H43">
            <v>0</v>
          </cell>
        </row>
        <row r="44">
          <cell r="F44">
            <v>8420.64</v>
          </cell>
          <cell r="G44">
            <v>9000</v>
          </cell>
          <cell r="H44">
            <v>8250</v>
          </cell>
        </row>
        <row r="45">
          <cell r="F45">
            <v>0</v>
          </cell>
          <cell r="G45">
            <v>0</v>
          </cell>
          <cell r="H45">
            <v>0</v>
          </cell>
        </row>
        <row r="46">
          <cell r="F46">
            <v>6133.54</v>
          </cell>
          <cell r="G46">
            <v>6450</v>
          </cell>
          <cell r="H46">
            <v>8950</v>
          </cell>
        </row>
        <row r="47">
          <cell r="F47">
            <v>6652.08</v>
          </cell>
          <cell r="G47">
            <v>6985</v>
          </cell>
          <cell r="H47">
            <v>7335</v>
          </cell>
        </row>
        <row r="48">
          <cell r="F48">
            <v>5419.25</v>
          </cell>
          <cell r="G48">
            <v>5690</v>
          </cell>
          <cell r="H48">
            <v>5975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0">
          <cell r="F50">
            <v>7672.5</v>
          </cell>
          <cell r="G50">
            <v>8000</v>
          </cell>
          <cell r="H50">
            <v>8400</v>
          </cell>
        </row>
        <row r="51">
          <cell r="F51">
            <v>0</v>
          </cell>
          <cell r="G51">
            <v>0</v>
          </cell>
          <cell r="H51">
            <v>0</v>
          </cell>
        </row>
        <row r="52">
          <cell r="F52">
            <v>9924.75</v>
          </cell>
          <cell r="G52">
            <v>10420</v>
          </cell>
          <cell r="H52">
            <v>10000</v>
          </cell>
        </row>
        <row r="53">
          <cell r="F53">
            <v>2000</v>
          </cell>
          <cell r="G53">
            <v>2100</v>
          </cell>
          <cell r="H53">
            <v>2205</v>
          </cell>
        </row>
        <row r="54">
          <cell r="F54">
            <v>0</v>
          </cell>
          <cell r="G54">
            <v>2000</v>
          </cell>
          <cell r="H54">
            <v>2000</v>
          </cell>
        </row>
        <row r="55">
          <cell r="F55">
            <v>0</v>
          </cell>
          <cell r="G55">
            <v>0</v>
          </cell>
          <cell r="H55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168889.18</v>
          </cell>
          <cell r="G70">
            <v>183718</v>
          </cell>
          <cell r="H70">
            <v>190462</v>
          </cell>
        </row>
        <row r="71">
          <cell r="F71">
            <v>0</v>
          </cell>
          <cell r="G71">
            <v>0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3930</v>
          </cell>
          <cell r="G73">
            <v>4305</v>
          </cell>
          <cell r="H73">
            <v>2020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80">
          <cell r="F80">
            <v>7862.84</v>
          </cell>
          <cell r="G80">
            <v>4500</v>
          </cell>
          <cell r="H80">
            <v>3000</v>
          </cell>
        </row>
        <row r="91">
          <cell r="F91">
            <v>29694</v>
          </cell>
          <cell r="G91">
            <v>33600</v>
          </cell>
          <cell r="H91">
            <v>34800</v>
          </cell>
        </row>
        <row r="92">
          <cell r="F92">
            <v>93979.87</v>
          </cell>
          <cell r="G92">
            <v>100289</v>
          </cell>
          <cell r="H92">
            <v>96630</v>
          </cell>
        </row>
        <row r="93">
          <cell r="F93">
            <v>65744.33</v>
          </cell>
          <cell r="G93">
            <v>69000</v>
          </cell>
          <cell r="H93">
            <v>68000</v>
          </cell>
        </row>
        <row r="94">
          <cell r="F94">
            <v>37793.61</v>
          </cell>
          <cell r="G94">
            <v>39294</v>
          </cell>
          <cell r="H94">
            <v>40003</v>
          </cell>
        </row>
        <row r="95">
          <cell r="F95">
            <v>0</v>
          </cell>
          <cell r="G95">
            <v>0</v>
          </cell>
          <cell r="H95">
            <v>0</v>
          </cell>
        </row>
        <row r="96">
          <cell r="F96">
            <v>45071.360000000001</v>
          </cell>
          <cell r="G96">
            <v>47325</v>
          </cell>
          <cell r="H96">
            <v>47000</v>
          </cell>
        </row>
        <row r="98">
          <cell r="F98">
            <v>2772.15</v>
          </cell>
          <cell r="G98">
            <v>3440</v>
          </cell>
          <cell r="H98">
            <v>3612</v>
          </cell>
        </row>
        <row r="99">
          <cell r="F99">
            <v>0</v>
          </cell>
          <cell r="G99">
            <v>0</v>
          </cell>
          <cell r="H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</row>
        <row r="103">
          <cell r="F103">
            <v>39811.699999999997</v>
          </cell>
          <cell r="G103">
            <v>43500</v>
          </cell>
          <cell r="H103">
            <v>74300</v>
          </cell>
        </row>
        <row r="105">
          <cell r="F105">
            <v>0</v>
          </cell>
          <cell r="G105">
            <v>0</v>
          </cell>
          <cell r="H105">
            <v>0</v>
          </cell>
        </row>
        <row r="106">
          <cell r="F106">
            <v>14252.75</v>
          </cell>
          <cell r="G106">
            <v>15000</v>
          </cell>
          <cell r="H106">
            <v>15900</v>
          </cell>
        </row>
        <row r="107">
          <cell r="F107">
            <v>0</v>
          </cell>
          <cell r="G107">
            <v>0</v>
          </cell>
          <cell r="H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</row>
        <row r="109">
          <cell r="F109">
            <v>1875.14</v>
          </cell>
          <cell r="G109">
            <v>1970</v>
          </cell>
          <cell r="H109">
            <v>2000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1">
          <cell r="K31">
            <v>5.3156000000000002E-2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zoomScaleNormal="100" workbookViewId="0">
      <selection activeCell="G15" sqref="G1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Cooperative Hydro Embrun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216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369452</v>
      </c>
      <c r="H9" s="125">
        <f>'[1]2.6 Fixed Asset Cont Stmt'!$E$207</f>
        <v>0</v>
      </c>
      <c r="I9" s="125">
        <f>'[1]2.6 Fixed Asset Cont Stmt'!$E$276</f>
        <v>0</v>
      </c>
      <c r="J9" s="125">
        <f>'[1]2.6 Fixed Asset Cont Stmt'!$E$345</f>
        <v>0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270288</v>
      </c>
      <c r="H10" s="125"/>
      <c r="I10" s="125">
        <f>'[1]2.6 Fixed Asset Cont Stmt'!$E$230</f>
        <v>0</v>
      </c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2059</v>
      </c>
      <c r="H13" s="125">
        <v>2137</v>
      </c>
      <c r="I13" s="125">
        <v>2217</v>
      </c>
      <c r="J13" s="125">
        <v>2281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28288106</v>
      </c>
      <c r="H14" s="125">
        <f>'[1]3.11 LoadForecast'!$E$37</f>
        <v>28472872</v>
      </c>
      <c r="I14" s="125">
        <f>'[1]3.11 LoadForecast'!$G$37</f>
        <v>29936354.962987415</v>
      </c>
      <c r="J14" s="125">
        <f>'[1]3.11 LoadForecast'!$H$52</f>
        <v>29891982.06657267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6635</v>
      </c>
      <c r="H15" s="125">
        <f>G15</f>
        <v>6635</v>
      </c>
      <c r="I15" s="125">
        <f t="shared" ref="I15:J15" si="0">H15</f>
        <v>6635</v>
      </c>
      <c r="J15" s="125">
        <f t="shared" si="0"/>
        <v>6635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36</v>
      </c>
      <c r="H16" s="125">
        <f>G16</f>
        <v>36</v>
      </c>
      <c r="I16" s="125">
        <f>G16</f>
        <v>36</v>
      </c>
      <c r="J16" s="125">
        <f>G16</f>
        <v>36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0.14963707426018985</v>
      </c>
      <c r="H17" s="119">
        <v>4.2999999999999997E-2</v>
      </c>
      <c r="I17" s="119">
        <v>3.8199999999999998E-2</v>
      </c>
      <c r="J17" s="119">
        <v>2.9399999999999999E-2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1">G20</f>
        <v>2.5639327969446551E-2</v>
      </c>
      <c r="I20" s="124">
        <f t="shared" si="1"/>
        <v>2.5639327969446551E-2</v>
      </c>
      <c r="J20" s="124">
        <f t="shared" si="1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 t="shared" si="1"/>
        <v>1.574491305654421E-2</v>
      </c>
      <c r="I21" s="124">
        <f t="shared" si="1"/>
        <v>1.574491305654421E-2</v>
      </c>
      <c r="J21" s="124">
        <f t="shared" si="1"/>
        <v>1.574491305654421E-2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f>G22</f>
        <v>6.5054666666666677E-2</v>
      </c>
      <c r="I22" s="124">
        <f>G22</f>
        <v>6.5054666666666677E-2</v>
      </c>
      <c r="J22" s="124">
        <f>'[1]5.1 Capital Structure'!$K$31</f>
        <v>5.3156000000000002E-2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613272.34000000008</v>
      </c>
      <c r="H27" s="51">
        <f t="shared" ref="H27:M27" si="2">H35-H36+H37</f>
        <v>599309.76</v>
      </c>
      <c r="I27" s="51">
        <f t="shared" si="2"/>
        <v>639617.24</v>
      </c>
      <c r="J27" s="51">
        <f t="shared" si="2"/>
        <v>674612.24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3">G115-G121+G122</f>
        <v>613272.34000000008</v>
      </c>
      <c r="H29" s="51">
        <f t="shared" si="3"/>
        <v>599309.76</v>
      </c>
      <c r="I29" s="51">
        <f t="shared" si="3"/>
        <v>639617.24</v>
      </c>
      <c r="J29" s="51">
        <f t="shared" si="3"/>
        <v>674612.24</v>
      </c>
      <c r="K29" s="51">
        <f t="shared" si="3"/>
        <v>0</v>
      </c>
      <c r="L29" s="51">
        <f t="shared" si="3"/>
        <v>0</v>
      </c>
      <c r="M29" s="51">
        <f t="shared" si="3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4">IF($E$27="Y",G27,IF($E$29="Y",G29,"Error: Please enter Y for one method"))</f>
        <v>613272.34000000008</v>
      </c>
      <c r="H31" s="51">
        <f t="shared" si="4"/>
        <v>599309.76</v>
      </c>
      <c r="I31" s="51">
        <f t="shared" si="4"/>
        <v>639617.24</v>
      </c>
      <c r="J31" s="51">
        <f t="shared" si="4"/>
        <v>674612.24</v>
      </c>
      <c r="K31" s="51">
        <f t="shared" si="4"/>
        <v>0</v>
      </c>
      <c r="L31" s="51">
        <f t="shared" si="4"/>
        <v>0</v>
      </c>
      <c r="M31" s="51">
        <f t="shared" si="4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606071.10000000009</v>
      </c>
      <c r="H35" s="120">
        <f>H115</f>
        <v>592108.52</v>
      </c>
      <c r="I35" s="120">
        <f>I115</f>
        <v>632416</v>
      </c>
      <c r="J35" s="120">
        <f>J115</f>
        <v>667411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>
        <f>G37</f>
        <v>7201.24</v>
      </c>
      <c r="I37" s="125">
        <f>G37</f>
        <v>7201.24</v>
      </c>
      <c r="J37" s="120">
        <f>G37</f>
        <v>7201.24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f>'[1]4.1 OM&amp;A_Detailed_Analysis'!F17</f>
        <v>0</v>
      </c>
      <c r="I44" s="142">
        <f>'[1]4.1 OM&amp;A_Detailed_Analysis'!G17</f>
        <v>0</v>
      </c>
      <c r="J44" s="142">
        <f>'[1]4.1 OM&amp;A_Detailed_Analysis'!H17</f>
        <v>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>
        <f>'[1]4.1 OM&amp;A_Detailed_Analysis'!F18</f>
        <v>0</v>
      </c>
      <c r="I45" s="142">
        <f>'[1]4.1 OM&amp;A_Detailed_Analysis'!G18</f>
        <v>0</v>
      </c>
      <c r="J45" s="142">
        <f>'[1]4.1 OM&amp;A_Detailed_Analysis'!H18</f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1449.78</v>
      </c>
      <c r="H46" s="142">
        <f>'[1]4.1 OM&amp;A_Detailed_Analysis'!F19</f>
        <v>1306.48</v>
      </c>
      <c r="I46" s="142">
        <f>'[1]4.1 OM&amp;A_Detailed_Analysis'!G19</f>
        <v>1380</v>
      </c>
      <c r="J46" s="142">
        <f>'[1]4.1 OM&amp;A_Detailed_Analysis'!H19</f>
        <v>1449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f>'[1]4.1 OM&amp;A_Detailed_Analysis'!F20</f>
        <v>0</v>
      </c>
      <c r="I47" s="142">
        <f>'[1]4.1 OM&amp;A_Detailed_Analysis'!G20</f>
        <v>0</v>
      </c>
      <c r="J47" s="142">
        <f>'[1]4.1 OM&amp;A_Detailed_Analysis'!H20</f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f>'[1]4.1 OM&amp;A_Detailed_Analysis'!F21</f>
        <v>0</v>
      </c>
      <c r="I48" s="142">
        <f>'[1]4.1 OM&amp;A_Detailed_Analysis'!G21</f>
        <v>0</v>
      </c>
      <c r="J48" s="142">
        <f>'[1]4.1 OM&amp;A_Detailed_Analysis'!H21</f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0</v>
      </c>
      <c r="H49" s="142">
        <f>'[1]4.1 OM&amp;A_Detailed_Analysis'!F22</f>
        <v>0</v>
      </c>
      <c r="I49" s="142">
        <f>'[1]4.1 OM&amp;A_Detailed_Analysis'!G22</f>
        <v>0</v>
      </c>
      <c r="J49" s="142">
        <f>'[1]4.1 OM&amp;A_Detailed_Analysis'!H22</f>
        <v>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>
        <f>'[1]4.1 OM&amp;A_Detailed_Analysis'!F23</f>
        <v>0</v>
      </c>
      <c r="I50" s="142">
        <f>'[1]4.1 OM&amp;A_Detailed_Analysis'!G23</f>
        <v>0</v>
      </c>
      <c r="J50" s="142">
        <f>'[1]4.1 OM&amp;A_Detailed_Analysis'!H23</f>
        <v>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0</v>
      </c>
      <c r="H51" s="142">
        <f>'[1]4.1 OM&amp;A_Detailed_Analysis'!F24</f>
        <v>0</v>
      </c>
      <c r="I51" s="142">
        <f>'[1]4.1 OM&amp;A_Detailed_Analysis'!G24</f>
        <v>0</v>
      </c>
      <c r="J51" s="142">
        <f>'[1]4.1 OM&amp;A_Detailed_Analysis'!H24</f>
        <v>0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0</v>
      </c>
      <c r="H52" s="142">
        <f>'[1]4.1 OM&amp;A_Detailed_Analysis'!F25</f>
        <v>0</v>
      </c>
      <c r="I52" s="142">
        <f>'[1]4.1 OM&amp;A_Detailed_Analysis'!G25</f>
        <v>0</v>
      </c>
      <c r="J52" s="142">
        <f>'[1]4.1 OM&amp;A_Detailed_Analysis'!H25</f>
        <v>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1512.5</v>
      </c>
      <c r="H53" s="142">
        <f>'[1]4.1 OM&amp;A_Detailed_Analysis'!F27</f>
        <v>3185.14</v>
      </c>
      <c r="I53" s="142">
        <f>'[1]4.1 OM&amp;A_Detailed_Analysis'!G27</f>
        <v>3350</v>
      </c>
      <c r="J53" s="142">
        <f>'[1]4.1 OM&amp;A_Detailed_Analysis'!H27</f>
        <v>3500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f>'[1]4.1 OM&amp;A_Detailed_Analysis'!F28</f>
        <v>0</v>
      </c>
      <c r="I55" s="142">
        <f>'[1]4.1 OM&amp;A_Detailed_Analysis'!G28</f>
        <v>0</v>
      </c>
      <c r="J55" s="142">
        <f>'[1]4.1 OM&amp;A_Detailed_Analysis'!H28</f>
        <v>0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>
        <f>'[1]4.1 OM&amp;A_Detailed_Analysis'!F31</f>
        <v>0</v>
      </c>
      <c r="I56" s="142">
        <f>'[1]4.1 OM&amp;A_Detailed_Analysis'!G31</f>
        <v>0</v>
      </c>
      <c r="J56" s="142">
        <f>'[1]4.1 OM&amp;A_Detailed_Analysis'!H31</f>
        <v>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1595</v>
      </c>
      <c r="H57" s="142">
        <f>'[1]4.1 OM&amp;A_Detailed_Analysis'!F33</f>
        <v>907.5</v>
      </c>
      <c r="I57" s="142">
        <f>'[1]4.1 OM&amp;A_Detailed_Analysis'!G33</f>
        <v>1200</v>
      </c>
      <c r="J57" s="142">
        <f>'[1]4.1 OM&amp;A_Detailed_Analysis'!H33</f>
        <v>1400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f>'[1]4.1 OM&amp;A_Detailed_Analysis'!F34</f>
        <v>0</v>
      </c>
      <c r="I58" s="142">
        <f>'[1]4.1 OM&amp;A_Detailed_Analysis'!G34</f>
        <v>0</v>
      </c>
      <c r="J58" s="142">
        <f>'[1]4.1 OM&amp;A_Detailed_Analysis'!H34</f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25524.58</v>
      </c>
      <c r="H59" s="142">
        <f>'[1]4.1 OM&amp;A_Detailed_Analysis'!F35</f>
        <v>19441.63</v>
      </c>
      <c r="I59" s="142">
        <f>'[1]4.1 OM&amp;A_Detailed_Analysis'!G35</f>
        <v>20400</v>
      </c>
      <c r="J59" s="142">
        <f>'[1]4.1 OM&amp;A_Detailed_Analysis'!H35</f>
        <v>21420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9682.09</v>
      </c>
      <c r="H60" s="142">
        <f>'[1]4.1 OM&amp;A_Detailed_Analysis'!F36</f>
        <v>9368.08</v>
      </c>
      <c r="I60" s="142">
        <f>'[1]4.1 OM&amp;A_Detailed_Analysis'!G36</f>
        <v>9500</v>
      </c>
      <c r="J60" s="142">
        <f>'[1]4.1 OM&amp;A_Detailed_Analysis'!H36</f>
        <v>8800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f>'[1]4.1 OM&amp;A_Detailed_Analysis'!F37</f>
        <v>0</v>
      </c>
      <c r="I61" s="142">
        <f>'[1]4.1 OM&amp;A_Detailed_Analysis'!G37</f>
        <v>0</v>
      </c>
      <c r="J61" s="142">
        <f>'[1]4.1 OM&amp;A_Detailed_Analysis'!H37</f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>
        <f>'[1]4.1 OM&amp;A_Detailed_Analysis'!F38</f>
        <v>0</v>
      </c>
      <c r="I62" s="142">
        <f>'[1]4.1 OM&amp;A_Detailed_Analysis'!G38</f>
        <v>0</v>
      </c>
      <c r="J62" s="142">
        <f>'[1]4.1 OM&amp;A_Detailed_Analysis'!H38</f>
        <v>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f>'[1]4.1 OM&amp;A_Detailed_Analysis'!F39</f>
        <v>0</v>
      </c>
      <c r="I63" s="142">
        <f>'[1]4.1 OM&amp;A_Detailed_Analysis'!G39</f>
        <v>0</v>
      </c>
      <c r="J63" s="142">
        <f>'[1]4.1 OM&amp;A_Detailed_Analysis'!H39</f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39763.949999999997</v>
      </c>
      <c r="H64" s="81">
        <f>SUM(H44:H63)</f>
        <v>34208.83</v>
      </c>
      <c r="I64" s="81">
        <f t="shared" ref="I64:M64" si="5">SUM(I44:I63)</f>
        <v>35830</v>
      </c>
      <c r="J64" s="81">
        <f t="shared" si="5"/>
        <v>36569</v>
      </c>
      <c r="K64" s="81">
        <f t="shared" si="5"/>
        <v>0</v>
      </c>
      <c r="L64" s="81">
        <f t="shared" si="5"/>
        <v>0</v>
      </c>
      <c r="M64" s="81">
        <f t="shared" si="5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0</v>
      </c>
      <c r="H65" s="142">
        <f>'[1]4.1 OM&amp;A_Detailed_Analysis'!F43</f>
        <v>0</v>
      </c>
      <c r="I65" s="142">
        <f>'[1]4.1 OM&amp;A_Detailed_Analysis'!G43</f>
        <v>0</v>
      </c>
      <c r="J65" s="142">
        <f>'[1]4.1 OM&amp;A_Detailed_Analysis'!H43</f>
        <v>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7947.74</v>
      </c>
      <c r="H66" s="142">
        <f>'[1]4.1 OM&amp;A_Detailed_Analysis'!$F44</f>
        <v>8420.64</v>
      </c>
      <c r="I66" s="142">
        <f>'[1]4.1 OM&amp;A_Detailed_Analysis'!G44</f>
        <v>9000</v>
      </c>
      <c r="J66" s="142">
        <f>'[1]4.1 OM&amp;A_Detailed_Analysis'!H44</f>
        <v>8250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f>'[1]4.1 OM&amp;A_Detailed_Analysis'!$F45</f>
        <v>0</v>
      </c>
      <c r="I67" s="142">
        <f>'[1]4.1 OM&amp;A_Detailed_Analysis'!G45</f>
        <v>0</v>
      </c>
      <c r="J67" s="142">
        <f>'[1]4.1 OM&amp;A_Detailed_Analysis'!H45</f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5093.05</v>
      </c>
      <c r="H68" s="142">
        <f>'[1]4.1 OM&amp;A_Detailed_Analysis'!$F46</f>
        <v>6133.54</v>
      </c>
      <c r="I68" s="142">
        <f>'[1]4.1 OM&amp;A_Detailed_Analysis'!G46</f>
        <v>6450</v>
      </c>
      <c r="J68" s="142">
        <f>'[1]4.1 OM&amp;A_Detailed_Analysis'!H46</f>
        <v>8950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2693</v>
      </c>
      <c r="H69" s="142">
        <f>'[1]4.1 OM&amp;A_Detailed_Analysis'!$F47</f>
        <v>6652.08</v>
      </c>
      <c r="I69" s="142">
        <f>'[1]4.1 OM&amp;A_Detailed_Analysis'!G47</f>
        <v>6985</v>
      </c>
      <c r="J69" s="142">
        <f>'[1]4.1 OM&amp;A_Detailed_Analysis'!H47</f>
        <v>7335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4521.75</v>
      </c>
      <c r="H70" s="142">
        <f>'[1]4.1 OM&amp;A_Detailed_Analysis'!$F48</f>
        <v>5419.25</v>
      </c>
      <c r="I70" s="142">
        <f>'[1]4.1 OM&amp;A_Detailed_Analysis'!G48</f>
        <v>5690</v>
      </c>
      <c r="J70" s="142">
        <f>'[1]4.1 OM&amp;A_Detailed_Analysis'!H48</f>
        <v>5975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0</v>
      </c>
      <c r="H71" s="142">
        <f>'[1]4.1 OM&amp;A_Detailed_Analysis'!$F49</f>
        <v>0</v>
      </c>
      <c r="I71" s="142">
        <f>'[1]4.1 OM&amp;A_Detailed_Analysis'!G49</f>
        <v>0</v>
      </c>
      <c r="J71" s="142">
        <f>'[1]4.1 OM&amp;A_Detailed_Analysis'!H49</f>
        <v>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5995</v>
      </c>
      <c r="H72" s="142">
        <f>'[1]4.1 OM&amp;A_Detailed_Analysis'!$F50</f>
        <v>7672.5</v>
      </c>
      <c r="I72" s="142">
        <f>'[1]4.1 OM&amp;A_Detailed_Analysis'!G50</f>
        <v>8000</v>
      </c>
      <c r="J72" s="142">
        <f>'[1]4.1 OM&amp;A_Detailed_Analysis'!H50</f>
        <v>8400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0</v>
      </c>
      <c r="H73" s="142">
        <f>'[1]4.1 OM&amp;A_Detailed_Analysis'!$F51</f>
        <v>0</v>
      </c>
      <c r="I73" s="142">
        <f>'[1]4.1 OM&amp;A_Detailed_Analysis'!G51</f>
        <v>0</v>
      </c>
      <c r="J73" s="142">
        <f>'[1]4.1 OM&amp;A_Detailed_Analysis'!H51</f>
        <v>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0</v>
      </c>
      <c r="H74" s="142">
        <f>'[1]4.1 OM&amp;A_Detailed_Analysis'!$F52</f>
        <v>9924.75</v>
      </c>
      <c r="I74" s="142">
        <f>'[1]4.1 OM&amp;A_Detailed_Analysis'!G52</f>
        <v>10420</v>
      </c>
      <c r="J74" s="142">
        <f>'[1]4.1 OM&amp;A_Detailed_Analysis'!H52</f>
        <v>10000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0</v>
      </c>
      <c r="H75" s="142">
        <f>'[1]4.1 OM&amp;A_Detailed_Analysis'!$F53</f>
        <v>2000</v>
      </c>
      <c r="I75" s="142">
        <f>'[1]4.1 OM&amp;A_Detailed_Analysis'!G53</f>
        <v>2100</v>
      </c>
      <c r="J75" s="142">
        <f>'[1]4.1 OM&amp;A_Detailed_Analysis'!H53</f>
        <v>2205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0</v>
      </c>
      <c r="H76" s="142">
        <f>'[1]4.1 OM&amp;A_Detailed_Analysis'!$F54</f>
        <v>0</v>
      </c>
      <c r="I76" s="142">
        <f>'[1]4.1 OM&amp;A_Detailed_Analysis'!G54</f>
        <v>2000</v>
      </c>
      <c r="J76" s="142">
        <f>'[1]4.1 OM&amp;A_Detailed_Analysis'!H54</f>
        <v>2000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0</v>
      </c>
      <c r="H77" s="142">
        <f>'[1]4.1 OM&amp;A_Detailed_Analysis'!$F55</f>
        <v>0</v>
      </c>
      <c r="I77" s="142">
        <f>'[1]4.1 OM&amp;A_Detailed_Analysis'!G55</f>
        <v>0</v>
      </c>
      <c r="J77" s="142">
        <f>'[1]4.1 OM&amp;A_Detailed_Analysis'!H55</f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26250.54</v>
      </c>
      <c r="H78" s="81">
        <f>SUM(H65:H77)</f>
        <v>46222.76</v>
      </c>
      <c r="I78" s="81">
        <f t="shared" ref="I78:M78" si="6">SUM(I65:I77)</f>
        <v>50645</v>
      </c>
      <c r="J78" s="81">
        <f>SUM(J65:J77)</f>
        <v>53115</v>
      </c>
      <c r="K78" s="81">
        <f t="shared" si="6"/>
        <v>0</v>
      </c>
      <c r="L78" s="81">
        <f t="shared" si="6"/>
        <v>0</v>
      </c>
      <c r="M78" s="81">
        <f t="shared" si="6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f>'[1]4.1 OM&amp;A_Detailed_Analysis'!F68</f>
        <v>0</v>
      </c>
      <c r="I79" s="142">
        <f>'[1]4.1 OM&amp;A_Detailed_Analysis'!G68</f>
        <v>0</v>
      </c>
      <c r="J79" s="142">
        <f>'[1]4.1 OM&amp;A_Detailed_Analysis'!H68</f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0</v>
      </c>
      <c r="H80" s="142">
        <f>'[1]4.1 OM&amp;A_Detailed_Analysis'!F69</f>
        <v>0</v>
      </c>
      <c r="I80" s="142">
        <f>'[1]4.1 OM&amp;A_Detailed_Analysis'!G69</f>
        <v>0</v>
      </c>
      <c r="J80" s="142">
        <f>'[1]4.1 OM&amp;A_Detailed_Analysis'!H69</f>
        <v>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201913.39</v>
      </c>
      <c r="H81" s="142">
        <f>'[1]4.1 OM&amp;A_Detailed_Analysis'!F70</f>
        <v>168889.18</v>
      </c>
      <c r="I81" s="142">
        <f>'[1]4.1 OM&amp;A_Detailed_Analysis'!G70</f>
        <v>183718</v>
      </c>
      <c r="J81" s="142">
        <f>'[1]4.1 OM&amp;A_Detailed_Analysis'!H70</f>
        <v>190462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0</v>
      </c>
      <c r="H82" s="142">
        <f>'[1]4.1 OM&amp;A_Detailed_Analysis'!F71</f>
        <v>0</v>
      </c>
      <c r="I82" s="142">
        <f>'[1]4.1 OM&amp;A_Detailed_Analysis'!G71</f>
        <v>0</v>
      </c>
      <c r="J82" s="142">
        <f>'[1]4.1 OM&amp;A_Detailed_Analysis'!H71</f>
        <v>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f>'[1]4.1 OM&amp;A_Detailed_Analysis'!F72</f>
        <v>0</v>
      </c>
      <c r="I83" s="142">
        <f>'[1]4.1 OM&amp;A_Detailed_Analysis'!G72</f>
        <v>0</v>
      </c>
      <c r="J83" s="142">
        <f>'[1]4.1 OM&amp;A_Detailed_Analysis'!H72</f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3650</v>
      </c>
      <c r="H84" s="142">
        <f>'[1]4.1 OM&amp;A_Detailed_Analysis'!F73</f>
        <v>3930</v>
      </c>
      <c r="I84" s="142">
        <f>'[1]4.1 OM&amp;A_Detailed_Analysis'!G73</f>
        <v>4305</v>
      </c>
      <c r="J84" s="142">
        <f>'[1]4.1 OM&amp;A_Detailed_Analysis'!H73</f>
        <v>2020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f>'[1]4.1 OM&amp;A_Detailed_Analysis'!F75</f>
        <v>0</v>
      </c>
      <c r="I85" s="142">
        <f>'[1]4.1 OM&amp;A_Detailed_Analysis'!G75</f>
        <v>0</v>
      </c>
      <c r="J85" s="142">
        <f>'[1]4.1 OM&amp;A_Detailed_Analysis'!H75</f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205563.39</v>
      </c>
      <c r="H86" s="81">
        <f>SUM(H79:H85)</f>
        <v>172819.18</v>
      </c>
      <c r="I86" s="81">
        <f t="shared" ref="I86:M86" si="7">SUM(I79:I85)</f>
        <v>188023</v>
      </c>
      <c r="J86" s="81">
        <f t="shared" si="7"/>
        <v>192482</v>
      </c>
      <c r="K86" s="81">
        <f t="shared" si="7"/>
        <v>0</v>
      </c>
      <c r="L86" s="81">
        <f t="shared" si="7"/>
        <v>0</v>
      </c>
      <c r="M86" s="81">
        <f t="shared" si="7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8362.7000000000007</v>
      </c>
      <c r="H88" s="142">
        <f>'[1]4.1 OM&amp;A_Detailed_Analysis'!F80</f>
        <v>7862.84</v>
      </c>
      <c r="I88" s="142">
        <f>'[1]4.1 OM&amp;A_Detailed_Analysis'!G80</f>
        <v>4500</v>
      </c>
      <c r="J88" s="142">
        <f>'[1]4.1 OM&amp;A_Detailed_Analysis'!H80</f>
        <v>3000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8362.7000000000007</v>
      </c>
      <c r="H91" s="81">
        <f>SUM(H87:H90)</f>
        <v>7862.84</v>
      </c>
      <c r="I91" s="81">
        <f t="shared" ref="I91:M91" si="8">SUM(I87:I90)</f>
        <v>4500</v>
      </c>
      <c r="J91" s="81">
        <f t="shared" si="8"/>
        <v>3000</v>
      </c>
      <c r="K91" s="81">
        <f t="shared" si="8"/>
        <v>0</v>
      </c>
      <c r="L91" s="81">
        <f t="shared" si="8"/>
        <v>0</v>
      </c>
      <c r="M91" s="81">
        <f t="shared" si="8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27661.8</v>
      </c>
      <c r="H92" s="142">
        <f>'[1]4.1 OM&amp;A_Detailed_Analysis'!F91</f>
        <v>29694</v>
      </c>
      <c r="I92" s="142">
        <f>'[1]4.1 OM&amp;A_Detailed_Analysis'!G91</f>
        <v>33600</v>
      </c>
      <c r="J92" s="142">
        <f>'[1]4.1 OM&amp;A_Detailed_Analysis'!H91</f>
        <v>34800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93234.78</v>
      </c>
      <c r="H93" s="142">
        <f>'[1]4.1 OM&amp;A_Detailed_Analysis'!F92</f>
        <v>93979.87</v>
      </c>
      <c r="I93" s="142">
        <f>'[1]4.1 OM&amp;A_Detailed_Analysis'!G92</f>
        <v>100289</v>
      </c>
      <c r="J93" s="142">
        <f>'[1]4.1 OM&amp;A_Detailed_Analysis'!H92</f>
        <v>96630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64691.06</v>
      </c>
      <c r="H94" s="142">
        <f>'[1]4.1 OM&amp;A_Detailed_Analysis'!F93</f>
        <v>65744.33</v>
      </c>
      <c r="I94" s="142">
        <f>'[1]4.1 OM&amp;A_Detailed_Analysis'!G93</f>
        <v>69000</v>
      </c>
      <c r="J94" s="142">
        <f>'[1]4.1 OM&amp;A_Detailed_Analysis'!H93</f>
        <v>68000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42007.040000000001</v>
      </c>
      <c r="H95" s="142">
        <f>'[1]4.1 OM&amp;A_Detailed_Analysis'!F94</f>
        <v>37793.61</v>
      </c>
      <c r="I95" s="142">
        <f>'[1]4.1 OM&amp;A_Detailed_Analysis'!G94</f>
        <v>39294</v>
      </c>
      <c r="J95" s="142">
        <f>'[1]4.1 OM&amp;A_Detailed_Analysis'!H94</f>
        <v>40003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f>'[1]4.1 OM&amp;A_Detailed_Analysis'!F95</f>
        <v>0</v>
      </c>
      <c r="I96" s="142">
        <f>'[1]4.1 OM&amp;A_Detailed_Analysis'!G95</f>
        <v>0</v>
      </c>
      <c r="J96" s="142">
        <f>'[1]4.1 OM&amp;A_Detailed_Analysis'!H95</f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42412.13</v>
      </c>
      <c r="H97" s="142">
        <f>'[1]4.1 OM&amp;A_Detailed_Analysis'!F96</f>
        <v>45071.360000000001</v>
      </c>
      <c r="I97" s="142">
        <f>'[1]4.1 OM&amp;A_Detailed_Analysis'!G96</f>
        <v>47325</v>
      </c>
      <c r="J97" s="142">
        <f>'[1]4.1 OM&amp;A_Detailed_Analysis'!H96</f>
        <v>47000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2062.4</v>
      </c>
      <c r="H98" s="142">
        <f>'[1]4.1 OM&amp;A_Detailed_Analysis'!F98</f>
        <v>2772.15</v>
      </c>
      <c r="I98" s="142">
        <f>'[1]4.1 OM&amp;A_Detailed_Analysis'!G98</f>
        <v>3440</v>
      </c>
      <c r="J98" s="142">
        <f>'[1]4.1 OM&amp;A_Detailed_Analysis'!H98</f>
        <v>3612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>
        <f>'[1]4.1 OM&amp;A_Detailed_Analysis'!F99</f>
        <v>0</v>
      </c>
      <c r="I99" s="142">
        <f>'[1]4.1 OM&amp;A_Detailed_Analysis'!G99</f>
        <v>0</v>
      </c>
      <c r="J99" s="142">
        <f>'[1]4.1 OM&amp;A_Detailed_Analysis'!H99</f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f>'[1]4.1 OM&amp;A_Detailed_Analysis'!F100</f>
        <v>0</v>
      </c>
      <c r="I100" s="142">
        <f>'[1]4.1 OM&amp;A_Detailed_Analysis'!G100</f>
        <v>0</v>
      </c>
      <c r="J100" s="142">
        <f>'[1]4.1 OM&amp;A_Detailed_Analysis'!H100</f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f>'[1]4.1 OM&amp;A_Detailed_Analysis'!F101</f>
        <v>0</v>
      </c>
      <c r="I101" s="142">
        <f>'[1]4.1 OM&amp;A_Detailed_Analysis'!G101</f>
        <v>0</v>
      </c>
      <c r="J101" s="142">
        <f>'[1]4.1 OM&amp;A_Detailed_Analysis'!H101</f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f>'[1]4.1 OM&amp;A_Detailed_Analysis'!F102</f>
        <v>0</v>
      </c>
      <c r="I102" s="142">
        <f>'[1]4.1 OM&amp;A_Detailed_Analysis'!G102</f>
        <v>0</v>
      </c>
      <c r="J102" s="142">
        <f>'[1]4.1 OM&amp;A_Detailed_Analysis'!H102</f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36194.21</v>
      </c>
      <c r="H103" s="142">
        <f>'[1]4.1 OM&amp;A_Detailed_Analysis'!F103</f>
        <v>39811.699999999997</v>
      </c>
      <c r="I103" s="142">
        <f>'[1]4.1 OM&amp;A_Detailed_Analysis'!G103</f>
        <v>43500</v>
      </c>
      <c r="J103" s="142">
        <f>'[1]4.1 OM&amp;A_Detailed_Analysis'!H103</f>
        <v>74300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0</v>
      </c>
      <c r="H104" s="142">
        <f>'[1]4.1 OM&amp;A_Detailed_Analysis'!F105</f>
        <v>0</v>
      </c>
      <c r="I104" s="142">
        <f>'[1]4.1 OM&amp;A_Detailed_Analysis'!G105</f>
        <v>0</v>
      </c>
      <c r="J104" s="142">
        <f>'[1]4.1 OM&amp;A_Detailed_Analysis'!H105</f>
        <v>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14100</v>
      </c>
      <c r="H105" s="142">
        <f>'[1]4.1 OM&amp;A_Detailed_Analysis'!F106</f>
        <v>14252.75</v>
      </c>
      <c r="I105" s="142">
        <f>'[1]4.1 OM&amp;A_Detailed_Analysis'!G106</f>
        <v>15000</v>
      </c>
      <c r="J105" s="142">
        <f>'[1]4.1 OM&amp;A_Detailed_Analysis'!H106</f>
        <v>15900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f>'[1]4.1 OM&amp;A_Detailed_Analysis'!F107</f>
        <v>0</v>
      </c>
      <c r="I106" s="142">
        <f>'[1]4.1 OM&amp;A_Detailed_Analysis'!G107</f>
        <v>0</v>
      </c>
      <c r="J106" s="142">
        <f>'[1]4.1 OM&amp;A_Detailed_Analysis'!H107</f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>
        <f>'[1]4.1 OM&amp;A_Detailed_Analysis'!F108</f>
        <v>0</v>
      </c>
      <c r="I107" s="142">
        <f>'[1]4.1 OM&amp;A_Detailed_Analysis'!G108</f>
        <v>0</v>
      </c>
      <c r="J107" s="142">
        <f>'[1]4.1 OM&amp;A_Detailed_Analysis'!H108</f>
        <v>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1913.1</v>
      </c>
      <c r="H108" s="142">
        <f>'[1]4.1 OM&amp;A_Detailed_Analysis'!F109</f>
        <v>1875.14</v>
      </c>
      <c r="I108" s="142">
        <f>'[1]4.1 OM&amp;A_Detailed_Analysis'!G109</f>
        <v>1970</v>
      </c>
      <c r="J108" s="142">
        <f>'[1]4.1 OM&amp;A_Detailed_Analysis'!H109</f>
        <v>2000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324276.52</v>
      </c>
      <c r="H109" s="81">
        <f>SUM(H92:H108)</f>
        <v>330994.91000000003</v>
      </c>
      <c r="I109" s="81">
        <f t="shared" ref="I109:M109" si="9">SUM(I92:I108)</f>
        <v>353418</v>
      </c>
      <c r="J109" s="81">
        <f t="shared" si="9"/>
        <v>382245</v>
      </c>
      <c r="K109" s="81">
        <f t="shared" si="9"/>
        <v>0</v>
      </c>
      <c r="L109" s="81">
        <f t="shared" si="9"/>
        <v>0</v>
      </c>
      <c r="M109" s="81">
        <f t="shared" si="9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1854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1854</v>
      </c>
      <c r="H112" s="81">
        <f>H110+H111</f>
        <v>0</v>
      </c>
      <c r="I112" s="81">
        <f t="shared" ref="I112:M112" si="10">I110+I111</f>
        <v>0</v>
      </c>
      <c r="J112" s="81">
        <f t="shared" si="10"/>
        <v>0</v>
      </c>
      <c r="K112" s="81">
        <f t="shared" si="10"/>
        <v>0</v>
      </c>
      <c r="L112" s="81">
        <f t="shared" si="10"/>
        <v>0</v>
      </c>
      <c r="M112" s="81">
        <f t="shared" si="10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1">I113</f>
        <v>0</v>
      </c>
      <c r="J114" s="81">
        <f t="shared" si="11"/>
        <v>0</v>
      </c>
      <c r="K114" s="81">
        <f t="shared" si="11"/>
        <v>0</v>
      </c>
      <c r="L114" s="81">
        <f t="shared" si="11"/>
        <v>0</v>
      </c>
      <c r="M114" s="81">
        <f t="shared" si="11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606071.10000000009</v>
      </c>
      <c r="H115" s="81">
        <f>H114+H112+H109+H91+H86+H78+H64</f>
        <v>592108.52</v>
      </c>
      <c r="I115" s="81">
        <f t="shared" ref="I115:M115" si="12">I114+I112+I109+I91+I86+I78+I64</f>
        <v>632416</v>
      </c>
      <c r="J115" s="81">
        <f t="shared" si="12"/>
        <v>667411</v>
      </c>
      <c r="K115" s="81">
        <f t="shared" si="12"/>
        <v>0</v>
      </c>
      <c r="L115" s="81">
        <f t="shared" si="12"/>
        <v>0</v>
      </c>
      <c r="M115" s="81">
        <f t="shared" si="12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3">H47</f>
        <v>0</v>
      </c>
      <c r="I118" s="58">
        <f t="shared" si="13"/>
        <v>0</v>
      </c>
      <c r="J118" s="58">
        <f t="shared" si="13"/>
        <v>0</v>
      </c>
      <c r="K118" s="58">
        <f t="shared" si="13"/>
        <v>0</v>
      </c>
      <c r="L118" s="58">
        <f t="shared" si="13"/>
        <v>0</v>
      </c>
      <c r="M118" s="58">
        <f t="shared" ref="M118" si="14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5">H48</f>
        <v>0</v>
      </c>
      <c r="I119" s="58">
        <f t="shared" si="15"/>
        <v>0</v>
      </c>
      <c r="J119" s="58">
        <f t="shared" si="15"/>
        <v>0</v>
      </c>
      <c r="K119" s="58">
        <f t="shared" si="15"/>
        <v>0</v>
      </c>
      <c r="L119" s="58">
        <f t="shared" si="15"/>
        <v>0</v>
      </c>
      <c r="M119" s="58">
        <f t="shared" ref="M119" si="16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7">H67</f>
        <v>0</v>
      </c>
      <c r="I120" s="58">
        <f t="shared" si="17"/>
        <v>0</v>
      </c>
      <c r="J120" s="58">
        <f t="shared" si="17"/>
        <v>0</v>
      </c>
      <c r="K120" s="58">
        <f t="shared" si="17"/>
        <v>0</v>
      </c>
      <c r="L120" s="58">
        <f t="shared" si="17"/>
        <v>0</v>
      </c>
      <c r="M120" s="58">
        <f t="shared" ref="M120" si="18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9">I47+I48+I67</f>
        <v>0</v>
      </c>
      <c r="J121" s="110">
        <f t="shared" si="19"/>
        <v>0</v>
      </c>
      <c r="K121" s="110">
        <f t="shared" si="19"/>
        <v>0</v>
      </c>
      <c r="L121" s="110">
        <f t="shared" si="19"/>
        <v>0</v>
      </c>
      <c r="M121" s="110">
        <f t="shared" ref="M121" si="20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f>G122</f>
        <v>7201.24</v>
      </c>
      <c r="I122" s="176">
        <f>G122</f>
        <v>7201.24</v>
      </c>
      <c r="J122" s="176">
        <f>G122</f>
        <v>7201.24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74"/>
  <sheetViews>
    <sheetView zoomScaleNormal="100" workbookViewId="0">
      <pane ySplit="5" topLeftCell="A93" activePane="bottomLeft" state="frozen"/>
      <selection activeCell="G33" sqref="G33"/>
      <selection pane="bottomLeft" activeCell="H98" sqref="H9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Cooperative Hydro Embrun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1449.78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0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1512.5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1595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25524.58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9682.09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39763.949999999997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7947.74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5093.05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2693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4521.75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5995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26250.54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201913.39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3650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205563.39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8362.7000000000007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8362.7000000000007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27661.8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93234.78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64691.06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42007.040000000001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42412.13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2062.4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36194.21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0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14100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1913.1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324276.52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1854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1854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606071.10000000009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613272.34000000008</v>
      </c>
      <c r="H89" s="186">
        <f>'Model Inputs'!H31</f>
        <v>599309.76</v>
      </c>
      <c r="I89" s="187">
        <f>'Model Inputs'!I31</f>
        <v>639617.24</v>
      </c>
      <c r="J89" s="187">
        <f>'Model Inputs'!J31</f>
        <v>674612.24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369452</v>
      </c>
      <c r="H92" s="186">
        <f>'Model Inputs'!H9</f>
        <v>0</v>
      </c>
      <c r="I92" s="187">
        <f>'Model Inputs'!I9</f>
        <v>0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270288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2059</v>
      </c>
      <c r="H96" s="186">
        <f>'Model Inputs'!H13</f>
        <v>2137</v>
      </c>
      <c r="I96" s="187">
        <f>'Model Inputs'!I13</f>
        <v>2217</v>
      </c>
      <c r="J96" s="187">
        <f>'Model Inputs'!J13</f>
        <v>2281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28288106</v>
      </c>
      <c r="H97" s="186">
        <f>'Model Inputs'!H14</f>
        <v>28472872</v>
      </c>
      <c r="I97" s="187">
        <f>'Model Inputs'!I14</f>
        <v>29936354.962987415</v>
      </c>
      <c r="J97" s="187">
        <f>'Model Inputs'!J14</f>
        <v>29891982.06657267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6635</v>
      </c>
      <c r="H98" s="186">
        <f>'Model Inputs'!H15</f>
        <v>6635</v>
      </c>
      <c r="I98" s="187">
        <f>'Model Inputs'!I15</f>
        <v>6635</v>
      </c>
      <c r="J98" s="187">
        <f>'Model Inputs'!J15</f>
        <v>6635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36</v>
      </c>
      <c r="H99" s="186">
        <f>'Model Inputs'!H16</f>
        <v>36</v>
      </c>
      <c r="I99" s="187">
        <f>'Model Inputs'!I16</f>
        <v>36</v>
      </c>
      <c r="J99" s="187">
        <f>'Model Inputs'!J16</f>
        <v>36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613272.34000000008</v>
      </c>
      <c r="H107" s="29">
        <f t="shared" ref="H107:K107" si="4">H89</f>
        <v>599309.76</v>
      </c>
      <c r="I107" s="29">
        <f t="shared" si="4"/>
        <v>639617.24</v>
      </c>
      <c r="J107" s="29">
        <f t="shared" si="4"/>
        <v>674612.24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6.5054666666666677E-2</v>
      </c>
      <c r="I110" s="202">
        <f>'Model Inputs'!I22</f>
        <v>6.5054666666666677E-2</v>
      </c>
      <c r="J110" s="202">
        <f>'Model Inputs'!J22</f>
        <v>5.3156000000000002E-2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171.00798788639747</v>
      </c>
      <c r="K112" s="205">
        <f>J112*EXP('Model Inputs'!K21)</f>
        <v>171.00798788639747</v>
      </c>
      <c r="L112" s="205">
        <f>K112*EXP('Model Inputs'!L21)</f>
        <v>171.00798788639747</v>
      </c>
      <c r="M112" s="206">
        <f>L112*EXP('Model Inputs'!M21)</f>
        <v>171.00798788639747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18.217550546821649</v>
      </c>
      <c r="I113" s="29">
        <f t="shared" si="7"/>
        <v>18.506654280427806</v>
      </c>
      <c r="J113" s="29">
        <f t="shared" si="7"/>
        <v>16.797365242543545</v>
      </c>
      <c r="K113" s="29">
        <f t="shared" si="7"/>
        <v>7.8492666439856444</v>
      </c>
      <c r="L113" s="29">
        <f t="shared" si="7"/>
        <v>7.8492666439856444</v>
      </c>
      <c r="M113" s="29">
        <f t="shared" si="7"/>
        <v>7.8492666439856444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369452</v>
      </c>
      <c r="H114" s="207">
        <f>H92</f>
        <v>0</v>
      </c>
      <c r="I114" s="208">
        <f t="shared" ref="I114:L114" si="8">I92</f>
        <v>0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270288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607.92699160188852</v>
      </c>
      <c r="H116" s="8">
        <f t="shared" ref="H116:K116" si="12">(H114-H115)/H112</f>
        <v>0</v>
      </c>
      <c r="I116" s="8">
        <f t="shared" si="12"/>
        <v>0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1269.9935354535601</v>
      </c>
      <c r="H117" s="25">
        <f t="shared" ref="H117:M117" si="14">H111*G118</f>
        <v>1239.6046810907685</v>
      </c>
      <c r="I117" s="25">
        <f t="shared" si="14"/>
        <v>1182.7068262287023</v>
      </c>
      <c r="J117" s="25">
        <f t="shared" si="14"/>
        <v>1128.4205829048049</v>
      </c>
      <c r="K117" s="25">
        <f t="shared" si="14"/>
        <v>1076.6260781494743</v>
      </c>
      <c r="L117" s="25">
        <f t="shared" si="14"/>
        <v>1027.2089411624133</v>
      </c>
      <c r="M117" s="25">
        <f t="shared" si="14"/>
        <v>980.06005076305848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27006.63793226075</v>
      </c>
      <c r="H118" s="25">
        <f t="shared" ref="H118:M118" si="15">G118+H116-H117</f>
        <v>25767.033251169982</v>
      </c>
      <c r="I118" s="25">
        <f t="shared" si="15"/>
        <v>24584.326424941279</v>
      </c>
      <c r="J118" s="25">
        <f t="shared" si="15"/>
        <v>23455.905842036474</v>
      </c>
      <c r="K118" s="25">
        <f t="shared" si="15"/>
        <v>22379.279763887</v>
      </c>
      <c r="L118" s="25">
        <f t="shared" si="15"/>
        <v>21352.070822724585</v>
      </c>
      <c r="M118" s="25">
        <f t="shared" si="15"/>
        <v>20372.010771961526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484184.68259761768</v>
      </c>
      <c r="H119" s="25">
        <f t="shared" ref="H119:K119" si="16">H113*H118</f>
        <v>469412.23069482332</v>
      </c>
      <c r="I119" s="25">
        <f t="shared" si="16"/>
        <v>454973.62986357394</v>
      </c>
      <c r="J119" s="25">
        <f t="shared" si="16"/>
        <v>393997.41752339754</v>
      </c>
      <c r="K119" s="25">
        <f t="shared" si="16"/>
        <v>175660.93416710116</v>
      </c>
      <c r="L119" s="25">
        <f t="shared" ref="L119:M119" si="17">L113*L118</f>
        <v>167598.0972888312</v>
      </c>
      <c r="M119" s="25">
        <f t="shared" si="17"/>
        <v>159905.34462327385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1097457.0225976177</v>
      </c>
      <c r="H121" s="25">
        <f t="shared" ref="H121:K121" si="18">H107+H119</f>
        <v>1068721.9906948232</v>
      </c>
      <c r="I121" s="25">
        <f t="shared" si="18"/>
        <v>1094590.8698635739</v>
      </c>
      <c r="J121" s="25">
        <f t="shared" si="18"/>
        <v>1068609.6575233976</v>
      </c>
      <c r="K121" s="25">
        <f t="shared" si="18"/>
        <v>175660.93416710116</v>
      </c>
      <c r="L121" s="25">
        <f t="shared" ref="L121:M121" si="19">L107+L119</f>
        <v>167598.0972888312</v>
      </c>
      <c r="M121" s="25">
        <f t="shared" si="19"/>
        <v>159905.34462327385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30484.917294378269</v>
      </c>
      <c r="H122" s="25">
        <f t="shared" ref="H122:J122" si="20">H121/H142</f>
        <v>29686.721963745091</v>
      </c>
      <c r="I122" s="25">
        <f t="shared" si="20"/>
        <v>30405.30194065483</v>
      </c>
      <c r="J122" s="25">
        <f t="shared" si="20"/>
        <v>29683.601597872155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2059</v>
      </c>
      <c r="H128" s="8">
        <f t="shared" ref="H128:K130" si="21">H96</f>
        <v>2137</v>
      </c>
      <c r="I128" s="8">
        <f t="shared" si="21"/>
        <v>2217</v>
      </c>
      <c r="J128" s="8">
        <f t="shared" si="21"/>
        <v>2281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28288106</v>
      </c>
      <c r="H129" s="39">
        <f t="shared" si="21"/>
        <v>28472872</v>
      </c>
      <c r="I129" s="39">
        <f t="shared" si="21"/>
        <v>29936354.962987415</v>
      </c>
      <c r="J129" s="39">
        <f t="shared" si="21"/>
        <v>29891982.06657267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6635</v>
      </c>
      <c r="H130" s="8">
        <f t="shared" si="21"/>
        <v>6635</v>
      </c>
      <c r="I130" s="8">
        <f t="shared" si="21"/>
        <v>6635</v>
      </c>
      <c r="J130" s="8">
        <f t="shared" si="21"/>
        <v>6635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7251</v>
      </c>
      <c r="H131" s="8">
        <f t="shared" ref="H131:M131" si="25">MAX(G131,H130)</f>
        <v>7251</v>
      </c>
      <c r="I131" s="8">
        <f t="shared" si="25"/>
        <v>7251</v>
      </c>
      <c r="J131" s="8">
        <f t="shared" si="25"/>
        <v>7251</v>
      </c>
      <c r="K131" s="8">
        <f t="shared" si="25"/>
        <v>7251</v>
      </c>
      <c r="L131" s="8">
        <f t="shared" si="25"/>
        <v>7251</v>
      </c>
      <c r="M131" s="8">
        <f t="shared" si="25"/>
        <v>7251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120.79821124012295</v>
      </c>
      <c r="K134" s="214">
        <f>J134*EXP('Model Inputs'!K21)</f>
        <v>120.79821124012295</v>
      </c>
      <c r="L134" s="214">
        <f>K134*EXP('Model Inputs'!L21)</f>
        <v>120.79821124012295</v>
      </c>
      <c r="M134" s="215">
        <f>L134*EXP('Model Inputs'!M21)</f>
        <v>120.79821124012295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6">LN(I134/H134)*0.3+LN(I135/H135)*0.7</f>
        <v>2.2671003495575846E-2</v>
      </c>
      <c r="J136" s="40">
        <f t="shared" si="26"/>
        <v>2.2671003495575846E-2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139.7281787609837</v>
      </c>
      <c r="H137" s="29">
        <f t="shared" ref="H137:M137" si="27">G137*EXP(H136)</f>
        <v>142.93213804795639</v>
      </c>
      <c r="I137" s="29">
        <f t="shared" si="27"/>
        <v>146.20956394133304</v>
      </c>
      <c r="J137" s="29">
        <f t="shared" si="27"/>
        <v>149.5621410262701</v>
      </c>
      <c r="K137" s="29">
        <f t="shared" si="27"/>
        <v>149.5621410262701</v>
      </c>
      <c r="L137" s="29">
        <f t="shared" si="27"/>
        <v>149.5621410262701</v>
      </c>
      <c r="M137" s="29">
        <f t="shared" si="27"/>
        <v>149.5621410262701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18.217550546821649</v>
      </c>
      <c r="I139" s="29">
        <f t="shared" si="28"/>
        <v>18.506654280427806</v>
      </c>
      <c r="J139" s="29">
        <f t="shared" si="28"/>
        <v>16.797365242543545</v>
      </c>
      <c r="K139" s="29">
        <f t="shared" si="28"/>
        <v>7.8492666439856444</v>
      </c>
      <c r="L139" s="29">
        <f t="shared" ref="L139:M139" si="29">L113</f>
        <v>7.8492666439856444</v>
      </c>
      <c r="M139" s="29">
        <f t="shared" si="29"/>
        <v>7.8492666439856444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36</v>
      </c>
      <c r="H142" s="42">
        <f>'Model Inputs'!H16</f>
        <v>36</v>
      </c>
      <c r="I142" s="42">
        <f>'Model Inputs'!I16</f>
        <v>36</v>
      </c>
      <c r="J142" s="42">
        <f>'Model Inputs'!J16</f>
        <v>36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28.435714285714287</v>
      </c>
      <c r="H143" s="41">
        <f>(G143*14+H142)/15</f>
        <v>28.94</v>
      </c>
      <c r="I143" s="41">
        <f>(H143*15+I142)/16</f>
        <v>29.381250000000001</v>
      </c>
      <c r="J143" s="41">
        <f>(I143*16+J142)/17</f>
        <v>29.77058823529412</v>
      </c>
      <c r="K143" s="41">
        <f>(J143*17+K142)/18</f>
        <v>28.116666666666667</v>
      </c>
      <c r="L143" s="41">
        <f>(K143*17+L142)/18</f>
        <v>26.55462962962963</v>
      </c>
      <c r="M143" s="41">
        <f>(L143*17+M142)/18</f>
        <v>25.079372427983539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1791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0.14963707426018985</v>
      </c>
      <c r="H145" s="30">
        <f>'Model Inputs'!H17</f>
        <v>4.2999999999999997E-2</v>
      </c>
      <c r="I145" s="30">
        <f>'Model Inputs'!I17</f>
        <v>3.8199999999999998E-2</v>
      </c>
      <c r="J145" s="30">
        <f>'Model Inputs'!J17</f>
        <v>2.9399999999999999E-2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0.12830882436162983</v>
      </c>
      <c r="H152" s="44">
        <f t="shared" ref="H152:K152" si="32">H113/H137</f>
        <v>0.12745594374799965</v>
      </c>
      <c r="I152" s="44">
        <f t="shared" si="32"/>
        <v>0.12657622238620209</v>
      </c>
      <c r="J152" s="44">
        <f t="shared" si="32"/>
        <v>0.11231027536302214</v>
      </c>
      <c r="K152" s="44">
        <f t="shared" si="32"/>
        <v>5.248164134402801E-2</v>
      </c>
      <c r="L152" s="44">
        <f t="shared" ref="L152:M152" si="33">L113/L137</f>
        <v>5.248164134402801E-2</v>
      </c>
      <c r="M152" s="44">
        <f t="shared" si="33"/>
        <v>5.248164134402801E-2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2059</v>
      </c>
      <c r="H153" s="25">
        <f t="shared" ref="H153:K153" si="34">H96</f>
        <v>2137</v>
      </c>
      <c r="I153" s="25">
        <f t="shared" si="34"/>
        <v>2217</v>
      </c>
      <c r="J153" s="25">
        <f t="shared" si="34"/>
        <v>2281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7251</v>
      </c>
      <c r="H154" s="25">
        <f t="shared" ref="H154:K154" si="36">H131</f>
        <v>7251</v>
      </c>
      <c r="I154" s="25">
        <f t="shared" si="36"/>
        <v>7251</v>
      </c>
      <c r="J154" s="25">
        <f t="shared" si="36"/>
        <v>7251</v>
      </c>
      <c r="K154" s="25">
        <f t="shared" si="36"/>
        <v>7251</v>
      </c>
      <c r="L154" s="25">
        <f t="shared" ref="L154:M154" si="37">L131</f>
        <v>7251</v>
      </c>
      <c r="M154" s="25">
        <f t="shared" si="37"/>
        <v>7251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28288106</v>
      </c>
      <c r="H155" s="39">
        <f t="shared" ref="H155:K155" si="38">H97</f>
        <v>28472872</v>
      </c>
      <c r="I155" s="39">
        <f t="shared" si="38"/>
        <v>29936354.962987415</v>
      </c>
      <c r="J155" s="39">
        <f t="shared" si="38"/>
        <v>29891982.06657267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28.435714285714287</v>
      </c>
      <c r="H156" s="45">
        <f t="shared" ref="H156:K156" si="40">H143</f>
        <v>28.94</v>
      </c>
      <c r="I156" s="45">
        <f t="shared" si="40"/>
        <v>29.381250000000001</v>
      </c>
      <c r="J156" s="45">
        <f t="shared" si="40"/>
        <v>29.77058823529412</v>
      </c>
      <c r="K156" s="45">
        <f t="shared" si="40"/>
        <v>28.116666666666667</v>
      </c>
      <c r="L156" s="45">
        <f t="shared" ref="L156:M156" si="41">L143</f>
        <v>26.55462962962963</v>
      </c>
      <c r="M156" s="45">
        <f t="shared" si="41"/>
        <v>25.079372427983539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0.14963707426018985</v>
      </c>
      <c r="H157" s="31">
        <f t="shared" ref="H157:L157" si="42">H145</f>
        <v>4.2999999999999997E-2</v>
      </c>
      <c r="I157" s="31">
        <f t="shared" si="42"/>
        <v>3.8199999999999998E-2</v>
      </c>
      <c r="J157" s="31">
        <f t="shared" si="42"/>
        <v>2.9399999999999999E-2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12.810934558134596</v>
      </c>
      <c r="H162" s="49">
        <f t="shared" ref="H162:M179" si="46">G162</f>
        <v>12.810934558134596</v>
      </c>
      <c r="I162" s="49">
        <f t="shared" si="46"/>
        <v>12.810934558134596</v>
      </c>
      <c r="J162" s="49">
        <f t="shared" si="46"/>
        <v>12.810934558134596</v>
      </c>
      <c r="K162" s="49">
        <f t="shared" si="46"/>
        <v>12.810934558134596</v>
      </c>
      <c r="L162" s="49">
        <f t="shared" si="46"/>
        <v>12.810934558134596</v>
      </c>
      <c r="M162" s="49">
        <f t="shared" si="46"/>
        <v>12.810934558134596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0.63118119214696933</v>
      </c>
      <c r="H163" s="49">
        <f t="shared" si="46"/>
        <v>0.63118119214696933</v>
      </c>
      <c r="I163" s="49">
        <f t="shared" si="46"/>
        <v>0.63118119214696933</v>
      </c>
      <c r="J163" s="49">
        <f t="shared" si="46"/>
        <v>0.63118119214696933</v>
      </c>
      <c r="K163" s="49">
        <f t="shared" si="46"/>
        <v>0.63118119214696933</v>
      </c>
      <c r="L163" s="49">
        <f t="shared" si="46"/>
        <v>0.63118119214696933</v>
      </c>
      <c r="M163" s="49">
        <f t="shared" si="46"/>
        <v>0.63118119214696933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0.44745410998208301</v>
      </c>
      <c r="H164" s="49">
        <f t="shared" si="46"/>
        <v>0.44745410998208301</v>
      </c>
      <c r="I164" s="49">
        <f t="shared" si="46"/>
        <v>0.44745410998208301</v>
      </c>
      <c r="J164" s="49">
        <f t="shared" si="46"/>
        <v>0.44745410998208301</v>
      </c>
      <c r="K164" s="49">
        <f t="shared" si="46"/>
        <v>0.44745410998208301</v>
      </c>
      <c r="L164" s="49">
        <f t="shared" si="46"/>
        <v>0.44745410998208301</v>
      </c>
      <c r="M164" s="49">
        <f t="shared" si="46"/>
        <v>0.44745410998208301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0.16256292839174574</v>
      </c>
      <c r="H165" s="49">
        <f t="shared" si="46"/>
        <v>0.16256292839174574</v>
      </c>
      <c r="I165" s="49">
        <f t="shared" si="46"/>
        <v>0.16256292839174574</v>
      </c>
      <c r="J165" s="49">
        <f t="shared" si="46"/>
        <v>0.16256292839174574</v>
      </c>
      <c r="K165" s="49">
        <f t="shared" si="46"/>
        <v>0.16256292839174574</v>
      </c>
      <c r="L165" s="49">
        <f t="shared" si="46"/>
        <v>0.16256292839174574</v>
      </c>
      <c r="M165" s="49">
        <f t="shared" si="46"/>
        <v>0.16256292839174574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0.10661130436832145</v>
      </c>
      <c r="H166" s="49">
        <f t="shared" si="46"/>
        <v>0.10661130436832145</v>
      </c>
      <c r="I166" s="49">
        <f t="shared" si="46"/>
        <v>0.10661130436832145</v>
      </c>
      <c r="J166" s="49">
        <f t="shared" si="46"/>
        <v>0.10661130436832145</v>
      </c>
      <c r="K166" s="49">
        <f t="shared" si="46"/>
        <v>0.10661130436832145</v>
      </c>
      <c r="L166" s="49">
        <f t="shared" si="46"/>
        <v>0.10661130436832145</v>
      </c>
      <c r="M166" s="49">
        <f t="shared" si="46"/>
        <v>0.10661130436832145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0.13706018401500897</v>
      </c>
      <c r="H167" s="49">
        <f t="shared" si="46"/>
        <v>0.13706018401500897</v>
      </c>
      <c r="I167" s="49">
        <f t="shared" si="46"/>
        <v>0.13706018401500897</v>
      </c>
      <c r="J167" s="49">
        <f t="shared" si="46"/>
        <v>0.13706018401500897</v>
      </c>
      <c r="K167" s="49">
        <f t="shared" si="46"/>
        <v>0.13706018401500897</v>
      </c>
      <c r="L167" s="49">
        <f t="shared" si="46"/>
        <v>0.13706018401500897</v>
      </c>
      <c r="M167" s="49">
        <f t="shared" si="46"/>
        <v>0.13706018401500897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-0.33467907529638907</v>
      </c>
      <c r="H168" s="49">
        <f t="shared" si="46"/>
        <v>-0.33467907529638907</v>
      </c>
      <c r="I168" s="49">
        <f t="shared" si="46"/>
        <v>-0.33467907529638907</v>
      </c>
      <c r="J168" s="49">
        <f t="shared" si="46"/>
        <v>-0.33467907529638907</v>
      </c>
      <c r="K168" s="49">
        <f t="shared" si="46"/>
        <v>-0.33467907529638907</v>
      </c>
      <c r="L168" s="49">
        <f t="shared" si="46"/>
        <v>-0.33467907529638907</v>
      </c>
      <c r="M168" s="49">
        <f t="shared" si="46"/>
        <v>-0.33467907529638907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0.20463766697671296</v>
      </c>
      <c r="H169" s="49">
        <f t="shared" si="46"/>
        <v>0.20463766697671296</v>
      </c>
      <c r="I169" s="49">
        <f t="shared" si="46"/>
        <v>0.20463766697671296</v>
      </c>
      <c r="J169" s="49">
        <f t="shared" si="46"/>
        <v>0.20463766697671296</v>
      </c>
      <c r="K169" s="49">
        <f t="shared" si="46"/>
        <v>0.20463766697671296</v>
      </c>
      <c r="L169" s="49">
        <f t="shared" si="46"/>
        <v>0.20463766697671296</v>
      </c>
      <c r="M169" s="49">
        <f t="shared" si="46"/>
        <v>0.20463766697671296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0.16941256687878514</v>
      </c>
      <c r="H170" s="49">
        <f t="shared" si="46"/>
        <v>0.16941256687878514</v>
      </c>
      <c r="I170" s="49">
        <f t="shared" si="46"/>
        <v>0.16941256687878514</v>
      </c>
      <c r="J170" s="49">
        <f t="shared" si="46"/>
        <v>0.16941256687878514</v>
      </c>
      <c r="K170" s="49">
        <f t="shared" si="46"/>
        <v>0.16941256687878514</v>
      </c>
      <c r="L170" s="49">
        <f t="shared" si="46"/>
        <v>0.16941256687878514</v>
      </c>
      <c r="M170" s="49">
        <f t="shared" si="46"/>
        <v>0.16941256687878514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5.0296776035877011E-2</v>
      </c>
      <c r="H171" s="49">
        <f t="shared" si="46"/>
        <v>5.0296776035877011E-2</v>
      </c>
      <c r="I171" s="49">
        <f t="shared" si="46"/>
        <v>5.0296776035877011E-2</v>
      </c>
      <c r="J171" s="49">
        <f t="shared" si="46"/>
        <v>5.0296776035877011E-2</v>
      </c>
      <c r="K171" s="49">
        <f t="shared" si="46"/>
        <v>5.0296776035877011E-2</v>
      </c>
      <c r="L171" s="49">
        <f t="shared" si="46"/>
        <v>5.0296776035877011E-2</v>
      </c>
      <c r="M171" s="49">
        <f t="shared" si="46"/>
        <v>5.0296776035877011E-2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1.3605974269170984E-2</v>
      </c>
      <c r="H172" s="49">
        <f t="shared" si="46"/>
        <v>1.3605974269170984E-2</v>
      </c>
      <c r="I172" s="49">
        <f t="shared" si="46"/>
        <v>1.3605974269170984E-2</v>
      </c>
      <c r="J172" s="49">
        <f t="shared" si="46"/>
        <v>1.3605974269170984E-2</v>
      </c>
      <c r="K172" s="49">
        <f t="shared" si="46"/>
        <v>1.3605974269170984E-2</v>
      </c>
      <c r="L172" s="49">
        <f t="shared" si="46"/>
        <v>1.3605974269170984E-2</v>
      </c>
      <c r="M172" s="49">
        <f t="shared" si="46"/>
        <v>1.3605974269170984E-2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6.8268178762295739E-4</v>
      </c>
      <c r="H173" s="49">
        <f t="shared" si="46"/>
        <v>6.8268178762295739E-4</v>
      </c>
      <c r="I173" s="49">
        <f t="shared" si="46"/>
        <v>6.8268178762295739E-4</v>
      </c>
      <c r="J173" s="49">
        <f t="shared" si="46"/>
        <v>6.8268178762295739E-4</v>
      </c>
      <c r="K173" s="49">
        <f t="shared" si="46"/>
        <v>6.8268178762295739E-4</v>
      </c>
      <c r="L173" s="49">
        <f t="shared" si="46"/>
        <v>6.8268178762295739E-4</v>
      </c>
      <c r="M173" s="49">
        <f t="shared" si="46"/>
        <v>6.8268178762295739E-4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0.11405953951133221</v>
      </c>
      <c r="H174" s="49">
        <f t="shared" si="46"/>
        <v>0.11405953951133221</v>
      </c>
      <c r="I174" s="49">
        <f t="shared" si="46"/>
        <v>0.11405953951133221</v>
      </c>
      <c r="J174" s="49">
        <f t="shared" si="46"/>
        <v>0.11405953951133221</v>
      </c>
      <c r="K174" s="49">
        <f t="shared" si="46"/>
        <v>0.11405953951133221</v>
      </c>
      <c r="L174" s="49">
        <f t="shared" si="46"/>
        <v>0.11405953951133221</v>
      </c>
      <c r="M174" s="49">
        <f t="shared" si="46"/>
        <v>0.11405953951133221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5.0262202405579666E-2</v>
      </c>
      <c r="H175" s="49">
        <f t="shared" si="46"/>
        <v>5.0262202405579666E-2</v>
      </c>
      <c r="I175" s="49">
        <f t="shared" si="46"/>
        <v>5.0262202405579666E-2</v>
      </c>
      <c r="J175" s="49">
        <f t="shared" si="46"/>
        <v>5.0262202405579666E-2</v>
      </c>
      <c r="K175" s="49">
        <f t="shared" si="46"/>
        <v>5.0262202405579666E-2</v>
      </c>
      <c r="L175" s="49">
        <f t="shared" si="46"/>
        <v>5.0262202405579666E-2</v>
      </c>
      <c r="M175" s="49">
        <f t="shared" si="46"/>
        <v>5.0262202405579666E-2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-0.18345276323003798</v>
      </c>
      <c r="H176" s="49">
        <f t="shared" si="46"/>
        <v>-0.18345276323003798</v>
      </c>
      <c r="I176" s="49">
        <f t="shared" si="46"/>
        <v>-0.18345276323003798</v>
      </c>
      <c r="J176" s="49">
        <f t="shared" si="46"/>
        <v>-0.18345276323003798</v>
      </c>
      <c r="K176" s="49">
        <f t="shared" si="46"/>
        <v>-0.18345276323003798</v>
      </c>
      <c r="L176" s="49">
        <f t="shared" si="46"/>
        <v>-0.18345276323003798</v>
      </c>
      <c r="M176" s="49">
        <f t="shared" si="46"/>
        <v>-0.18345276323003798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0.28175998233412042</v>
      </c>
      <c r="H177" s="49">
        <f t="shared" si="46"/>
        <v>0.28175998233412042</v>
      </c>
      <c r="I177" s="49">
        <f t="shared" si="46"/>
        <v>0.28175998233412042</v>
      </c>
      <c r="J177" s="49">
        <f t="shared" si="46"/>
        <v>0.28175998233412042</v>
      </c>
      <c r="K177" s="49">
        <f t="shared" si="46"/>
        <v>0.28175998233412042</v>
      </c>
      <c r="L177" s="49">
        <f t="shared" si="46"/>
        <v>0.28175998233412042</v>
      </c>
      <c r="M177" s="49">
        <f t="shared" si="46"/>
        <v>0.28175998233412042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1.7148540698927305E-2</v>
      </c>
      <c r="H178" s="49">
        <f t="shared" si="46"/>
        <v>1.7148540698927305E-2</v>
      </c>
      <c r="I178" s="49">
        <f t="shared" si="46"/>
        <v>1.7148540698927305E-2</v>
      </c>
      <c r="J178" s="49">
        <f t="shared" si="46"/>
        <v>1.7148540698927305E-2</v>
      </c>
      <c r="K178" s="49">
        <f t="shared" si="46"/>
        <v>1.7148540698927305E-2</v>
      </c>
      <c r="L178" s="49">
        <f t="shared" si="46"/>
        <v>1.7148540698927305E-2</v>
      </c>
      <c r="M178" s="49">
        <f t="shared" si="46"/>
        <v>1.7148540698927305E-2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1.7414061292593028E-2</v>
      </c>
      <c r="H179" s="49">
        <f t="shared" si="46"/>
        <v>1.7414061292593028E-2</v>
      </c>
      <c r="I179" s="49">
        <f t="shared" si="46"/>
        <v>1.7414061292593028E-2</v>
      </c>
      <c r="J179" s="49">
        <f t="shared" si="46"/>
        <v>1.7414061292593028E-2</v>
      </c>
      <c r="K179" s="49">
        <f t="shared" si="46"/>
        <v>1.7414061292593028E-2</v>
      </c>
      <c r="L179" s="49">
        <f t="shared" si="46"/>
        <v>1.7414061292593028E-2</v>
      </c>
      <c r="M179" s="49">
        <f t="shared" si="46"/>
        <v>1.7414061292593028E-2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-0.2478624342415035</v>
      </c>
      <c r="H206" s="48">
        <f t="shared" ref="H206:K209" si="50">LN(H152/H184)</f>
        <v>-0.25453171696740984</v>
      </c>
      <c r="I206" s="48">
        <f t="shared" si="50"/>
        <v>-0.26145780740644176</v>
      </c>
      <c r="J206" s="48">
        <f t="shared" si="50"/>
        <v>-0.38103712583799432</v>
      </c>
      <c r="K206" s="48">
        <f t="shared" si="50"/>
        <v>-1.1418390628650277</v>
      </c>
      <c r="L206" s="48">
        <f t="shared" ref="L206:M206" si="51">LN(L152/L184)</f>
        <v>-1.1418390628650277</v>
      </c>
      <c r="M206" s="48">
        <f t="shared" si="51"/>
        <v>-1.1418390628650277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-3.4275952926234563</v>
      </c>
      <c r="H207" s="48">
        <f t="shared" si="50"/>
        <v>-3.3904127443320982</v>
      </c>
      <c r="I207" s="48">
        <f t="shared" si="50"/>
        <v>-3.353660790034934</v>
      </c>
      <c r="J207" s="48">
        <f t="shared" si="50"/>
        <v>-3.3252017773668578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-3.8627789121003433</v>
      </c>
      <c r="H208" s="48">
        <f t="shared" si="50"/>
        <v>-3.8627789121003433</v>
      </c>
      <c r="I208" s="48">
        <f t="shared" si="50"/>
        <v>-3.8627789121003433</v>
      </c>
      <c r="J208" s="48">
        <f t="shared" si="50"/>
        <v>-3.8627789121003433</v>
      </c>
      <c r="K208" s="48">
        <f t="shared" si="50"/>
        <v>-3.8627789121003433</v>
      </c>
      <c r="L208" s="48">
        <f t="shared" ref="L208:M208" si="53">LN(L154/L186)</f>
        <v>-3.8627789121003433</v>
      </c>
      <c r="M208" s="48">
        <f t="shared" si="53"/>
        <v>-3.8627789121003433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-4.0540950632896644</v>
      </c>
      <c r="H209" s="48">
        <f t="shared" si="50"/>
        <v>-4.0475847225904147</v>
      </c>
      <c r="I209" s="48">
        <f t="shared" si="50"/>
        <v>-3.9974628700530301</v>
      </c>
      <c r="J209" s="48">
        <f t="shared" si="50"/>
        <v>-3.9989462107826563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3.0717893154061825E-2</v>
      </c>
      <c r="H210" s="48">
        <f t="shared" ref="H210:K213" si="55">H206*H206/2</f>
        <v>3.2393197471188816E-2</v>
      </c>
      <c r="I210" s="48">
        <f t="shared" si="55"/>
        <v>3.4180092526891998E-2</v>
      </c>
      <c r="J210" s="48">
        <f t="shared" si="55"/>
        <v>7.2594645633439758E-2</v>
      </c>
      <c r="K210" s="48">
        <f t="shared" si="55"/>
        <v>0.65189822274224229</v>
      </c>
      <c r="L210" s="48">
        <f t="shared" ref="L210:M210" si="56">L206*L206/2</f>
        <v>0.65189822274224229</v>
      </c>
      <c r="M210" s="48">
        <f t="shared" si="56"/>
        <v>0.65189822274224229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5.8742047450072388</v>
      </c>
      <c r="H211" s="48">
        <f t="shared" si="55"/>
        <v>5.7474492884647548</v>
      </c>
      <c r="I211" s="48">
        <f t="shared" si="55"/>
        <v>5.6235203473088688</v>
      </c>
      <c r="J211" s="48">
        <f t="shared" si="55"/>
        <v>5.5284834301018551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7.4605304618835557</v>
      </c>
      <c r="H212" s="48">
        <f t="shared" si="55"/>
        <v>7.4605304618835557</v>
      </c>
      <c r="I212" s="48">
        <f t="shared" si="55"/>
        <v>7.4605304618835557</v>
      </c>
      <c r="J212" s="48">
        <f t="shared" si="55"/>
        <v>7.4605304618835557</v>
      </c>
      <c r="K212" s="48">
        <f t="shared" si="55"/>
        <v>7.4605304618835557</v>
      </c>
      <c r="L212" s="48">
        <f t="shared" ref="L212:M212" si="58">L208*L208/2</f>
        <v>7.4605304618835557</v>
      </c>
      <c r="M212" s="48">
        <f t="shared" si="58"/>
        <v>7.4605304618835557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8.2178433910948137</v>
      </c>
      <c r="H213" s="48">
        <f t="shared" si="55"/>
        <v>8.1914710432736619</v>
      </c>
      <c r="I213" s="48">
        <f t="shared" si="55"/>
        <v>7.9898546987263046</v>
      </c>
      <c r="J213" s="48">
        <f t="shared" si="55"/>
        <v>7.9957853983664826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0.8495721128243684</v>
      </c>
      <c r="H214" s="48">
        <f t="shared" ref="H214:K214" si="60">H206*H207</f>
        <v>0.86296757704303684</v>
      </c>
      <c r="I214" s="48">
        <f t="shared" si="60"/>
        <v>0.87684079694748907</v>
      </c>
      <c r="J214" s="48">
        <f t="shared" si="60"/>
        <v>1.2670253280792578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0.95743778408993774</v>
      </c>
      <c r="H215" s="48">
        <f t="shared" ref="H215:K215" si="62">H206*H208</f>
        <v>0.9831997487624039</v>
      </c>
      <c r="I215" s="48">
        <f t="shared" si="62"/>
        <v>1.0099537048535963</v>
      </c>
      <c r="J215" s="48">
        <f t="shared" si="62"/>
        <v>1.4718621744143292</v>
      </c>
      <c r="K215" s="48">
        <f t="shared" si="62"/>
        <v>4.4106718530474467</v>
      </c>
      <c r="L215" s="48">
        <f t="shared" ref="L215:M215" si="63">L206*L208</f>
        <v>4.4106718530474467</v>
      </c>
      <c r="M215" s="48">
        <f t="shared" si="63"/>
        <v>4.4106718530474467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1.0048578710334384</v>
      </c>
      <c r="H216" s="48">
        <f t="shared" ref="H216:K216" si="64">H206*H209</f>
        <v>1.0302386890119954</v>
      </c>
      <c r="I216" s="48">
        <f t="shared" si="64"/>
        <v>1.0451678771927271</v>
      </c>
      <c r="J216" s="48">
        <f t="shared" si="64"/>
        <v>1.5237469705373616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13.240042815560292</v>
      </c>
      <c r="H217" s="48">
        <f t="shared" ref="H217:K217" si="66">H207*H208</f>
        <v>13.096414852122281</v>
      </c>
      <c r="I217" s="48">
        <f t="shared" si="66"/>
        <v>12.95445017808472</v>
      </c>
      <c r="J217" s="48">
        <f t="shared" si="66"/>
        <v>12.844519304091278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13.895797154779647</v>
      </c>
      <c r="H218" s="48">
        <f t="shared" ref="H218:K218" si="68">H207*H209</f>
        <v>13.722982827234443</v>
      </c>
      <c r="I218" s="48">
        <f t="shared" si="68"/>
        <v>13.40613448691736</v>
      </c>
      <c r="J218" s="48">
        <f t="shared" si="68"/>
        <v>13.297303047688951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15.660072918125422</v>
      </c>
      <c r="H219" s="48">
        <f t="shared" ref="H219:K219" si="70">H208*H209</f>
        <v>15.634924911361772</v>
      </c>
      <c r="I219" s="48">
        <f t="shared" si="70"/>
        <v>15.441315276344961</v>
      </c>
      <c r="J219" s="48">
        <f t="shared" si="70"/>
        <v>15.44704509363482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-4.5617694066445376</v>
      </c>
      <c r="H220" s="48">
        <f t="shared" ref="H220:K220" si="72">LN(H156/H198)</f>
        <v>-4.5441905858322134</v>
      </c>
      <c r="I220" s="48">
        <f t="shared" si="72"/>
        <v>-4.5290585912452475</v>
      </c>
      <c r="J220" s="48">
        <f t="shared" si="72"/>
        <v>-4.5158943728717347</v>
      </c>
      <c r="K220" s="48">
        <f t="shared" si="72"/>
        <v>-4.573052786711683</v>
      </c>
      <c r="L220" s="48">
        <f t="shared" ref="L220:M220" si="73">LN(L156/L198)</f>
        <v>-4.6302112005516323</v>
      </c>
      <c r="M220" s="48">
        <f t="shared" si="73"/>
        <v>-4.6873696143915806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1.1635853363933892</v>
      </c>
      <c r="H221" s="31">
        <f t="shared" ref="H221:K221" si="74">H157/H199</f>
        <v>0.33437013996889581</v>
      </c>
      <c r="I221" s="31">
        <f t="shared" si="74"/>
        <v>0.29704510108864696</v>
      </c>
      <c r="J221" s="31">
        <f t="shared" si="74"/>
        <v>0.2286158631415241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12.810934558134596</v>
      </c>
      <c r="H226" s="50">
        <f t="shared" ref="H226:K241" si="79">H162*H205</f>
        <v>12.810934558134596</v>
      </c>
      <c r="I226" s="50">
        <f t="shared" si="79"/>
        <v>12.810934558134596</v>
      </c>
      <c r="J226" s="50">
        <f t="shared" si="79"/>
        <v>12.810934558134596</v>
      </c>
      <c r="K226" s="50">
        <f t="shared" si="79"/>
        <v>12.810934558134596</v>
      </c>
      <c r="L226" s="50">
        <f t="shared" ref="L226:M226" si="80">L162*L205</f>
        <v>12.810934558134596</v>
      </c>
      <c r="M226" s="50">
        <f t="shared" si="80"/>
        <v>12.810934558134596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-0.15644610673300197</v>
      </c>
      <c r="H227" s="50">
        <f t="shared" si="79"/>
        <v>-0.16065563255470472</v>
      </c>
      <c r="I227" s="50">
        <f t="shared" si="79"/>
        <v>-0.16502725057493062</v>
      </c>
      <c r="J227" s="50">
        <f t="shared" si="79"/>
        <v>-0.24050346733868003</v>
      </c>
      <c r="K227" s="50">
        <f t="shared" si="79"/>
        <v>-0.72070734093912647</v>
      </c>
      <c r="L227" s="50">
        <f t="shared" ref="L227:M227" si="81">L163*L206</f>
        <v>-0.72070734093912647</v>
      </c>
      <c r="M227" s="50">
        <f t="shared" si="81"/>
        <v>-0.72070734093912647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-1.533691601039606</v>
      </c>
      <c r="H228" s="50">
        <f t="shared" si="79"/>
        <v>-1.5170541169870306</v>
      </c>
      <c r="I228" s="50">
        <f t="shared" si="79"/>
        <v>-1.5006093039868909</v>
      </c>
      <c r="J228" s="50">
        <f t="shared" si="79"/>
        <v>-1.4878752018025279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-0.62794465168091362</v>
      </c>
      <c r="H229" s="50">
        <f t="shared" si="79"/>
        <v>-0.62794465168091362</v>
      </c>
      <c r="I229" s="50">
        <f t="shared" si="79"/>
        <v>-0.62794465168091362</v>
      </c>
      <c r="J229" s="50">
        <f t="shared" si="79"/>
        <v>-0.62794465168091362</v>
      </c>
      <c r="K229" s="50">
        <f t="shared" si="79"/>
        <v>-0.62794465168091362</v>
      </c>
      <c r="L229" s="50">
        <f t="shared" ref="L229:M229" si="83">L165*L208</f>
        <v>-0.62794465168091362</v>
      </c>
      <c r="M229" s="50">
        <f t="shared" si="83"/>
        <v>-0.62794465168091362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-0.4322123627304838</v>
      </c>
      <c r="H230" s="50">
        <f t="shared" si="79"/>
        <v>-0.43151828681665461</v>
      </c>
      <c r="I230" s="50">
        <f t="shared" si="79"/>
        <v>-0.42617473074028739</v>
      </c>
      <c r="J230" s="50">
        <f t="shared" si="79"/>
        <v>-0.42633287163029548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4.210200088249098E-3</v>
      </c>
      <c r="H231" s="50">
        <f t="shared" si="79"/>
        <v>4.4398176062356619E-3</v>
      </c>
      <c r="I231" s="50">
        <f t="shared" si="79"/>
        <v>4.6847297713858496E-3</v>
      </c>
      <c r="J231" s="50">
        <f t="shared" si="79"/>
        <v>9.9498354890236208E-3</v>
      </c>
      <c r="K231" s="50">
        <f t="shared" si="79"/>
        <v>8.9349290368109027E-2</v>
      </c>
      <c r="L231" s="50">
        <f t="shared" ref="L231:M231" si="85">L167*L210</f>
        <v>8.9349290368109027E-2</v>
      </c>
      <c r="M231" s="50">
        <f t="shared" si="85"/>
        <v>8.9349290368109027E-2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-1.9659734121606836</v>
      </c>
      <c r="H232" s="50">
        <f t="shared" si="79"/>
        <v>-1.9235510131762734</v>
      </c>
      <c r="I232" s="50">
        <f t="shared" si="79"/>
        <v>-1.8820745897477609</v>
      </c>
      <c r="J232" s="50">
        <f t="shared" si="79"/>
        <v>-1.850267722177898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1.5267055481285496</v>
      </c>
      <c r="H233" s="50">
        <f t="shared" si="79"/>
        <v>1.5267055481285496</v>
      </c>
      <c r="I233" s="50">
        <f t="shared" si="79"/>
        <v>1.5267055481285496</v>
      </c>
      <c r="J233" s="50">
        <f t="shared" si="79"/>
        <v>1.5267055481285496</v>
      </c>
      <c r="K233" s="50">
        <f t="shared" si="79"/>
        <v>1.5267055481285496</v>
      </c>
      <c r="L233" s="50">
        <f t="shared" ref="L233:M233" si="87">L169*L212</f>
        <v>1.5267055481285496</v>
      </c>
      <c r="M233" s="50">
        <f t="shared" si="87"/>
        <v>1.5267055481285496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1.3922059430932325</v>
      </c>
      <c r="H234" s="50">
        <f t="shared" si="79"/>
        <v>1.3877381359542311</v>
      </c>
      <c r="I234" s="50">
        <f t="shared" si="79"/>
        <v>1.3535817934997458</v>
      </c>
      <c r="J234" s="50">
        <f t="shared" si="79"/>
        <v>1.3545865285491754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4.2730738285054096E-2</v>
      </c>
      <c r="H235" s="50">
        <f t="shared" si="79"/>
        <v>4.3404486948757065E-2</v>
      </c>
      <c r="I235" s="50">
        <f t="shared" si="79"/>
        <v>4.4102265183187765E-2</v>
      </c>
      <c r="J235" s="50">
        <f t="shared" si="79"/>
        <v>6.3727289158186026E-2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1.3026873854659777E-2</v>
      </c>
      <c r="H236" s="50">
        <f t="shared" si="79"/>
        <v>1.3377390483116643E-2</v>
      </c>
      <c r="I236" s="50">
        <f t="shared" si="79"/>
        <v>1.3741404121291937E-2</v>
      </c>
      <c r="J236" s="50">
        <f t="shared" si="79"/>
        <v>2.0026118872847418E-2</v>
      </c>
      <c r="K236" s="50">
        <f t="shared" si="79"/>
        <v>6.0011487742320263E-2</v>
      </c>
      <c r="L236" s="50">
        <f t="shared" ref="L236:M236" si="90">L172*L215</f>
        <v>6.0011487742320263E-2</v>
      </c>
      <c r="M236" s="50">
        <f t="shared" si="90"/>
        <v>6.0011487742320263E-2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6.8599816770410684E-4</v>
      </c>
      <c r="H237" s="50">
        <f t="shared" si="79"/>
        <v>7.0332518989304116E-4</v>
      </c>
      <c r="I237" s="50">
        <f t="shared" si="79"/>
        <v>7.1351707476802249E-4</v>
      </c>
      <c r="J237" s="50">
        <f t="shared" si="79"/>
        <v>1.0402343057315118E-3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1.5101531866531293</v>
      </c>
      <c r="H238" s="50">
        <f t="shared" si="79"/>
        <v>1.4937710472824395</v>
      </c>
      <c r="I238" s="50">
        <f t="shared" si="79"/>
        <v>1.4775786219348388</v>
      </c>
      <c r="J238" s="50">
        <f t="shared" si="79"/>
        <v>1.4650399570690684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0.69843336918041266</v>
      </c>
      <c r="H239" s="50">
        <f t="shared" si="79"/>
        <v>0.68974734047075148</v>
      </c>
      <c r="I239" s="50">
        <f t="shared" si="79"/>
        <v>0.67382184505786225</v>
      </c>
      <c r="J239" s="50">
        <f t="shared" si="79"/>
        <v>0.66835173723127339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-2.8728836492139931</v>
      </c>
      <c r="H240" s="50">
        <f t="shared" si="79"/>
        <v>-2.8682701778834736</v>
      </c>
      <c r="I240" s="50">
        <f t="shared" si="79"/>
        <v>-2.8327519553516805</v>
      </c>
      <c r="J240" s="50">
        <f t="shared" si="79"/>
        <v>-2.8338031061663087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-1.2853240674284958</v>
      </c>
      <c r="H241" s="50">
        <f t="shared" si="79"/>
        <v>-1.2803710591869608</v>
      </c>
      <c r="I241" s="50">
        <f t="shared" si="79"/>
        <v>-1.2761074686594571</v>
      </c>
      <c r="J241" s="50">
        <f t="shared" si="79"/>
        <v>-1.2723983187230938</v>
      </c>
      <c r="K241" s="50">
        <f t="shared" si="79"/>
        <v>-1.2885032723968839</v>
      </c>
      <c r="L241" s="50">
        <f t="shared" ref="L241:M241" si="95">L177*L220</f>
        <v>-1.3046082260706744</v>
      </c>
      <c r="M241" s="50">
        <f t="shared" si="95"/>
        <v>-1.3207131797444647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1.9953790497817054E-2</v>
      </c>
      <c r="H242" s="50">
        <f t="shared" ref="H242:K243" si="96">H178*H221</f>
        <v>5.733959953762629E-3</v>
      </c>
      <c r="I242" s="50">
        <f t="shared" si="96"/>
        <v>5.0938900054356383E-3</v>
      </c>
      <c r="J242" s="50">
        <f t="shared" si="96"/>
        <v>3.9204284335028206E-3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0.15672655163333726</v>
      </c>
      <c r="H243" s="50">
        <f t="shared" si="96"/>
        <v>0.17414061292593028</v>
      </c>
      <c r="I243" s="50">
        <f t="shared" si="96"/>
        <v>0.19155467421852329</v>
      </c>
      <c r="J243" s="50">
        <f t="shared" si="96"/>
        <v>0.20896873551111633</v>
      </c>
      <c r="K243" s="50">
        <f t="shared" si="96"/>
        <v>0.22638279680370937</v>
      </c>
      <c r="L243" s="50">
        <f t="shared" ref="L243:M243" si="98">L179*L222</f>
        <v>0.24379685809630239</v>
      </c>
      <c r="M243" s="50">
        <f t="shared" si="98"/>
        <v>0.2612109193888954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9.3012909067295624</v>
      </c>
      <c r="H245" s="44">
        <f t="shared" ref="H245:K245" si="99">SUM(H226:H243)</f>
        <v>9.3413312847922487</v>
      </c>
      <c r="I245" s="44">
        <f t="shared" si="99"/>
        <v>9.3918228963882644</v>
      </c>
      <c r="J245" s="44">
        <f t="shared" si="99"/>
        <v>9.3941256313633534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10952.148288469405</v>
      </c>
      <c r="H246" s="8">
        <f t="shared" ref="H246:K246" si="101">EXP(H245)</f>
        <v>11399.574222621501</v>
      </c>
      <c r="I246" s="8">
        <f t="shared" si="101"/>
        <v>11989.935834088483</v>
      </c>
      <c r="J246" s="8">
        <f t="shared" si="101"/>
        <v>12017.577291944324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139.7281787609837</v>
      </c>
      <c r="H247" s="21">
        <f t="shared" ref="H247:K247" si="103">H137</f>
        <v>142.93213804795639</v>
      </c>
      <c r="I247" s="21">
        <f t="shared" si="103"/>
        <v>146.20956394133304</v>
      </c>
      <c r="J247" s="21">
        <f t="shared" si="103"/>
        <v>149.5621410262701</v>
      </c>
      <c r="K247" s="21">
        <f t="shared" si="103"/>
        <v>149.5621410262701</v>
      </c>
      <c r="L247" s="21">
        <f t="shared" ref="L247:M247" si="104">L137</f>
        <v>149.5621410262701</v>
      </c>
      <c r="M247" s="21">
        <f t="shared" si="104"/>
        <v>149.5621410262701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1530323.7338680546</v>
      </c>
      <c r="H248" s="8">
        <f t="shared" ref="H248:K248" si="105">H246*H247</f>
        <v>1629365.5164756614</v>
      </c>
      <c r="I248" s="8">
        <f t="shared" si="105"/>
        <v>1753043.2899866404</v>
      </c>
      <c r="J248" s="8">
        <f t="shared" si="105"/>
        <v>1797374.5897318781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1097457.0225976177</v>
      </c>
      <c r="H256" s="60">
        <f t="shared" ref="H256:K256" si="108">H121</f>
        <v>1068721.9906948232</v>
      </c>
      <c r="I256" s="60">
        <f t="shared" si="108"/>
        <v>1094590.8698635739</v>
      </c>
      <c r="J256" s="60">
        <f t="shared" si="108"/>
        <v>1068609.6575233976</v>
      </c>
      <c r="K256" s="60">
        <f t="shared" si="108"/>
        <v>175660.93416710116</v>
      </c>
      <c r="L256" s="60">
        <f t="shared" ref="L256:M256" si="109">L121</f>
        <v>167598.0972888312</v>
      </c>
      <c r="M256" s="60">
        <f t="shared" si="109"/>
        <v>159905.34462327385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1530323.7338680546</v>
      </c>
      <c r="H257" s="60">
        <f t="shared" ref="H257:K257" si="111">H248</f>
        <v>1629365.5164756614</v>
      </c>
      <c r="I257" s="60">
        <f t="shared" si="111"/>
        <v>1753043.2899866404</v>
      </c>
      <c r="J257" s="60">
        <f t="shared" si="111"/>
        <v>1797374.5897318781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-432866.71127043688</v>
      </c>
      <c r="H258" s="25">
        <f t="shared" ref="H258:K258" si="114">H256-H257</f>
        <v>-560643.52578083822</v>
      </c>
      <c r="I258" s="25">
        <f t="shared" si="114"/>
        <v>-658452.42012306652</v>
      </c>
      <c r="J258" s="25">
        <f t="shared" si="114"/>
        <v>-728764.93220848055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-0.28285956865892725</v>
      </c>
      <c r="H259" s="61">
        <f t="shared" ref="H259:K259" si="117">H258/H257</f>
        <v>-0.34408702044555195</v>
      </c>
      <c r="I259" s="61">
        <f t="shared" si="117"/>
        <v>-0.3756053395167922</v>
      </c>
      <c r="J259" s="61">
        <f t="shared" si="117"/>
        <v>-0.40546079619229147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-0.33248359794952609</v>
      </c>
      <c r="H261" s="64">
        <f t="shared" ref="H261:K261" si="119">LN(H256/H257)</f>
        <v>-0.4217271519554705</v>
      </c>
      <c r="I261" s="64">
        <f t="shared" si="119"/>
        <v>-0.4709726418136701</v>
      </c>
      <c r="J261" s="64">
        <f t="shared" si="119"/>
        <v>-0.51996862085780327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H33" sqref="H33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Cooperative Hydro Embrun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1097457.0225976177</v>
      </c>
      <c r="G10" s="86">
        <f>'Benchmarking Calculations'!H121</f>
        <v>1068721.9906948232</v>
      </c>
      <c r="H10" s="86">
        <f>'Benchmarking Calculations'!I121</f>
        <v>1094590.8698635739</v>
      </c>
      <c r="I10" s="91">
        <f>IF(ISNUMBER(I12),'Benchmarking Calculations'!J121,"na")</f>
        <v>1068609.6575233976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1530323.7338680546</v>
      </c>
      <c r="G12" s="86">
        <f>'Benchmarking Calculations'!H257</f>
        <v>1629365.5164756614</v>
      </c>
      <c r="H12" s="86">
        <f>'Benchmarking Calculations'!I257</f>
        <v>1753043.2899866404</v>
      </c>
      <c r="I12" s="91">
        <f>IF(ISNUMBER('Benchmarking Calculations'!J257),'Benchmarking Calculations'!J257,"na")</f>
        <v>1797374.5897318781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-432866.71127043688</v>
      </c>
      <c r="G14" s="86">
        <f t="shared" si="0"/>
        <v>-560643.52578083822</v>
      </c>
      <c r="H14" s="86">
        <f t="shared" si="0"/>
        <v>-658452.42012306652</v>
      </c>
      <c r="I14" s="91">
        <f>IF(ISNUMBER(I12),I10-I12,"na")</f>
        <v>-728764.93220848055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-0.33248359794952609</v>
      </c>
      <c r="G16" s="167">
        <f t="shared" ref="G16:H16" si="2">LN(G10/G12)</f>
        <v>-0.4217271519554705</v>
      </c>
      <c r="H16" s="167">
        <f t="shared" si="2"/>
        <v>-0.4709726418136701</v>
      </c>
      <c r="I16" s="148">
        <f>IF(ISNUMBER(I14),LN(I10/I12),"na")</f>
        <v>-0.51996862085780327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-0.40839446390622225</v>
      </c>
      <c r="I18" s="66">
        <f>IF(ISNUMBER(I16),AVERAGE(G16:I16),"na")</f>
        <v>-0.47088947154231464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1</v>
      </c>
      <c r="G22" s="149">
        <f t="shared" ref="G22" si="5">IF(G16&lt;-0.25,1,IF(G16&lt;-0.1,2,IF(G16&lt;0.1,3,IF(G16&lt;0.25,4,5))))</f>
        <v>1</v>
      </c>
      <c r="H22" s="149">
        <f>IF($H$16&lt;-0.25,1,IF($H$16&lt;-0.1,2,IF($H$16&lt;0.1,3,IF($H$16&lt;0.25,4,5))))</f>
        <v>1</v>
      </c>
      <c r="I22" s="149">
        <f>IF(ISNUMBER(I16),IF(I16&lt;-0.25,1,IF(I16&lt;-0.1,2,IF(I16&lt;0.1,3,IF(I16&lt;0.25,4,5)))),"na")</f>
        <v>1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2017-12-20T16:13:28Z</dcterms:modified>
</cp:coreProperties>
</file>