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FI\Deanna\Goderich Hydro\1598\"/>
    </mc:Choice>
  </mc:AlternateContent>
  <bookViews>
    <workbookView xWindow="0" yWindow="0" windowWidth="28800" windowHeight="11910" activeTab="5"/>
  </bookViews>
  <sheets>
    <sheet name="Q #8 C - 2016" sheetId="1" r:id="rId1"/>
    <sheet name="Q # 8 C - 2015" sheetId="2" r:id="rId2"/>
    <sheet name="Q # 9 C" sheetId="3" r:id="rId3"/>
    <sheet name="Q#10 B" sheetId="5" r:id="rId4"/>
    <sheet name="Q11 - 2015" sheetId="6" r:id="rId5"/>
    <sheet name="Q11 - 2016" sheetId="7" r:id="rId6"/>
  </sheets>
  <definedNames>
    <definedName name="_xlnm.Print_Area" localSheetId="1">'Q # 8 C - 2015'!$A$2:$N$72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7" l="1"/>
  <c r="B23" i="7"/>
  <c r="B14" i="7"/>
  <c r="D11" i="7"/>
  <c r="B45" i="6" l="1"/>
  <c r="B25" i="6"/>
  <c r="B12" i="6"/>
  <c r="E38" i="5" l="1"/>
  <c r="E37" i="5"/>
  <c r="E36" i="5"/>
  <c r="E35" i="5"/>
  <c r="E34" i="5"/>
  <c r="E33" i="5"/>
  <c r="E32" i="5"/>
  <c r="E31" i="5"/>
  <c r="E30" i="5"/>
  <c r="E39" i="5" s="1"/>
  <c r="E29" i="5"/>
  <c r="E28" i="5"/>
  <c r="E27" i="5"/>
  <c r="K18" i="5" l="1"/>
  <c r="E17" i="5"/>
  <c r="E16" i="5"/>
  <c r="E15" i="5"/>
  <c r="E14" i="5"/>
  <c r="E13" i="5"/>
  <c r="E12" i="5"/>
  <c r="E11" i="5"/>
  <c r="E10" i="5"/>
  <c r="E9" i="5"/>
  <c r="E8" i="5"/>
  <c r="E7" i="5"/>
  <c r="E6" i="5"/>
  <c r="E18" i="5" s="1"/>
  <c r="L43" i="5"/>
  <c r="L42" i="5"/>
  <c r="H41" i="5"/>
  <c r="G41" i="5"/>
  <c r="L22" i="5"/>
  <c r="H39" i="5"/>
  <c r="G39" i="5"/>
  <c r="B39" i="5"/>
  <c r="I38" i="5"/>
  <c r="D38" i="5"/>
  <c r="I37" i="5"/>
  <c r="D37" i="5"/>
  <c r="K37" i="5" s="1"/>
  <c r="L37" i="5" s="1"/>
  <c r="I36" i="5"/>
  <c r="D36" i="5"/>
  <c r="K36" i="5" s="1"/>
  <c r="L36" i="5" s="1"/>
  <c r="I35" i="5"/>
  <c r="K35" i="5" s="1"/>
  <c r="L35" i="5" s="1"/>
  <c r="D35" i="5"/>
  <c r="I34" i="5"/>
  <c r="D34" i="5"/>
  <c r="I33" i="5"/>
  <c r="D33" i="5"/>
  <c r="K33" i="5" s="1"/>
  <c r="L33" i="5" s="1"/>
  <c r="I32" i="5"/>
  <c r="D32" i="5"/>
  <c r="K32" i="5" s="1"/>
  <c r="L32" i="5" s="1"/>
  <c r="I31" i="5"/>
  <c r="D31" i="5"/>
  <c r="I30" i="5"/>
  <c r="D30" i="5"/>
  <c r="K30" i="5" s="1"/>
  <c r="L30" i="5" s="1"/>
  <c r="I29" i="5"/>
  <c r="D29" i="5"/>
  <c r="K29" i="5" s="1"/>
  <c r="L29" i="5" s="1"/>
  <c r="I28" i="5"/>
  <c r="D28" i="5"/>
  <c r="K28" i="5" s="1"/>
  <c r="L28" i="5" s="1"/>
  <c r="I27" i="5"/>
  <c r="D27" i="5"/>
  <c r="K31" i="5" l="1"/>
  <c r="L31" i="5" s="1"/>
  <c r="I39" i="5"/>
  <c r="D39" i="5"/>
  <c r="K27" i="5"/>
  <c r="L27" i="5" s="1"/>
  <c r="K34" i="5"/>
  <c r="L34" i="5" s="1"/>
  <c r="K38" i="5"/>
  <c r="L38" i="5" s="1"/>
  <c r="L39" i="5"/>
  <c r="L44" i="5" l="1"/>
  <c r="H18" i="5" l="1"/>
  <c r="G18" i="5"/>
  <c r="B18" i="5"/>
  <c r="I17" i="5"/>
  <c r="D17" i="5"/>
  <c r="K17" i="5" s="1"/>
  <c r="L17" i="5" s="1"/>
  <c r="I16" i="5"/>
  <c r="D16" i="5"/>
  <c r="K16" i="5" s="1"/>
  <c r="L16" i="5" s="1"/>
  <c r="I15" i="5"/>
  <c r="D15" i="5"/>
  <c r="K15" i="5" s="1"/>
  <c r="L15" i="5" s="1"/>
  <c r="I14" i="5"/>
  <c r="D14" i="5"/>
  <c r="I13" i="5"/>
  <c r="D13" i="5"/>
  <c r="K13" i="5" s="1"/>
  <c r="L13" i="5" s="1"/>
  <c r="I12" i="5"/>
  <c r="D12" i="5"/>
  <c r="K12" i="5" s="1"/>
  <c r="L12" i="5" s="1"/>
  <c r="I11" i="5"/>
  <c r="D11" i="5"/>
  <c r="I10" i="5"/>
  <c r="D10" i="5"/>
  <c r="I9" i="5"/>
  <c r="D9" i="5"/>
  <c r="I8" i="5"/>
  <c r="D8" i="5"/>
  <c r="K8" i="5" s="1"/>
  <c r="L8" i="5" s="1"/>
  <c r="I7" i="5"/>
  <c r="D7" i="5"/>
  <c r="K7" i="5" s="1"/>
  <c r="L7" i="5" s="1"/>
  <c r="I6" i="5"/>
  <c r="D6" i="5"/>
  <c r="C46" i="1"/>
  <c r="C45" i="1"/>
  <c r="C47" i="1" s="1"/>
  <c r="C50" i="2"/>
  <c r="C49" i="2"/>
  <c r="C48" i="2"/>
  <c r="L39" i="3"/>
  <c r="J39" i="3"/>
  <c r="J41" i="3" s="1"/>
  <c r="I39" i="3"/>
  <c r="K38" i="3"/>
  <c r="K37" i="3"/>
  <c r="K36" i="3"/>
  <c r="K35" i="3"/>
  <c r="K34" i="3"/>
  <c r="K33" i="3"/>
  <c r="K32" i="3"/>
  <c r="K31" i="3"/>
  <c r="K30" i="3"/>
  <c r="K29" i="3"/>
  <c r="K28" i="3"/>
  <c r="K27" i="3"/>
  <c r="K39" i="3" s="1"/>
  <c r="E39" i="3"/>
  <c r="D38" i="3"/>
  <c r="D37" i="3"/>
  <c r="D36" i="3"/>
  <c r="D35" i="3"/>
  <c r="D34" i="3"/>
  <c r="D33" i="3"/>
  <c r="D32" i="3"/>
  <c r="D31" i="3"/>
  <c r="C30" i="3"/>
  <c r="C39" i="3" s="1"/>
  <c r="C41" i="3" s="1"/>
  <c r="B30" i="3"/>
  <c r="B39" i="3" s="1"/>
  <c r="D29" i="3"/>
  <c r="D28" i="3"/>
  <c r="D27" i="3"/>
  <c r="L18" i="3"/>
  <c r="J18" i="3"/>
  <c r="J20" i="3" s="1"/>
  <c r="I18" i="3"/>
  <c r="K17" i="3"/>
  <c r="K16" i="3"/>
  <c r="K15" i="3"/>
  <c r="K14" i="3"/>
  <c r="K13" i="3"/>
  <c r="K12" i="3"/>
  <c r="K11" i="3"/>
  <c r="K10" i="3"/>
  <c r="K9" i="3"/>
  <c r="K8" i="3"/>
  <c r="K7" i="3"/>
  <c r="K18" i="3" s="1"/>
  <c r="K6" i="3"/>
  <c r="E18" i="3"/>
  <c r="C18" i="3"/>
  <c r="C20" i="3" s="1"/>
  <c r="B18" i="3"/>
  <c r="D17" i="3"/>
  <c r="D16" i="3"/>
  <c r="D15" i="3"/>
  <c r="D14" i="3"/>
  <c r="D13" i="3"/>
  <c r="D12" i="3"/>
  <c r="D11" i="3"/>
  <c r="D10" i="3"/>
  <c r="D9" i="3"/>
  <c r="D8" i="3"/>
  <c r="D7" i="3"/>
  <c r="D6" i="3"/>
  <c r="D18" i="3" s="1"/>
  <c r="M70" i="2"/>
  <c r="L70" i="2"/>
  <c r="K70" i="2"/>
  <c r="J70" i="2"/>
  <c r="I70" i="2"/>
  <c r="F70" i="2"/>
  <c r="E70" i="2"/>
  <c r="D70" i="2"/>
  <c r="C70" i="2"/>
  <c r="B70" i="2"/>
  <c r="N69" i="2"/>
  <c r="G69" i="2"/>
  <c r="N68" i="2"/>
  <c r="G68" i="2"/>
  <c r="N67" i="2"/>
  <c r="G67" i="2"/>
  <c r="N66" i="2"/>
  <c r="G66" i="2"/>
  <c r="N65" i="2"/>
  <c r="G65" i="2"/>
  <c r="N64" i="2"/>
  <c r="G64" i="2"/>
  <c r="N63" i="2"/>
  <c r="G63" i="2"/>
  <c r="N62" i="2"/>
  <c r="G62" i="2"/>
  <c r="N61" i="2"/>
  <c r="G61" i="2"/>
  <c r="N60" i="2"/>
  <c r="G60" i="2"/>
  <c r="G70" i="2" s="1"/>
  <c r="N59" i="2"/>
  <c r="G59" i="2"/>
  <c r="N58" i="2"/>
  <c r="N70" i="2" s="1"/>
  <c r="G58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B22" i="2"/>
  <c r="D21" i="2"/>
  <c r="D20" i="2"/>
  <c r="D19" i="2"/>
  <c r="D18" i="2"/>
  <c r="D17" i="2"/>
  <c r="D16" i="2"/>
  <c r="D15" i="2"/>
  <c r="D14" i="2"/>
  <c r="D13" i="2"/>
  <c r="D12" i="2"/>
  <c r="D11" i="2"/>
  <c r="D10" i="2"/>
  <c r="K10" i="5" l="1"/>
  <c r="L10" i="5" s="1"/>
  <c r="K14" i="5"/>
  <c r="L14" i="5" s="1"/>
  <c r="K6" i="5"/>
  <c r="L6" i="5" s="1"/>
  <c r="K11" i="5"/>
  <c r="L11" i="5" s="1"/>
  <c r="I18" i="5"/>
  <c r="G20" i="5" s="1"/>
  <c r="D18" i="5"/>
  <c r="K9" i="5"/>
  <c r="L9" i="5" s="1"/>
  <c r="L18" i="5"/>
  <c r="D30" i="3"/>
  <c r="D39" i="3" s="1"/>
  <c r="D22" i="2"/>
  <c r="D41" i="2"/>
  <c r="H20" i="5" l="1"/>
  <c r="I20" i="5" s="1"/>
  <c r="M67" i="1" l="1"/>
  <c r="L67" i="1"/>
  <c r="K67" i="1"/>
  <c r="J67" i="1"/>
  <c r="I67" i="1"/>
  <c r="G67" i="1"/>
  <c r="F67" i="1"/>
  <c r="E67" i="1"/>
  <c r="D67" i="1"/>
  <c r="C67" i="1"/>
  <c r="B67" i="1"/>
  <c r="N66" i="1"/>
  <c r="G66" i="1"/>
  <c r="N65" i="1"/>
  <c r="G65" i="1"/>
  <c r="N64" i="1"/>
  <c r="G64" i="1"/>
  <c r="N63" i="1"/>
  <c r="G63" i="1"/>
  <c r="N62" i="1"/>
  <c r="G62" i="1"/>
  <c r="N61" i="1"/>
  <c r="G61" i="1"/>
  <c r="N60" i="1"/>
  <c r="G60" i="1"/>
  <c r="N59" i="1"/>
  <c r="G59" i="1"/>
  <c r="N58" i="1"/>
  <c r="G58" i="1"/>
  <c r="N57" i="1"/>
  <c r="G57" i="1"/>
  <c r="N56" i="1"/>
  <c r="N67" i="1" s="1"/>
  <c r="G56" i="1"/>
  <c r="N55" i="1"/>
  <c r="G55" i="1"/>
  <c r="C38" i="1"/>
  <c r="E37" i="1"/>
  <c r="E36" i="1"/>
  <c r="E35" i="1"/>
  <c r="E34" i="1"/>
  <c r="E33" i="1"/>
  <c r="E32" i="1"/>
  <c r="E31" i="1"/>
  <c r="E30" i="1"/>
  <c r="E29" i="1"/>
  <c r="E28" i="1"/>
  <c r="E27" i="1"/>
  <c r="E26" i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38" i="1" l="1"/>
  <c r="E20" i="1"/>
</calcChain>
</file>

<file path=xl/sharedStrings.xml><?xml version="1.0" encoding="utf-8"?>
<sst xmlns="http://schemas.openxmlformats.org/spreadsheetml/2006/main" count="331" uniqueCount="115">
  <si>
    <t>Form 1598 Expense adjustment - 2016</t>
  </si>
  <si>
    <t>Filed</t>
  </si>
  <si>
    <t xml:space="preserve">Calculated </t>
  </si>
  <si>
    <t>Calculated</t>
  </si>
  <si>
    <t>KWH</t>
  </si>
  <si>
    <t>GA rate</t>
  </si>
  <si>
    <t>Expense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</si>
  <si>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</si>
  <si>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</si>
  <si>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</si>
  <si>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</si>
  <si>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</si>
  <si>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</si>
  <si>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</si>
  <si>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</si>
  <si>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</si>
  <si>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</si>
  <si>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</si>
  <si>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</si>
  <si>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Wrong GA rate used for original filing</t>
  </si>
  <si>
    <t>kwh</t>
  </si>
  <si>
    <t>2nd estimate</t>
  </si>
  <si>
    <t>Per Billings</t>
  </si>
  <si>
    <t>Reflects change in kwh to the use of billings</t>
  </si>
  <si>
    <t>rather than original method which starts with the total kwh and backs out non-RPP</t>
  </si>
  <si>
    <t>Data run at time of preparation of Form 1598</t>
  </si>
  <si>
    <t>Billed $</t>
  </si>
  <si>
    <t>Billed kwh</t>
  </si>
  <si>
    <t>On</t>
  </si>
  <si>
    <t>Mid</t>
  </si>
  <si>
    <t>Off</t>
  </si>
  <si>
    <t>Block 1</t>
  </si>
  <si>
    <t>Block 2</t>
  </si>
  <si>
    <t>Total</t>
  </si>
  <si>
    <t>Form 1598 Expense adjustment - 2015</t>
  </si>
  <si>
    <t>FILED</t>
  </si>
  <si>
    <t>RPP - KWH</t>
  </si>
  <si>
    <t>Per 1598 calc</t>
  </si>
  <si>
    <t>Rate used 1598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</si>
  <si>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</si>
  <si>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</si>
  <si>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</si>
  <si>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</si>
  <si>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</si>
  <si>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</si>
  <si>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</si>
  <si>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</si>
  <si>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</si>
  <si>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</si>
  <si>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</si>
  <si>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</si>
  <si>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GA Rate</t>
  </si>
  <si>
    <t>Billings</t>
  </si>
  <si>
    <t>Consumption month</t>
  </si>
  <si>
    <t>Original split of Code 148</t>
  </si>
  <si>
    <t>Code 148</t>
  </si>
  <si>
    <t>load transfer</t>
  </si>
  <si>
    <t>Revised split of Code 148</t>
  </si>
  <si>
    <t xml:space="preserve">RPP </t>
  </si>
  <si>
    <t>Non-RPP</t>
  </si>
  <si>
    <t>Load transfer</t>
  </si>
  <si>
    <t>RPP</t>
  </si>
  <si>
    <t>Difference is calculated</t>
  </si>
  <si>
    <t xml:space="preserve">        Revised</t>
  </si>
  <si>
    <t xml:space="preserve">       Original filing</t>
  </si>
  <si>
    <t>Actual GA Rate</t>
  </si>
  <si>
    <t>Workform</t>
  </si>
  <si>
    <t>Difference in kwh</t>
  </si>
  <si>
    <t>$$</t>
  </si>
  <si>
    <t>KWH billed</t>
  </si>
  <si>
    <t>by IESO</t>
  </si>
  <si>
    <t xml:space="preserve">IESO per </t>
  </si>
  <si>
    <t>Prelim est</t>
  </si>
  <si>
    <t>Revision to account 1589 for 2015</t>
  </si>
  <si>
    <t>Opening principal balance</t>
  </si>
  <si>
    <t xml:space="preserve">initial change </t>
  </si>
  <si>
    <t>Adjustment</t>
  </si>
  <si>
    <t>Revised principal balance</t>
  </si>
  <si>
    <t>Estimated interest on adjustment</t>
  </si>
  <si>
    <t>204,874 x 1.11% divided by 2</t>
  </si>
  <si>
    <t>Net activity for 2015 should have been</t>
  </si>
  <si>
    <t>Revenue</t>
  </si>
  <si>
    <t>no change from initial calculation</t>
  </si>
  <si>
    <t>expense is higher than revenue  - debit (receivable)</t>
  </si>
  <si>
    <t>Expense calculation</t>
  </si>
  <si>
    <t xml:space="preserve">   </t>
  </si>
  <si>
    <t>Original figure used</t>
  </si>
  <si>
    <t>Adjust for wrong month used to split IESO code 148</t>
  </si>
  <si>
    <t>Adjustments to Form 1598 that impact expense allocation between RPP and Non-RPP</t>
  </si>
  <si>
    <t xml:space="preserve">           Adjust expense to 2nd estimate GA rate and change in</t>
  </si>
  <si>
    <t xml:space="preserve">            consumption to use of billings rather than </t>
  </si>
  <si>
    <t xml:space="preserve">           net calculation previously used</t>
  </si>
  <si>
    <t>Allocation of cost related to fact that kwh billed to RPP and Non-RPP does</t>
  </si>
  <si>
    <t xml:space="preserve">  not add to total kwh billed to the utility by IESO - considered to be loss factor actual to approved</t>
  </si>
  <si>
    <t xml:space="preserve">   difference.    This cost has been split between RPP and Non-RPP based on kwh billed</t>
  </si>
  <si>
    <t xml:space="preserve">   in 2015 and valued at final GA rate</t>
  </si>
  <si>
    <t xml:space="preserve">RPP portion </t>
  </si>
  <si>
    <t>Note:  method of allocation for code 148 has been based on expense calculated</t>
  </si>
  <si>
    <t xml:space="preserve">             for RPP customers under the Form  1598 with the remainder allocated to Non - RPP</t>
  </si>
  <si>
    <t xml:space="preserve">            Therefore, the adjustment above $29,843.35 moves the RPP portion out of account 1589</t>
  </si>
  <si>
    <t>Revision to account 1589 for 2016</t>
  </si>
  <si>
    <t>2015 adjustment</t>
  </si>
  <si>
    <t>Reallocation of approved recovery</t>
  </si>
  <si>
    <t>Net activity for 2016 should have been</t>
  </si>
  <si>
    <t>EB 2015-0111</t>
  </si>
  <si>
    <t>initial change  - revenue net of expenses</t>
  </si>
  <si>
    <t>Total change</t>
  </si>
  <si>
    <t>Question 11 - 2016</t>
  </si>
  <si>
    <t>Question 11 - 2015</t>
  </si>
  <si>
    <t>Question 10B</t>
  </si>
  <si>
    <t>Question 9 C</t>
  </si>
  <si>
    <t>Question 8C 2015</t>
  </si>
  <si>
    <t>Question 8 C 2016</t>
  </si>
  <si>
    <t>West Coast Huron Energy</t>
  </si>
  <si>
    <t xml:space="preserve">   in 2016 and valued at final GA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</si>
</sst>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7" fontId="0" fillId="0" borderId="0" xfId="0" quotePrefix="1" applyNumberFormat="1" applyFill="1" applyAlignment="1">
      <alignment horizontal="left"/>
    </xf>
    <xf numFmtId="43" fontId="0" fillId="0" borderId="0" xfId="0" applyNumberFormat="1" applyFill="1"/>
    <xf numFmtId="0" fontId="0" fillId="0" borderId="0" xfId="0" quotePrefix="1" applyFill="1" applyAlignment="1">
      <alignment horizontal="left"/>
    </xf>
    <xf numFmtId="43" fontId="0" fillId="0" borderId="1" xfId="0" applyNumberFormat="1" applyFill="1" applyBorder="1"/>
    <xf numFmtId="43" fontId="0" fillId="0" borderId="0" xfId="0" applyNumberFormat="1" applyFill="1" applyBorder="1"/>
    <xf numFmtId="0" fontId="0" fillId="0" borderId="0" xfId="0" applyFill="1" applyAlignment="1">
      <alignment horizontal="center"/>
    </xf>
    <xf numFmtId="43" fontId="0" fillId="0" borderId="0" xfId="0" applyNumberFormat="1"/>
    <xf numFmtId="0" fontId="0" fillId="3" borderId="0" xfId="0" applyFill="1" applyAlignment="1">
      <alignment horizontal="centerContinuous"/>
    </xf>
    <xf numFmtId="17" fontId="0" fillId="0" borderId="0" xfId="0" quotePrefix="1" applyNumberFormat="1" applyAlignment="1">
      <alignment horizontal="left"/>
    </xf>
    <xf numFmtId="41" fontId="0" fillId="0" borderId="0" xfId="0" applyNumberFormat="1"/>
    <xf numFmtId="0" fontId="0" fillId="0" borderId="0" xfId="0" quotePrefix="1" applyAlignment="1">
      <alignment horizontal="left"/>
    </xf>
    <xf numFmtId="43" fontId="0" fillId="0" borderId="1" xfId="0" applyNumberFormat="1" applyBorder="1"/>
    <xf numFmtId="10" fontId="0" fillId="0" borderId="0" xfId="1" applyNumberFormat="1" applyFont="1"/>
    <xf numFmtId="10" fontId="0" fillId="0" borderId="0" xfId="0" applyNumberFormat="1"/>
    <xf numFmtId="0" fontId="0" fillId="0" borderId="0" xfId="0" applyFont="1" applyFill="1" applyBorder="1"/>
    <xf numFmtId="0" fontId="0" fillId="5" borderId="0" xfId="0" applyFill="1" applyAlignment="1">
      <alignment horizontal="centerContinuous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0" fontId="0" fillId="0" borderId="0" xfId="0" quotePrefix="1" applyFill="1"/>
    <xf numFmtId="43" fontId="0" fillId="6" borderId="1" xfId="0" applyNumberFormat="1" applyFill="1" applyBorder="1"/>
    <xf numFmtId="0" fontId="0" fillId="0" borderId="0" xfId="0" applyAlignment="1">
      <alignment horizontal="center"/>
    </xf>
    <xf numFmtId="43" fontId="0" fillId="4" borderId="1" xfId="0" applyNumberFormat="1" applyFill="1" applyBorder="1"/>
    <xf numFmtId="43" fontId="0" fillId="0" borderId="0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4" borderId="1" xfId="0" applyNumberFormat="1" applyFill="1" applyBorder="1"/>
    <xf numFmtId="0" fontId="2" fillId="3" borderId="0" xfId="0" applyFont="1" applyFill="1" applyAlignment="1">
      <alignment horizontal="centerContinuous"/>
    </xf>
    <xf numFmtId="43" fontId="0" fillId="0" borderId="2" xfId="0" applyNumberFormat="1" applyBorder="1"/>
    <xf numFmtId="0" fontId="2" fillId="5" borderId="0" xfId="0" applyFont="1" applyFill="1" applyAlignment="1">
      <alignment horizontal="centerContinuous"/>
    </xf>
    <xf numFmtId="0" fontId="2" fillId="0" borderId="0" xfId="0" applyFont="1" applyAlignment="1">
      <alignment horizontal="left"/>
    </xf>
    <xf numFmtId="43" fontId="0" fillId="0" borderId="3" xfId="0" applyNumberFormat="1" applyBorder="1"/>
    <xf numFmtId="43" fontId="0" fillId="7" borderId="0" xfId="0" applyNumberFormat="1" applyFill="1"/>
    <xf numFmtId="43" fontId="0" fillId="6" borderId="0" xfId="0" applyNumberFormat="1" applyFill="1"/>
    <xf numFmtId="0" fontId="0" fillId="6" borderId="0" xfId="0" applyFill="1"/>
    <xf numFmtId="0" fontId="2" fillId="0" borderId="0" xfId="0" applyFont="1" applyFill="1" applyBorder="1" applyAlignment="1">
      <alignment horizontal="center"/>
    </xf>
    <xf numFmtId="43" fontId="4" fillId="8" borderId="1" xfId="0" applyNumberFormat="1" applyFont="1" applyFill="1" applyBorder="1"/>
    <xf numFmtId="43" fontId="0" fillId="8" borderId="1" xfId="0" applyNumberFormat="1" applyFill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1" fontId="0" fillId="0" borderId="1" xfId="0" applyNumberFormat="1" applyBorder="1"/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1" applyNumberFormat="1" applyFont="1"/>
    <xf numFmtId="43" fontId="2" fillId="0" borderId="0" xfId="0" applyNumberFormat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3" fontId="0" fillId="0" borderId="0" xfId="0" applyNumberFormat="1"/>
    <xf numFmtId="4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150494</xdr:colOff>
      <xdr:row>6</xdr:row>
      <xdr:rowOff>161925</xdr:rowOff>
    </xdr:from>
    <xdr:to>
      <xdr:col>2</xdr:col>
      <xdr:colOff>196213</xdr:colOff>
      <xdr:row>10</xdr:row>
      <xdr:rowOff>38100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C34D67A-56E9-4755-872B-50E6A7147FE5}"/>
            </a:ext>
          </a:extLst>
        </xdr:cNvPr>
        <xdr:cNvSpPr/>
      </xdr:nvSpPr>
      <xdr:spPr>
        <a:xfrm rot="10800000" flipH="1">
          <a:off x="6341744" y="1114425"/>
          <a:ext cx="45719" cy="638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150494</xdr:colOff>
      <xdr:row>9</xdr:row>
      <xdr:rowOff>85724</xdr:rowOff>
    </xdr:from>
    <xdr:to>
      <xdr:col>2</xdr:col>
      <xdr:colOff>219075</xdr:colOff>
      <xdr:row>12</xdr:row>
      <xdr:rowOff>38098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27805D79-1ECB-4C45-A56F-6ECE1FA864B0}"/>
            </a:ext>
          </a:extLst>
        </xdr:cNvPr>
        <xdr:cNvSpPr/>
      </xdr:nvSpPr>
      <xdr:spPr>
        <a:xfrm rot="10800000" flipH="1">
          <a:off x="6341744" y="1800224"/>
          <a:ext cx="68581" cy="5238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workbookViewId="0">
      <selection activeCell="A2" sqref="A2"/>
    </sheetView>
  </sheetViews>
  <sheetFormatPr defaultRowHeight="15" x14ac:dyDescent="0.25"/>
  <cols>
    <col min="1" max="1" width="21.140625" customWidth="1"/>
    <col min="2" max="2" width="14.85546875" customWidth="1"/>
    <col min="3" max="3" width="13.85546875" customWidth="1"/>
    <col min="4" max="4" width="15.7109375" customWidth="1"/>
    <col min="5" max="5" width="14.42578125" customWidth="1"/>
    <col min="6" max="6" width="13.140625" customWidth="1"/>
    <col min="7" max="7" width="16.140625" customWidth="1"/>
    <col min="8" max="8" width="14.28515625" bestFit="1" customWidth="1"/>
    <col min="9" max="9" width="14" customWidth="1"/>
    <col min="10" max="10" width="18.5703125" customWidth="1"/>
    <col min="11" max="11" width="15.140625" customWidth="1"/>
    <col min="12" max="12" width="14.7109375" customWidth="1"/>
    <col min="13" max="13" width="17.28515625" customWidth="1"/>
    <col min="14" max="14" width="16.42578125" customWidth="1"/>
  </cols>
  <sheetData>
    <row r="1" spans="1:14" x14ac:dyDescent="0.25">
      <c r="A1" t="s">
        <v>113</v>
      </c>
    </row>
    <row r="2" spans="1:14" ht="18.75" x14ac:dyDescent="0.3">
      <c r="A2" s="1"/>
      <c r="B2" s="2"/>
      <c r="C2" s="2"/>
      <c r="D2" s="2"/>
      <c r="E2" s="2"/>
      <c r="F2" s="2"/>
      <c r="G2" s="2"/>
      <c r="H2" s="2"/>
      <c r="I2" s="2"/>
      <c r="J2" s="2" t="s">
        <v>112</v>
      </c>
      <c r="K2" s="2"/>
      <c r="L2" s="2"/>
      <c r="M2" s="2"/>
      <c r="N2" s="2"/>
    </row>
    <row r="3" spans="1:14" ht="18.75" x14ac:dyDescent="0.3">
      <c r="A3" s="3" t="s">
        <v>0</v>
      </c>
      <c r="N3" s="2"/>
    </row>
    <row r="4" spans="1:14" x14ac:dyDescent="0.25">
      <c r="N4" s="2"/>
    </row>
    <row r="5" spans="1:14" x14ac:dyDescent="0.25">
      <c r="C5" s="4" t="s">
        <v>1</v>
      </c>
      <c r="D5" s="5"/>
      <c r="E5" s="4"/>
      <c r="I5" s="6"/>
      <c r="N5" s="2"/>
    </row>
    <row r="6" spans="1:14" x14ac:dyDescent="0.25">
      <c r="C6" s="7"/>
      <c r="D6" s="7"/>
      <c r="E6" s="8" t="s">
        <v>2</v>
      </c>
      <c r="F6" s="8"/>
      <c r="G6" s="8"/>
      <c r="H6" s="8"/>
      <c r="I6" s="8"/>
      <c r="J6" s="7"/>
      <c r="K6" s="7"/>
      <c r="L6" s="7"/>
      <c r="M6" s="7"/>
      <c r="N6" s="2"/>
    </row>
    <row r="7" spans="1:14" x14ac:dyDescent="0.25">
      <c r="C7" s="8" t="s">
        <v>4</v>
      </c>
      <c r="D7" s="8" t="s">
        <v>5</v>
      </c>
      <c r="E7" s="8" t="s">
        <v>6</v>
      </c>
      <c r="F7" s="8"/>
      <c r="G7" s="8"/>
      <c r="H7" s="8"/>
      <c r="I7" s="8"/>
      <c r="J7" s="7"/>
      <c r="K7" s="7"/>
      <c r="L7" s="7"/>
      <c r="M7" s="7"/>
      <c r="N7" s="2"/>
    </row>
    <row r="8" spans="1:14" x14ac:dyDescent="0.25">
      <c r="A8" s="9" t="s">
        <v>7</v>
      </c>
      <c r="B8" s="7"/>
      <c r="C8" s="10">
        <v>3741856.93</v>
      </c>
      <c r="D8" s="7">
        <v>96.78</v>
      </c>
      <c r="E8" s="10">
        <f>+C8*D8/1000</f>
        <v>362136.91368539998</v>
      </c>
      <c r="F8" s="7"/>
      <c r="G8" s="10"/>
      <c r="H8" s="7"/>
      <c r="I8" s="10"/>
      <c r="J8" s="7"/>
      <c r="K8" s="7"/>
      <c r="L8" s="7"/>
      <c r="M8" s="7"/>
      <c r="N8" s="2"/>
    </row>
    <row r="9" spans="1:14" x14ac:dyDescent="0.25">
      <c r="A9" s="11" t="s">
        <v>8</v>
      </c>
      <c r="B9" s="7"/>
      <c r="C9" s="10">
        <v>3378888.72</v>
      </c>
      <c r="D9" s="7">
        <v>102.99</v>
      </c>
      <c r="E9" s="10">
        <f t="shared" ref="E9:E19" si="0">+C9*D9/1000</f>
        <v>347991.74927280005</v>
      </c>
      <c r="F9" s="7"/>
      <c r="G9" s="10"/>
      <c r="H9" s="7"/>
      <c r="I9" s="10"/>
      <c r="J9" s="7"/>
      <c r="K9" s="7"/>
      <c r="L9" s="7"/>
      <c r="M9" s="7"/>
      <c r="N9" s="2"/>
    </row>
    <row r="10" spans="1:14" x14ac:dyDescent="0.25">
      <c r="A10" s="11" t="s">
        <v>9</v>
      </c>
      <c r="B10" s="7"/>
      <c r="C10" s="10">
        <v>3131152.27</v>
      </c>
      <c r="D10" s="7">
        <v>111.77</v>
      </c>
      <c r="E10" s="10">
        <f t="shared" si="0"/>
        <v>349968.8892179</v>
      </c>
      <c r="F10" s="7"/>
      <c r="G10" s="10"/>
      <c r="H10" s="7"/>
      <c r="I10" s="10"/>
      <c r="J10" s="7"/>
      <c r="K10" s="7"/>
      <c r="L10" s="7"/>
      <c r="M10" s="7"/>
      <c r="N10" s="2"/>
    </row>
    <row r="11" spans="1:14" x14ac:dyDescent="0.25">
      <c r="A11" s="11" t="s">
        <v>10</v>
      </c>
      <c r="B11" s="7"/>
      <c r="C11" s="10">
        <v>2905705.37</v>
      </c>
      <c r="D11" s="7">
        <v>114.93</v>
      </c>
      <c r="E11" s="10">
        <f t="shared" si="0"/>
        <v>333952.71817410004</v>
      </c>
      <c r="F11" s="7"/>
      <c r="G11" s="10"/>
      <c r="H11" s="7"/>
      <c r="I11" s="10"/>
      <c r="J11" s="7"/>
      <c r="K11" s="7"/>
      <c r="L11" s="7"/>
      <c r="M11" s="7"/>
      <c r="N11" s="2"/>
    </row>
    <row r="12" spans="1:14" x14ac:dyDescent="0.25">
      <c r="A12" s="11" t="s">
        <v>11</v>
      </c>
      <c r="B12" s="7"/>
      <c r="C12" s="10">
        <v>2790892.41</v>
      </c>
      <c r="D12" s="7">
        <v>93.6</v>
      </c>
      <c r="E12" s="10">
        <f t="shared" si="0"/>
        <v>261227.529576</v>
      </c>
      <c r="F12" s="7"/>
      <c r="G12" s="10"/>
      <c r="H12" s="7"/>
      <c r="I12" s="10"/>
      <c r="J12" s="7"/>
      <c r="K12" s="7"/>
      <c r="L12" s="7"/>
      <c r="M12" s="7"/>
      <c r="N12" s="2"/>
    </row>
    <row r="13" spans="1:14" x14ac:dyDescent="0.25">
      <c r="A13" s="11" t="s">
        <v>12</v>
      </c>
      <c r="B13" s="7"/>
      <c r="C13" s="10">
        <v>2653830.04</v>
      </c>
      <c r="D13" s="7">
        <v>84.12</v>
      </c>
      <c r="E13" s="10">
        <f t="shared" si="0"/>
        <v>223240.18296480004</v>
      </c>
      <c r="F13" s="7"/>
      <c r="G13" s="10"/>
      <c r="H13" s="7"/>
      <c r="I13" s="10"/>
      <c r="J13" s="7"/>
      <c r="K13" s="7"/>
      <c r="L13" s="7"/>
      <c r="M13" s="7"/>
      <c r="N13" s="2"/>
    </row>
    <row r="14" spans="1:14" x14ac:dyDescent="0.25">
      <c r="A14" s="11" t="s">
        <v>13</v>
      </c>
      <c r="B14" s="7"/>
      <c r="C14" s="10">
        <v>3512159.32</v>
      </c>
      <c r="D14" s="7">
        <v>70.5</v>
      </c>
      <c r="E14" s="10">
        <f t="shared" si="0"/>
        <v>247607.23206000001</v>
      </c>
      <c r="F14" s="7"/>
      <c r="G14" s="10"/>
      <c r="H14" s="7"/>
      <c r="I14" s="10"/>
      <c r="J14" s="7"/>
      <c r="K14" s="7"/>
      <c r="L14" s="7"/>
      <c r="M14" s="7"/>
      <c r="N14" s="2"/>
    </row>
    <row r="15" spans="1:14" x14ac:dyDescent="0.25">
      <c r="A15" s="11" t="s">
        <v>14</v>
      </c>
      <c r="B15" s="7"/>
      <c r="C15" s="10">
        <v>3767657.61</v>
      </c>
      <c r="D15" s="7">
        <v>91.48</v>
      </c>
      <c r="E15" s="10">
        <f t="shared" si="0"/>
        <v>344665.31816279999</v>
      </c>
      <c r="F15" s="7"/>
      <c r="G15" s="10"/>
      <c r="H15" s="7"/>
      <c r="I15" s="10"/>
      <c r="J15" s="7"/>
      <c r="K15" s="7"/>
      <c r="L15" s="7"/>
      <c r="M15" s="7"/>
      <c r="N15" s="2"/>
    </row>
    <row r="16" spans="1:14" x14ac:dyDescent="0.25">
      <c r="A16" s="11" t="s">
        <v>15</v>
      </c>
      <c r="B16" s="7"/>
      <c r="C16" s="10">
        <v>2871859.11</v>
      </c>
      <c r="D16" s="7">
        <v>117.8</v>
      </c>
      <c r="E16" s="10">
        <f t="shared" si="0"/>
        <v>338305.00315800001</v>
      </c>
      <c r="F16" s="7"/>
      <c r="G16" s="10"/>
      <c r="H16" s="7"/>
      <c r="I16" s="10"/>
      <c r="J16" s="7"/>
      <c r="K16" s="7"/>
      <c r="L16" s="7"/>
      <c r="M16" s="7"/>
      <c r="N16" s="2"/>
    </row>
    <row r="17" spans="1:14" x14ac:dyDescent="0.25">
      <c r="A17" s="11" t="s">
        <v>16</v>
      </c>
      <c r="B17" s="7"/>
      <c r="C17" s="10">
        <v>2708123.4</v>
      </c>
      <c r="D17" s="7">
        <v>115</v>
      </c>
      <c r="E17" s="10">
        <f t="shared" si="0"/>
        <v>311434.19099999999</v>
      </c>
      <c r="F17" s="7"/>
      <c r="G17" s="13"/>
      <c r="H17" s="2"/>
      <c r="I17" s="13"/>
      <c r="J17" s="7"/>
      <c r="K17" s="7"/>
      <c r="L17" s="7"/>
      <c r="M17" s="7"/>
      <c r="N17" s="2"/>
    </row>
    <row r="18" spans="1:14" x14ac:dyDescent="0.25">
      <c r="A18" s="11" t="s">
        <v>17</v>
      </c>
      <c r="B18" s="7"/>
      <c r="C18" s="10">
        <v>2907601.38</v>
      </c>
      <c r="D18" s="7">
        <v>78.72</v>
      </c>
      <c r="E18" s="10">
        <f t="shared" si="0"/>
        <v>228886.3806336</v>
      </c>
      <c r="F18" s="7"/>
      <c r="G18" s="13"/>
      <c r="H18" s="2"/>
      <c r="I18" s="13"/>
      <c r="J18" s="7"/>
      <c r="K18" s="7"/>
      <c r="L18" s="7"/>
      <c r="M18" s="7"/>
      <c r="N18" s="2"/>
    </row>
    <row r="19" spans="1:14" x14ac:dyDescent="0.25">
      <c r="A19" s="11" t="s">
        <v>18</v>
      </c>
      <c r="B19" s="7"/>
      <c r="C19" s="10">
        <v>3816502.06</v>
      </c>
      <c r="D19" s="7">
        <v>86.77</v>
      </c>
      <c r="E19" s="10">
        <f t="shared" si="0"/>
        <v>331157.88374619995</v>
      </c>
      <c r="F19" s="7"/>
      <c r="G19" s="13"/>
      <c r="H19" s="2"/>
      <c r="I19" s="13"/>
      <c r="J19" s="7"/>
      <c r="K19" s="7"/>
      <c r="L19" s="7"/>
      <c r="M19" s="7"/>
      <c r="N19" s="2"/>
    </row>
    <row r="20" spans="1:14" x14ac:dyDescent="0.25">
      <c r="C20" s="12">
        <f t="shared" ref="C20" si="1">SUM(C8:C19)</f>
        <v>38186228.619999997</v>
      </c>
      <c r="D20" s="7"/>
      <c r="E20" s="29">
        <f>SUM(E8:E19)</f>
        <v>3680573.9916515998</v>
      </c>
      <c r="F20" s="7"/>
      <c r="G20" s="13"/>
      <c r="H20" s="2"/>
      <c r="I20" s="13"/>
      <c r="J20" s="7"/>
      <c r="K20" s="7"/>
      <c r="L20" s="7"/>
      <c r="M20" s="7"/>
      <c r="N20" s="2"/>
    </row>
    <row r="21" spans="1:14" x14ac:dyDescent="0.25">
      <c r="C21" s="13"/>
      <c r="D21" s="7"/>
      <c r="E21" s="13"/>
      <c r="F21" s="7"/>
      <c r="G21" s="13"/>
      <c r="H21" s="2"/>
      <c r="I21" s="13"/>
      <c r="J21" s="7"/>
      <c r="K21" s="7"/>
      <c r="L21" s="7"/>
      <c r="M21" s="7"/>
      <c r="N21" s="2"/>
    </row>
    <row r="22" spans="1:14" x14ac:dyDescent="0.25">
      <c r="C22" s="13"/>
      <c r="D22" s="7"/>
      <c r="E22" s="13"/>
      <c r="F22" s="7"/>
      <c r="G22" s="13"/>
      <c r="H22" s="2"/>
      <c r="I22" s="2"/>
      <c r="J22" s="7"/>
      <c r="K22" s="7"/>
      <c r="L22" s="7"/>
      <c r="M22" s="7"/>
      <c r="N22" s="2"/>
    </row>
    <row r="23" spans="1:14" x14ac:dyDescent="0.25">
      <c r="C23" s="7"/>
      <c r="D23" s="7"/>
      <c r="E23" s="7"/>
      <c r="F23" s="7"/>
      <c r="G23" s="2"/>
      <c r="H23" s="2"/>
      <c r="I23" s="2"/>
      <c r="J23" s="7"/>
      <c r="K23" s="7"/>
      <c r="L23" s="7"/>
      <c r="M23" s="7"/>
      <c r="N23" s="2"/>
    </row>
    <row r="24" spans="1:14" x14ac:dyDescent="0.25">
      <c r="C24" s="8" t="s">
        <v>20</v>
      </c>
      <c r="D24" s="8" t="s">
        <v>21</v>
      </c>
      <c r="E24" s="8" t="s">
        <v>2</v>
      </c>
      <c r="F24" s="8"/>
      <c r="G24" s="44"/>
      <c r="H24" s="2"/>
      <c r="I24" s="2"/>
      <c r="J24" s="7"/>
      <c r="K24" s="7"/>
      <c r="L24" s="7"/>
      <c r="M24" s="7"/>
      <c r="N24" s="2"/>
    </row>
    <row r="25" spans="1:14" x14ac:dyDescent="0.25">
      <c r="C25" s="8" t="s">
        <v>22</v>
      </c>
      <c r="D25" s="8" t="s">
        <v>5</v>
      </c>
      <c r="E25" s="8" t="s">
        <v>6</v>
      </c>
      <c r="F25" s="6"/>
      <c r="G25" s="44"/>
      <c r="H25" s="2"/>
      <c r="I25" s="2"/>
      <c r="J25" s="7"/>
      <c r="K25" s="7"/>
      <c r="L25" s="7"/>
      <c r="M25" s="7"/>
      <c r="N25" s="2"/>
    </row>
    <row r="26" spans="1:14" x14ac:dyDescent="0.25">
      <c r="A26" s="9" t="s">
        <v>7</v>
      </c>
      <c r="C26" s="10">
        <v>3986733</v>
      </c>
      <c r="D26" s="14">
        <v>92.14</v>
      </c>
      <c r="E26" s="10">
        <f>+C26*D26/1000</f>
        <v>367337.57861999999</v>
      </c>
      <c r="F26" s="14"/>
      <c r="G26" s="13"/>
      <c r="H26" s="2"/>
      <c r="I26" s="2"/>
      <c r="N26" s="2"/>
    </row>
    <row r="27" spans="1:14" x14ac:dyDescent="0.25">
      <c r="A27" s="11" t="s">
        <v>8</v>
      </c>
      <c r="C27" s="10">
        <v>3557911</v>
      </c>
      <c r="D27" s="14">
        <v>96.78</v>
      </c>
      <c r="E27" s="10">
        <f t="shared" ref="E27:E37" si="2">+C27*D27/1000</f>
        <v>344334.62657999998</v>
      </c>
      <c r="F27" s="14"/>
      <c r="G27" s="13"/>
      <c r="H27" s="2"/>
      <c r="I27" s="2"/>
      <c r="N27" s="2"/>
    </row>
    <row r="28" spans="1:14" x14ac:dyDescent="0.25">
      <c r="A28" s="11" t="s">
        <v>9</v>
      </c>
      <c r="C28" s="10">
        <v>3351024</v>
      </c>
      <c r="D28" s="14">
        <v>102.99</v>
      </c>
      <c r="E28" s="10">
        <f t="shared" si="2"/>
        <v>345121.96175999998</v>
      </c>
      <c r="F28" s="14"/>
      <c r="G28" s="13"/>
      <c r="H28" s="2"/>
      <c r="I28" s="2"/>
      <c r="J28" s="7"/>
      <c r="K28" s="7"/>
      <c r="L28" s="7"/>
      <c r="M28" s="7"/>
      <c r="N28" s="2"/>
    </row>
    <row r="29" spans="1:14" x14ac:dyDescent="0.25">
      <c r="A29" s="11" t="s">
        <v>10</v>
      </c>
      <c r="C29" s="10">
        <v>3056318</v>
      </c>
      <c r="D29" s="14">
        <v>111.77</v>
      </c>
      <c r="E29" s="10">
        <f t="shared" si="2"/>
        <v>341604.66286000004</v>
      </c>
      <c r="F29" s="14"/>
      <c r="G29" s="13"/>
      <c r="H29" s="2"/>
      <c r="I29" s="2"/>
      <c r="J29" s="7"/>
      <c r="K29" s="7"/>
      <c r="L29" s="7"/>
      <c r="M29" s="7"/>
      <c r="N29" s="2"/>
    </row>
    <row r="30" spans="1:14" x14ac:dyDescent="0.25">
      <c r="A30" s="11" t="s">
        <v>11</v>
      </c>
      <c r="C30" s="10">
        <v>2862914</v>
      </c>
      <c r="D30" s="14">
        <v>114.93</v>
      </c>
      <c r="E30" s="10">
        <f t="shared" si="2"/>
        <v>329034.70602000004</v>
      </c>
      <c r="F30" s="14"/>
      <c r="G30" s="13"/>
      <c r="H30" s="2"/>
      <c r="I30" s="2"/>
      <c r="J30" s="7"/>
      <c r="K30" s="7"/>
      <c r="L30" s="7"/>
      <c r="M30" s="7"/>
      <c r="N30" s="2"/>
    </row>
    <row r="31" spans="1:14" x14ac:dyDescent="0.25">
      <c r="A31" s="11" t="s">
        <v>12</v>
      </c>
      <c r="C31" s="10">
        <v>2957499</v>
      </c>
      <c r="D31" s="14">
        <v>93.6</v>
      </c>
      <c r="E31" s="10">
        <f t="shared" si="2"/>
        <v>276821.90639999998</v>
      </c>
      <c r="F31" s="14"/>
      <c r="G31" s="13"/>
      <c r="H31" s="2"/>
      <c r="I31" s="2"/>
      <c r="J31" s="7"/>
      <c r="K31" s="7"/>
      <c r="L31" s="7"/>
      <c r="M31" s="7"/>
      <c r="N31" s="2"/>
    </row>
    <row r="32" spans="1:14" x14ac:dyDescent="0.25">
      <c r="A32" s="11" t="s">
        <v>13</v>
      </c>
      <c r="C32" s="10">
        <v>3736201</v>
      </c>
      <c r="D32" s="14">
        <v>84.12</v>
      </c>
      <c r="E32" s="10">
        <f t="shared" si="2"/>
        <v>314289.22811999999</v>
      </c>
      <c r="F32" s="14"/>
      <c r="G32" s="13"/>
      <c r="H32" s="2"/>
      <c r="I32" s="2"/>
      <c r="J32" s="7"/>
      <c r="K32" s="7"/>
      <c r="L32" s="7"/>
      <c r="M32" s="7"/>
      <c r="N32" s="2"/>
    </row>
    <row r="33" spans="1:14" x14ac:dyDescent="0.25">
      <c r="A33" s="11" t="s">
        <v>14</v>
      </c>
      <c r="C33" s="10">
        <v>3991021</v>
      </c>
      <c r="D33" s="14">
        <v>70.5</v>
      </c>
      <c r="E33" s="10">
        <f t="shared" si="2"/>
        <v>281366.98050000001</v>
      </c>
      <c r="F33" s="14"/>
      <c r="G33" s="13"/>
      <c r="H33" s="2"/>
      <c r="I33" s="2"/>
      <c r="J33" s="7"/>
      <c r="K33" s="7"/>
      <c r="L33" s="7"/>
      <c r="M33" s="7"/>
      <c r="N33" s="2"/>
    </row>
    <row r="34" spans="1:14" x14ac:dyDescent="0.25">
      <c r="A34" s="11" t="s">
        <v>15</v>
      </c>
      <c r="C34" s="10">
        <v>3046622</v>
      </c>
      <c r="D34" s="14">
        <v>91.48</v>
      </c>
      <c r="E34" s="10">
        <f t="shared" si="2"/>
        <v>278704.98056</v>
      </c>
      <c r="F34" s="14"/>
      <c r="G34" s="13"/>
      <c r="H34" s="2"/>
      <c r="I34" s="2"/>
      <c r="J34" s="7"/>
      <c r="K34" s="7"/>
      <c r="L34" s="7"/>
      <c r="M34" s="7"/>
      <c r="N34" s="2"/>
    </row>
    <row r="35" spans="1:14" x14ac:dyDescent="0.25">
      <c r="A35" s="11" t="s">
        <v>16</v>
      </c>
      <c r="C35" s="10">
        <v>2887730</v>
      </c>
      <c r="D35" s="14">
        <v>117.8</v>
      </c>
      <c r="E35" s="10">
        <f t="shared" si="2"/>
        <v>340174.59399999998</v>
      </c>
      <c r="F35" s="14"/>
      <c r="G35" s="13"/>
      <c r="H35" s="2"/>
      <c r="I35" s="2"/>
      <c r="J35" s="7"/>
      <c r="K35" s="7"/>
      <c r="L35" s="7"/>
      <c r="M35" s="7"/>
      <c r="N35" s="2"/>
    </row>
    <row r="36" spans="1:14" x14ac:dyDescent="0.25">
      <c r="A36" s="11" t="s">
        <v>17</v>
      </c>
      <c r="C36" s="10">
        <v>3056270</v>
      </c>
      <c r="D36" s="14">
        <v>115</v>
      </c>
      <c r="E36" s="10">
        <f t="shared" si="2"/>
        <v>351471.05</v>
      </c>
      <c r="F36" s="14"/>
      <c r="G36" s="13"/>
      <c r="H36" s="2"/>
      <c r="I36" s="2"/>
      <c r="J36" s="7"/>
      <c r="K36" s="7"/>
      <c r="L36" s="7"/>
      <c r="M36" s="7"/>
      <c r="N36" s="2"/>
    </row>
    <row r="37" spans="1:14" x14ac:dyDescent="0.25">
      <c r="A37" s="11" t="s">
        <v>18</v>
      </c>
      <c r="C37" s="10">
        <v>3946737</v>
      </c>
      <c r="D37" s="14">
        <v>78.72</v>
      </c>
      <c r="E37" s="10">
        <f t="shared" si="2"/>
        <v>310687.13663999998</v>
      </c>
      <c r="F37" s="14"/>
      <c r="G37" s="13"/>
      <c r="H37" s="2"/>
      <c r="I37" s="2"/>
      <c r="J37" s="7"/>
      <c r="K37" s="7"/>
      <c r="L37" s="7"/>
      <c r="M37" s="7"/>
      <c r="N37" s="2"/>
    </row>
    <row r="38" spans="1:14" x14ac:dyDescent="0.25">
      <c r="C38" s="46">
        <f>SUM(C26:C37)</f>
        <v>40436980</v>
      </c>
      <c r="D38" s="7"/>
      <c r="E38" s="29">
        <f>SUM(E26:E37)</f>
        <v>3880949.41206</v>
      </c>
      <c r="F38" s="7"/>
      <c r="G38" s="13"/>
      <c r="H38" s="2"/>
      <c r="I38" s="2"/>
      <c r="J38" s="7"/>
      <c r="K38" s="7"/>
      <c r="L38" s="7"/>
      <c r="M38" s="7"/>
      <c r="N38" s="2"/>
    </row>
    <row r="39" spans="1:14" x14ac:dyDescent="0.25">
      <c r="C39" s="13"/>
      <c r="D39" s="7"/>
      <c r="E39" s="13"/>
      <c r="F39" s="7"/>
      <c r="G39" s="7"/>
      <c r="H39" s="7"/>
      <c r="I39" s="7"/>
      <c r="J39" s="7"/>
      <c r="K39" s="7"/>
      <c r="L39" s="7"/>
      <c r="M39" s="7"/>
      <c r="N39" s="2"/>
    </row>
    <row r="40" spans="1:14" x14ac:dyDescent="0.25">
      <c r="A40" t="s">
        <v>23</v>
      </c>
      <c r="C40" s="13"/>
      <c r="D40" s="7"/>
      <c r="E40" s="13"/>
      <c r="F40" s="7"/>
      <c r="G40" s="7"/>
      <c r="H40" s="7"/>
      <c r="I40" s="7"/>
      <c r="J40" s="7"/>
      <c r="K40" s="7"/>
      <c r="L40" s="7"/>
      <c r="M40" s="7"/>
      <c r="N40" s="2"/>
    </row>
    <row r="41" spans="1:14" x14ac:dyDescent="0.25">
      <c r="A41" t="s">
        <v>24</v>
      </c>
      <c r="N41" s="2"/>
    </row>
    <row r="42" spans="1:14" x14ac:dyDescent="0.25"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43" t="s">
        <v>62</v>
      </c>
      <c r="B44" s="43"/>
      <c r="C44" s="43"/>
      <c r="D44" s="2"/>
      <c r="E44" s="13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43" t="s">
        <v>63</v>
      </c>
      <c r="B45" s="43"/>
      <c r="C45" s="42">
        <f>+E38</f>
        <v>3880949.41206</v>
      </c>
      <c r="D45" s="2"/>
      <c r="E45" s="13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43" t="s">
        <v>64</v>
      </c>
      <c r="B46" s="43"/>
      <c r="C46" s="42">
        <f>+E20</f>
        <v>3680573.9916515998</v>
      </c>
      <c r="D46" s="23"/>
      <c r="E46" s="23"/>
      <c r="F46" s="23"/>
      <c r="G46" s="23"/>
      <c r="H46" s="2"/>
      <c r="I46" s="2"/>
      <c r="J46" s="2"/>
      <c r="K46" s="2"/>
      <c r="L46" s="2"/>
      <c r="M46" s="2"/>
      <c r="N46" s="2"/>
    </row>
    <row r="47" spans="1:14" x14ac:dyDescent="0.25">
      <c r="A47" s="43"/>
      <c r="B47" s="43"/>
      <c r="C47" s="29">
        <f>+C45-C46</f>
        <v>200375.42040840024</v>
      </c>
      <c r="D47" s="23"/>
      <c r="E47" s="23"/>
      <c r="F47" s="23"/>
      <c r="G47" s="23"/>
      <c r="H47" s="2"/>
      <c r="I47" s="2"/>
      <c r="J47" s="2"/>
      <c r="K47" s="2"/>
      <c r="L47" s="2"/>
      <c r="M47" s="2"/>
      <c r="N47" s="2"/>
    </row>
    <row r="48" spans="1:14" ht="18.75" x14ac:dyDescent="0.3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18.75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t="s">
        <v>25</v>
      </c>
    </row>
    <row r="53" spans="1:14" x14ac:dyDescent="0.25">
      <c r="B53" s="16" t="s">
        <v>26</v>
      </c>
      <c r="C53" s="16"/>
      <c r="D53" s="16"/>
      <c r="E53" s="16"/>
      <c r="F53" s="16"/>
      <c r="G53" s="16"/>
      <c r="I53" s="16" t="s">
        <v>27</v>
      </c>
      <c r="J53" s="16"/>
      <c r="K53" s="16"/>
      <c r="L53" s="16"/>
      <c r="M53" s="16"/>
      <c r="N53" s="16"/>
    </row>
    <row r="54" spans="1:14" x14ac:dyDescent="0.25">
      <c r="B54" s="6" t="s">
        <v>28</v>
      </c>
      <c r="C54" s="6" t="s">
        <v>29</v>
      </c>
      <c r="D54" s="6" t="s">
        <v>30</v>
      </c>
      <c r="E54" s="6" t="s">
        <v>31</v>
      </c>
      <c r="F54" s="6" t="s">
        <v>32</v>
      </c>
      <c r="G54" s="6" t="s">
        <v>33</v>
      </c>
      <c r="I54" s="6" t="s">
        <v>28</v>
      </c>
      <c r="J54" s="6" t="s">
        <v>29</v>
      </c>
      <c r="K54" s="6" t="s">
        <v>30</v>
      </c>
      <c r="L54" s="6" t="s">
        <v>31</v>
      </c>
      <c r="M54" s="6" t="s">
        <v>32</v>
      </c>
      <c r="N54" s="6" t="s">
        <v>33</v>
      </c>
    </row>
    <row r="55" spans="1:14" x14ac:dyDescent="0.25">
      <c r="A55" s="17" t="s">
        <v>7</v>
      </c>
      <c r="B55" s="15">
        <v>110366.35</v>
      </c>
      <c r="C55" s="15">
        <v>78126.37</v>
      </c>
      <c r="D55" s="15">
        <v>184946.03</v>
      </c>
      <c r="E55" s="15">
        <v>35031.46</v>
      </c>
      <c r="F55" s="15">
        <v>18890.27</v>
      </c>
      <c r="G55" s="15">
        <f t="shared" ref="G55:G66" si="3">SUM(B55:F55)</f>
        <v>427360.48000000004</v>
      </c>
      <c r="I55" s="18">
        <v>630731</v>
      </c>
      <c r="J55" s="18">
        <v>610399</v>
      </c>
      <c r="K55" s="18">
        <v>2228416</v>
      </c>
      <c r="L55" s="18">
        <v>354056</v>
      </c>
      <c r="M55" s="18">
        <v>163131</v>
      </c>
      <c r="N55" s="18">
        <f t="shared" ref="N55:N66" si="4">SUM(I55:M55)</f>
        <v>3986733</v>
      </c>
    </row>
    <row r="56" spans="1:14" x14ac:dyDescent="0.25">
      <c r="A56" s="19" t="s">
        <v>8</v>
      </c>
      <c r="B56" s="15">
        <v>103983.17</v>
      </c>
      <c r="C56" s="15">
        <v>74118.039999999994</v>
      </c>
      <c r="D56" s="15">
        <v>161987.06</v>
      </c>
      <c r="E56" s="15">
        <v>31199.45</v>
      </c>
      <c r="F56" s="15">
        <v>13668.25</v>
      </c>
      <c r="G56" s="15">
        <f t="shared" si="3"/>
        <v>384955.97000000003</v>
      </c>
      <c r="I56" s="18">
        <v>594201</v>
      </c>
      <c r="J56" s="18">
        <v>579055</v>
      </c>
      <c r="K56" s="18">
        <v>1951678</v>
      </c>
      <c r="L56" s="18">
        <v>315147</v>
      </c>
      <c r="M56" s="18">
        <v>117830</v>
      </c>
      <c r="N56" s="18">
        <f t="shared" si="4"/>
        <v>3557911</v>
      </c>
    </row>
    <row r="57" spans="1:14" x14ac:dyDescent="0.25">
      <c r="A57" s="19" t="s">
        <v>9</v>
      </c>
      <c r="B57" s="15">
        <v>102325.44</v>
      </c>
      <c r="C57" s="15">
        <v>74451.81</v>
      </c>
      <c r="D57" s="15">
        <v>150137.82999999999</v>
      </c>
      <c r="E57" s="15">
        <v>28597.07</v>
      </c>
      <c r="F57" s="15">
        <v>10081.4</v>
      </c>
      <c r="G57" s="15">
        <f t="shared" si="3"/>
        <v>365593.55</v>
      </c>
      <c r="I57" s="18">
        <v>584710</v>
      </c>
      <c r="J57" s="18">
        <v>581652</v>
      </c>
      <c r="K57" s="18">
        <v>1808893</v>
      </c>
      <c r="L57" s="18">
        <v>288860</v>
      </c>
      <c r="M57" s="18">
        <v>86909</v>
      </c>
      <c r="N57" s="18">
        <f t="shared" si="4"/>
        <v>3351024</v>
      </c>
    </row>
    <row r="58" spans="1:14" x14ac:dyDescent="0.25">
      <c r="A58" s="19" t="s">
        <v>10</v>
      </c>
      <c r="B58" s="15">
        <v>92281.05</v>
      </c>
      <c r="C58" s="15">
        <v>66438.240000000005</v>
      </c>
      <c r="D58" s="15">
        <v>140647.13</v>
      </c>
      <c r="E58" s="15">
        <v>25075.119999999999</v>
      </c>
      <c r="F58" s="15">
        <v>7213.37</v>
      </c>
      <c r="G58" s="15">
        <f t="shared" si="3"/>
        <v>331654.91000000003</v>
      </c>
      <c r="I58" s="18">
        <v>527309</v>
      </c>
      <c r="J58" s="18">
        <v>519040</v>
      </c>
      <c r="K58" s="18">
        <v>1694501</v>
      </c>
      <c r="L58" s="18">
        <v>253284</v>
      </c>
      <c r="M58" s="18">
        <v>62184</v>
      </c>
      <c r="N58" s="18">
        <f t="shared" si="4"/>
        <v>3056318</v>
      </c>
    </row>
    <row r="59" spans="1:14" x14ac:dyDescent="0.25">
      <c r="A59" s="19" t="s">
        <v>11</v>
      </c>
      <c r="B59" s="15">
        <v>89029.57</v>
      </c>
      <c r="C59" s="15">
        <v>63996.34</v>
      </c>
      <c r="D59" s="15">
        <v>143014.18</v>
      </c>
      <c r="E59" s="15">
        <v>19440.12</v>
      </c>
      <c r="F59" s="15">
        <v>6074.88</v>
      </c>
      <c r="G59" s="15">
        <f t="shared" si="3"/>
        <v>321555.08999999997</v>
      </c>
      <c r="I59" s="18">
        <v>494693</v>
      </c>
      <c r="J59" s="18">
        <v>484918</v>
      </c>
      <c r="K59" s="18">
        <v>1644357</v>
      </c>
      <c r="L59" s="18">
        <v>188740</v>
      </c>
      <c r="M59" s="18">
        <v>50206</v>
      </c>
      <c r="N59" s="18">
        <f t="shared" si="4"/>
        <v>2862914</v>
      </c>
    </row>
    <row r="60" spans="1:14" x14ac:dyDescent="0.25">
      <c r="A60" s="19" t="s">
        <v>12</v>
      </c>
      <c r="B60" s="15">
        <v>103803.14</v>
      </c>
      <c r="C60" s="15">
        <v>70860.600000000006</v>
      </c>
      <c r="D60" s="15">
        <v>141141.09</v>
      </c>
      <c r="E60" s="15">
        <v>17824.39</v>
      </c>
      <c r="F60" s="15">
        <v>5884.51</v>
      </c>
      <c r="G60" s="15">
        <f t="shared" si="3"/>
        <v>339513.73</v>
      </c>
      <c r="I60" s="18">
        <v>576680</v>
      </c>
      <c r="J60" s="18">
        <v>536821</v>
      </c>
      <c r="K60" s="18">
        <v>1622314</v>
      </c>
      <c r="L60" s="18">
        <v>173052</v>
      </c>
      <c r="M60" s="18">
        <v>48632</v>
      </c>
      <c r="N60" s="18">
        <f t="shared" si="4"/>
        <v>2957499</v>
      </c>
    </row>
    <row r="61" spans="1:14" x14ac:dyDescent="0.25">
      <c r="A61" s="19" t="s">
        <v>13</v>
      </c>
      <c r="B61" s="15">
        <v>131412.47</v>
      </c>
      <c r="C61" s="15">
        <v>83659.39</v>
      </c>
      <c r="D61" s="15">
        <v>183658.37</v>
      </c>
      <c r="E61" s="15">
        <v>19937.95</v>
      </c>
      <c r="F61" s="15">
        <v>8199.59</v>
      </c>
      <c r="G61" s="15">
        <f t="shared" si="3"/>
        <v>426867.77</v>
      </c>
      <c r="I61" s="18">
        <v>730067</v>
      </c>
      <c r="J61" s="18">
        <v>633784</v>
      </c>
      <c r="K61" s="18">
        <v>2111012</v>
      </c>
      <c r="L61" s="18">
        <v>193573</v>
      </c>
      <c r="M61" s="18">
        <v>67765</v>
      </c>
      <c r="N61" s="18">
        <f t="shared" si="4"/>
        <v>3736201</v>
      </c>
    </row>
    <row r="62" spans="1:14" x14ac:dyDescent="0.25">
      <c r="A62" s="19" t="s">
        <v>14</v>
      </c>
      <c r="B62" s="15">
        <v>147868.84</v>
      </c>
      <c r="C62" s="15">
        <v>93491.01</v>
      </c>
      <c r="D62" s="15">
        <v>190404.9</v>
      </c>
      <c r="E62" s="15">
        <v>20568.810000000001</v>
      </c>
      <c r="F62" s="15">
        <v>8833.5499999999993</v>
      </c>
      <c r="G62" s="15">
        <f t="shared" si="3"/>
        <v>461167.11</v>
      </c>
      <c r="I62" s="18">
        <v>821490</v>
      </c>
      <c r="J62" s="18">
        <v>708265</v>
      </c>
      <c r="K62" s="18">
        <v>2188564</v>
      </c>
      <c r="L62" s="18">
        <v>199698</v>
      </c>
      <c r="M62" s="18">
        <v>73004</v>
      </c>
      <c r="N62" s="18">
        <f t="shared" si="4"/>
        <v>3991021</v>
      </c>
    </row>
    <row r="63" spans="1:14" x14ac:dyDescent="0.25">
      <c r="A63" s="19" t="s">
        <v>15</v>
      </c>
      <c r="B63" s="15">
        <v>106367.3</v>
      </c>
      <c r="C63" s="15">
        <v>71798.720000000001</v>
      </c>
      <c r="D63" s="15">
        <v>145917.93</v>
      </c>
      <c r="E63" s="15">
        <v>18040.490000000002</v>
      </c>
      <c r="F63" s="15">
        <v>7187.48</v>
      </c>
      <c r="G63" s="15">
        <f t="shared" si="3"/>
        <v>349311.92</v>
      </c>
      <c r="I63" s="18">
        <v>590926</v>
      </c>
      <c r="J63" s="18">
        <v>543928</v>
      </c>
      <c r="K63" s="18">
        <v>1677217</v>
      </c>
      <c r="L63" s="18">
        <v>175150</v>
      </c>
      <c r="M63" s="18">
        <v>59401</v>
      </c>
      <c r="N63" s="18">
        <f t="shared" si="4"/>
        <v>3046622</v>
      </c>
    </row>
    <row r="64" spans="1:14" x14ac:dyDescent="0.25">
      <c r="A64" s="19" t="s">
        <v>16</v>
      </c>
      <c r="B64" s="15">
        <v>86539.95</v>
      </c>
      <c r="C64" s="15">
        <v>63291.61</v>
      </c>
      <c r="D64" s="15">
        <v>144633.93</v>
      </c>
      <c r="E64" s="15">
        <v>19751.66</v>
      </c>
      <c r="F64" s="15">
        <v>8862.4699999999993</v>
      </c>
      <c r="G64" s="15">
        <f t="shared" si="3"/>
        <v>323079.61999999994</v>
      </c>
      <c r="I64" s="18">
        <v>480774</v>
      </c>
      <c r="J64" s="18">
        <v>479481</v>
      </c>
      <c r="K64" s="18">
        <v>1662467</v>
      </c>
      <c r="L64" s="18">
        <v>191764</v>
      </c>
      <c r="M64" s="18">
        <v>73244</v>
      </c>
      <c r="N64" s="18">
        <f t="shared" si="4"/>
        <v>2887730</v>
      </c>
    </row>
    <row r="65" spans="1:14" x14ac:dyDescent="0.25">
      <c r="A65" s="19" t="s">
        <v>17</v>
      </c>
      <c r="B65" s="15">
        <v>102080.37</v>
      </c>
      <c r="C65" s="15">
        <v>72020.75</v>
      </c>
      <c r="D65" s="15">
        <v>141988.88</v>
      </c>
      <c r="E65" s="15">
        <v>24178.36</v>
      </c>
      <c r="F65" s="15">
        <v>9286.7999999999993</v>
      </c>
      <c r="G65" s="15">
        <f t="shared" si="3"/>
        <v>349555.16</v>
      </c>
      <c r="I65" s="18">
        <v>567107</v>
      </c>
      <c r="J65" s="18">
        <v>545614</v>
      </c>
      <c r="K65" s="18">
        <v>1632058</v>
      </c>
      <c r="L65" s="18">
        <v>234741</v>
      </c>
      <c r="M65" s="18">
        <v>76750</v>
      </c>
      <c r="N65" s="18">
        <f t="shared" si="4"/>
        <v>3056270</v>
      </c>
    </row>
    <row r="66" spans="1:14" x14ac:dyDescent="0.25">
      <c r="A66" s="19" t="s">
        <v>18</v>
      </c>
      <c r="B66" s="15">
        <v>114981.05</v>
      </c>
      <c r="C66" s="15">
        <v>82175</v>
      </c>
      <c r="D66" s="15">
        <v>195011.78</v>
      </c>
      <c r="E66" s="15">
        <v>33787.51</v>
      </c>
      <c r="F66" s="15">
        <v>14020.31</v>
      </c>
      <c r="G66" s="15">
        <f t="shared" si="3"/>
        <v>439975.64999999997</v>
      </c>
      <c r="I66" s="18">
        <v>638779</v>
      </c>
      <c r="J66" s="18">
        <v>622538</v>
      </c>
      <c r="K66" s="18">
        <v>2241515</v>
      </c>
      <c r="L66" s="18">
        <v>328035</v>
      </c>
      <c r="M66" s="18">
        <v>115870</v>
      </c>
      <c r="N66" s="18">
        <f t="shared" si="4"/>
        <v>3946737</v>
      </c>
    </row>
    <row r="67" spans="1:14" x14ac:dyDescent="0.25">
      <c r="B67" s="20">
        <f t="shared" ref="B67:G67" si="5">SUM(B55:B66)</f>
        <v>1291038.7</v>
      </c>
      <c r="C67" s="20">
        <f t="shared" si="5"/>
        <v>894427.87999999989</v>
      </c>
      <c r="D67" s="20">
        <f t="shared" si="5"/>
        <v>1923489.1099999996</v>
      </c>
      <c r="E67" s="20">
        <f t="shared" si="5"/>
        <v>293432.39</v>
      </c>
      <c r="F67" s="20">
        <f t="shared" si="5"/>
        <v>118202.88</v>
      </c>
      <c r="G67" s="20">
        <f t="shared" si="5"/>
        <v>4520590.96</v>
      </c>
      <c r="I67" s="20">
        <f t="shared" ref="I67:N67" si="6">SUM(I55:I66)</f>
        <v>7237467</v>
      </c>
      <c r="J67" s="20">
        <f t="shared" si="6"/>
        <v>6845495</v>
      </c>
      <c r="K67" s="20">
        <f t="shared" si="6"/>
        <v>22462992</v>
      </c>
      <c r="L67" s="20">
        <f t="shared" si="6"/>
        <v>2896100</v>
      </c>
      <c r="M67" s="20">
        <f t="shared" si="6"/>
        <v>994926</v>
      </c>
      <c r="N67" s="45">
        <f t="shared" si="6"/>
        <v>40436980</v>
      </c>
    </row>
    <row r="69" spans="1:14" x14ac:dyDescent="0.25">
      <c r="I69" s="21"/>
      <c r="J69" s="21"/>
      <c r="K69" s="21"/>
      <c r="L69" s="21"/>
      <c r="M69" s="21"/>
      <c r="N69" s="22"/>
    </row>
    <row r="70" spans="1:14" x14ac:dyDescent="0.25">
      <c r="J70" s="21"/>
    </row>
  </sheetData>
  <pageMargins left="0.7" right="0.7" top="0.75" bottom="0.75" header="0.3" footer="0.3"/>
  <pageSetup paperSize="5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view="pageBreakPreview" zoomScale="60" zoomScaleNormal="100" workbookViewId="0">
      <selection activeCell="J4" sqref="J4"/>
    </sheetView>
  </sheetViews>
  <sheetFormatPr defaultRowHeight="15" x14ac:dyDescent="0.25"/>
  <cols>
    <col min="1" max="1" width="22.42578125" customWidth="1"/>
    <col min="2" max="2" width="13.85546875" customWidth="1"/>
    <col min="3" max="3" width="15" customWidth="1"/>
    <col min="4" max="4" width="18.5703125" customWidth="1"/>
    <col min="5" max="5" width="15.140625" customWidth="1"/>
    <col min="6" max="6" width="14.5703125" customWidth="1"/>
    <col min="7" max="8" width="13.28515625" customWidth="1"/>
    <col min="9" max="10" width="19.7109375" customWidth="1"/>
    <col min="11" max="11" width="20.7109375" customWidth="1"/>
    <col min="12" max="13" width="15.42578125" customWidth="1"/>
    <col min="14" max="14" width="15.85546875" customWidth="1"/>
  </cols>
  <sheetData>
    <row r="2" spans="1:13" x14ac:dyDescent="0.25">
      <c r="A2" t="s">
        <v>113</v>
      </c>
    </row>
    <row r="4" spans="1:13" ht="18.75" x14ac:dyDescent="0.3">
      <c r="A4" s="3" t="s">
        <v>34</v>
      </c>
      <c r="J4" t="s">
        <v>111</v>
      </c>
    </row>
    <row r="6" spans="1:13" x14ac:dyDescent="0.25">
      <c r="F6" s="47"/>
      <c r="G6" s="47"/>
      <c r="H6" s="47"/>
      <c r="I6" s="47"/>
      <c r="J6" s="47"/>
      <c r="K6" s="47"/>
      <c r="L6" s="47"/>
      <c r="M6" s="47"/>
    </row>
    <row r="7" spans="1:13" x14ac:dyDescent="0.25">
      <c r="B7" s="24" t="s">
        <v>35</v>
      </c>
      <c r="C7" s="24"/>
      <c r="D7" s="24"/>
      <c r="F7" s="47"/>
      <c r="G7" s="47"/>
      <c r="H7" s="47"/>
      <c r="I7" s="47"/>
      <c r="J7" s="47"/>
      <c r="K7" s="48"/>
      <c r="L7" s="47"/>
      <c r="M7" s="47"/>
    </row>
    <row r="8" spans="1:13" x14ac:dyDescent="0.25">
      <c r="D8" s="6" t="s">
        <v>3</v>
      </c>
      <c r="F8" s="47"/>
      <c r="G8" s="48"/>
      <c r="H8" s="49"/>
      <c r="I8" s="47"/>
      <c r="J8" s="47"/>
      <c r="K8" s="48"/>
      <c r="L8" s="49"/>
      <c r="M8" s="47"/>
    </row>
    <row r="9" spans="1:13" ht="18.75" x14ac:dyDescent="0.3">
      <c r="A9" s="3" t="s">
        <v>36</v>
      </c>
      <c r="B9" s="6" t="s">
        <v>37</v>
      </c>
      <c r="C9" s="6" t="s">
        <v>38</v>
      </c>
      <c r="D9" s="6" t="s">
        <v>6</v>
      </c>
      <c r="F9" s="47"/>
      <c r="G9" s="49"/>
      <c r="H9" s="49"/>
      <c r="I9" s="47"/>
      <c r="J9" s="47"/>
      <c r="K9" s="49"/>
      <c r="L9" s="49"/>
      <c r="M9" s="47"/>
    </row>
    <row r="10" spans="1:13" x14ac:dyDescent="0.25">
      <c r="A10" s="26" t="s">
        <v>39</v>
      </c>
      <c r="B10" s="15">
        <v>3990833.4</v>
      </c>
      <c r="C10">
        <v>40.950000000000003</v>
      </c>
      <c r="D10" s="15">
        <f>+B10*C10/1000</f>
        <v>163424.62773000001</v>
      </c>
      <c r="F10" s="47"/>
      <c r="G10" s="47"/>
      <c r="H10" s="32"/>
      <c r="I10" s="47"/>
      <c r="J10" s="47"/>
      <c r="K10" s="47"/>
      <c r="L10" s="32"/>
      <c r="M10" s="47"/>
    </row>
    <row r="11" spans="1:13" x14ac:dyDescent="0.25">
      <c r="A11" s="27" t="s">
        <v>40</v>
      </c>
      <c r="B11" s="15">
        <v>3782913.42</v>
      </c>
      <c r="C11">
        <v>57.4</v>
      </c>
      <c r="D11" s="15">
        <f t="shared" ref="D11:D21" si="0">+B11*C11/1000</f>
        <v>217139.230308</v>
      </c>
      <c r="F11" s="47"/>
      <c r="G11" s="47"/>
      <c r="H11" s="32"/>
      <c r="I11" s="47"/>
      <c r="J11" s="47"/>
      <c r="K11" s="47"/>
      <c r="L11" s="32"/>
      <c r="M11" s="47"/>
    </row>
    <row r="12" spans="1:13" x14ac:dyDescent="0.25">
      <c r="A12" s="27" t="s">
        <v>41</v>
      </c>
      <c r="B12" s="15">
        <v>3482786.29</v>
      </c>
      <c r="C12">
        <v>92.68</v>
      </c>
      <c r="D12" s="15">
        <f t="shared" si="0"/>
        <v>322784.63335720001</v>
      </c>
      <c r="F12" s="47"/>
      <c r="G12" s="47"/>
      <c r="H12" s="32"/>
      <c r="I12" s="47"/>
      <c r="J12" s="47"/>
      <c r="K12" s="47"/>
      <c r="L12" s="32"/>
      <c r="M12" s="47"/>
    </row>
    <row r="13" spans="1:13" x14ac:dyDescent="0.25">
      <c r="A13" s="27" t="s">
        <v>42</v>
      </c>
      <c r="B13" s="15">
        <v>2866882.72</v>
      </c>
      <c r="C13">
        <v>97.3</v>
      </c>
      <c r="D13" s="15">
        <f t="shared" si="0"/>
        <v>278947.68865600001</v>
      </c>
      <c r="F13" s="47"/>
      <c r="G13" s="47"/>
      <c r="H13" s="32"/>
      <c r="I13" s="47"/>
      <c r="J13" s="47"/>
      <c r="K13" s="47"/>
      <c r="L13" s="32"/>
      <c r="M13" s="47"/>
    </row>
    <row r="14" spans="1:13" x14ac:dyDescent="0.25">
      <c r="A14" s="27" t="s">
        <v>43</v>
      </c>
      <c r="B14" s="15">
        <v>2621142.7799999998</v>
      </c>
      <c r="C14">
        <v>97.68</v>
      </c>
      <c r="D14" s="15">
        <f t="shared" si="0"/>
        <v>256033.2267504</v>
      </c>
      <c r="F14" s="47"/>
      <c r="G14" s="47"/>
      <c r="H14" s="32"/>
      <c r="I14" s="47"/>
      <c r="J14" s="47"/>
      <c r="K14" s="47"/>
      <c r="L14" s="32"/>
      <c r="M14" s="47"/>
    </row>
    <row r="15" spans="1:13" x14ac:dyDescent="0.25">
      <c r="A15" s="27" t="s">
        <v>44</v>
      </c>
      <c r="B15" s="15">
        <v>2646251.71</v>
      </c>
      <c r="C15">
        <v>84.13</v>
      </c>
      <c r="D15" s="15">
        <f t="shared" si="0"/>
        <v>222629.15636229998</v>
      </c>
      <c r="F15" s="47"/>
      <c r="G15" s="47"/>
      <c r="H15" s="32"/>
      <c r="I15" s="47"/>
      <c r="J15" s="47"/>
      <c r="K15" s="47"/>
      <c r="L15" s="32"/>
      <c r="M15" s="47"/>
    </row>
    <row r="16" spans="1:13" x14ac:dyDescent="0.25">
      <c r="A16" s="27" t="s">
        <v>45</v>
      </c>
      <c r="B16" s="15">
        <v>3176491.45</v>
      </c>
      <c r="C16">
        <v>73.55</v>
      </c>
      <c r="D16" s="15">
        <f t="shared" si="0"/>
        <v>233630.94614750001</v>
      </c>
      <c r="F16" s="47"/>
      <c r="G16" s="47"/>
      <c r="H16" s="32"/>
      <c r="I16" s="47"/>
      <c r="J16" s="47"/>
      <c r="K16" s="47"/>
      <c r="L16" s="32"/>
      <c r="M16" s="47"/>
    </row>
    <row r="17" spans="1:13" x14ac:dyDescent="0.25">
      <c r="A17" s="27" t="s">
        <v>46</v>
      </c>
      <c r="B17" s="15">
        <v>3127946.07</v>
      </c>
      <c r="C17">
        <v>71.91</v>
      </c>
      <c r="D17" s="15">
        <f t="shared" si="0"/>
        <v>224930.60189369996</v>
      </c>
      <c r="F17" s="47"/>
      <c r="G17" s="47"/>
      <c r="H17" s="32"/>
      <c r="I17" s="47"/>
      <c r="J17" s="47"/>
      <c r="K17" s="47"/>
      <c r="L17" s="32"/>
      <c r="M17" s="47"/>
    </row>
    <row r="18" spans="1:13" x14ac:dyDescent="0.25">
      <c r="A18" s="28" t="s">
        <v>47</v>
      </c>
      <c r="B18" s="10">
        <v>2889153.85</v>
      </c>
      <c r="C18" s="7">
        <v>71.930000000000007</v>
      </c>
      <c r="D18" s="10">
        <f t="shared" si="0"/>
        <v>207816.83643050003</v>
      </c>
      <c r="F18" s="47"/>
      <c r="G18" s="47"/>
      <c r="H18" s="32"/>
      <c r="I18" s="47"/>
      <c r="J18" s="47"/>
      <c r="K18" s="47"/>
      <c r="L18" s="32"/>
      <c r="M18" s="47"/>
    </row>
    <row r="19" spans="1:13" x14ac:dyDescent="0.25">
      <c r="A19" s="28" t="s">
        <v>48</v>
      </c>
      <c r="B19" s="10">
        <v>2711303.37</v>
      </c>
      <c r="C19" s="7">
        <v>124.48</v>
      </c>
      <c r="D19" s="10">
        <f t="shared" si="0"/>
        <v>337503.04349760001</v>
      </c>
      <c r="F19" s="47"/>
      <c r="G19" s="47"/>
      <c r="H19" s="32"/>
      <c r="I19" s="47"/>
      <c r="J19" s="47"/>
      <c r="K19" s="47"/>
      <c r="L19" s="32"/>
      <c r="M19" s="47"/>
    </row>
    <row r="20" spans="1:13" x14ac:dyDescent="0.25">
      <c r="A20" s="27" t="s">
        <v>49</v>
      </c>
      <c r="B20" s="15">
        <v>2899430.9</v>
      </c>
      <c r="C20">
        <v>88.09</v>
      </c>
      <c r="D20" s="15">
        <f t="shared" si="0"/>
        <v>255410.86798100002</v>
      </c>
      <c r="F20" s="47"/>
      <c r="G20" s="47"/>
      <c r="H20" s="32"/>
      <c r="I20" s="47"/>
      <c r="J20" s="47"/>
      <c r="K20" s="47"/>
      <c r="L20" s="32"/>
      <c r="M20" s="47"/>
    </row>
    <row r="21" spans="1:13" x14ac:dyDescent="0.25">
      <c r="A21" s="27" t="s">
        <v>50</v>
      </c>
      <c r="B21" s="15">
        <v>3357149.47</v>
      </c>
      <c r="C21">
        <v>92.14</v>
      </c>
      <c r="D21" s="15">
        <f t="shared" si="0"/>
        <v>309327.75216580002</v>
      </c>
      <c r="F21" s="47"/>
      <c r="G21" s="47"/>
      <c r="H21" s="32"/>
      <c r="I21" s="47"/>
      <c r="J21" s="47"/>
      <c r="K21" s="47"/>
      <c r="L21" s="32"/>
      <c r="M21" s="47"/>
    </row>
    <row r="22" spans="1:13" x14ac:dyDescent="0.25">
      <c r="B22" s="20">
        <f t="shared" ref="B22" si="1">SUM(B10:B21)</f>
        <v>37552285.43</v>
      </c>
      <c r="D22" s="29">
        <f>SUM(D10:D21)</f>
        <v>3029578.6112800003</v>
      </c>
      <c r="F22" s="47"/>
      <c r="G22" s="47"/>
      <c r="H22" s="32"/>
      <c r="I22" s="47"/>
      <c r="J22" s="47"/>
      <c r="K22" s="47"/>
      <c r="L22" s="32"/>
      <c r="M22" s="47"/>
    </row>
    <row r="23" spans="1:13" x14ac:dyDescent="0.25"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t="s">
        <v>19</v>
      </c>
      <c r="F24" s="47"/>
      <c r="G24" s="47"/>
      <c r="H24" s="47"/>
      <c r="I24" s="47"/>
      <c r="J24" s="47"/>
      <c r="K24" s="47"/>
      <c r="L24" s="47"/>
      <c r="M24" s="47"/>
    </row>
    <row r="26" spans="1:13" x14ac:dyDescent="0.25">
      <c r="F26" s="44"/>
      <c r="G26" s="2"/>
      <c r="H26" s="2"/>
    </row>
    <row r="27" spans="1:13" x14ac:dyDescent="0.25">
      <c r="C27" s="6" t="s">
        <v>21</v>
      </c>
      <c r="D27" s="6" t="s">
        <v>3</v>
      </c>
      <c r="F27" s="44"/>
      <c r="G27" s="44"/>
      <c r="H27" s="2"/>
    </row>
    <row r="28" spans="1:13" ht="18.75" x14ac:dyDescent="0.3">
      <c r="A28" s="3" t="s">
        <v>36</v>
      </c>
      <c r="B28" s="6" t="s">
        <v>22</v>
      </c>
      <c r="C28" s="6" t="s">
        <v>51</v>
      </c>
      <c r="D28" s="6" t="s">
        <v>6</v>
      </c>
      <c r="F28" s="44"/>
      <c r="G28" s="44"/>
      <c r="H28" s="2"/>
    </row>
    <row r="29" spans="1:13" x14ac:dyDescent="0.25">
      <c r="A29" s="26" t="s">
        <v>39</v>
      </c>
      <c r="B29" s="15">
        <v>4142229</v>
      </c>
      <c r="C29" s="30">
        <v>61.61</v>
      </c>
      <c r="D29" s="15">
        <f>+B29*C29/1000</f>
        <v>255202.72868999999</v>
      </c>
      <c r="F29" s="2"/>
      <c r="G29" s="13"/>
      <c r="H29" s="2"/>
    </row>
    <row r="30" spans="1:13" x14ac:dyDescent="0.25">
      <c r="A30" s="27" t="s">
        <v>40</v>
      </c>
      <c r="B30" s="15">
        <v>3976602</v>
      </c>
      <c r="C30" s="30">
        <v>40.950000000000003</v>
      </c>
      <c r="D30" s="15">
        <f t="shared" ref="D30:D40" si="2">+B30*C30/1000</f>
        <v>162841.85190000001</v>
      </c>
      <c r="F30" s="2"/>
      <c r="G30" s="13"/>
      <c r="H30" s="2"/>
    </row>
    <row r="31" spans="1:13" x14ac:dyDescent="0.25">
      <c r="A31" s="27" t="s">
        <v>41</v>
      </c>
      <c r="B31" s="15">
        <v>3623745</v>
      </c>
      <c r="C31" s="30">
        <v>57.4</v>
      </c>
      <c r="D31" s="15">
        <f t="shared" si="2"/>
        <v>208002.96299999999</v>
      </c>
      <c r="F31" s="2"/>
      <c r="G31" s="13"/>
      <c r="H31" s="2"/>
    </row>
    <row r="32" spans="1:13" x14ac:dyDescent="0.25">
      <c r="A32" s="27" t="s">
        <v>42</v>
      </c>
      <c r="B32" s="15">
        <v>3068198</v>
      </c>
      <c r="C32" s="30">
        <v>92.68</v>
      </c>
      <c r="D32" s="15">
        <f t="shared" si="2"/>
        <v>284360.59064000007</v>
      </c>
      <c r="F32" s="2"/>
      <c r="G32" s="13"/>
      <c r="H32" s="2"/>
    </row>
    <row r="33" spans="1:8" x14ac:dyDescent="0.25">
      <c r="A33" s="27" t="s">
        <v>43</v>
      </c>
      <c r="B33" s="15">
        <v>2830620</v>
      </c>
      <c r="C33" s="30">
        <v>97.3</v>
      </c>
      <c r="D33" s="15">
        <f t="shared" si="2"/>
        <v>275419.326</v>
      </c>
      <c r="F33" s="2"/>
      <c r="G33" s="13"/>
      <c r="H33" s="2"/>
    </row>
    <row r="34" spans="1:8" x14ac:dyDescent="0.25">
      <c r="A34" s="27" t="s">
        <v>44</v>
      </c>
      <c r="B34" s="15">
        <v>2838106</v>
      </c>
      <c r="C34" s="30">
        <v>97.68</v>
      </c>
      <c r="D34" s="15">
        <f t="shared" si="2"/>
        <v>277226.19408000004</v>
      </c>
      <c r="F34" s="2"/>
      <c r="G34" s="13"/>
      <c r="H34" s="2"/>
    </row>
    <row r="35" spans="1:8" x14ac:dyDescent="0.25">
      <c r="A35" s="27" t="s">
        <v>45</v>
      </c>
      <c r="B35" s="15">
        <v>3410194</v>
      </c>
      <c r="C35" s="30">
        <v>84.13</v>
      </c>
      <c r="D35" s="15">
        <f t="shared" si="2"/>
        <v>286899.62121999997</v>
      </c>
      <c r="F35" s="2"/>
      <c r="G35" s="13"/>
      <c r="H35" s="2"/>
    </row>
    <row r="36" spans="1:8" x14ac:dyDescent="0.25">
      <c r="A36" s="27" t="s">
        <v>46</v>
      </c>
      <c r="B36" s="15">
        <v>3320558</v>
      </c>
      <c r="C36" s="30">
        <v>73.55</v>
      </c>
      <c r="D36" s="15">
        <f t="shared" si="2"/>
        <v>244227.04089999996</v>
      </c>
      <c r="F36" s="2"/>
      <c r="G36" s="13"/>
      <c r="H36" s="2"/>
    </row>
    <row r="37" spans="1:8" x14ac:dyDescent="0.25">
      <c r="A37" s="27" t="s">
        <v>47</v>
      </c>
      <c r="B37" s="15">
        <v>3128606</v>
      </c>
      <c r="C37" s="30">
        <v>71.91</v>
      </c>
      <c r="D37" s="15">
        <f t="shared" si="2"/>
        <v>224978.05745999998</v>
      </c>
      <c r="F37" s="2"/>
      <c r="G37" s="13"/>
      <c r="H37" s="2"/>
    </row>
    <row r="38" spans="1:8" x14ac:dyDescent="0.25">
      <c r="A38" s="27" t="s">
        <v>48</v>
      </c>
      <c r="B38" s="15">
        <v>2891370</v>
      </c>
      <c r="C38" s="30">
        <v>71.930000000000007</v>
      </c>
      <c r="D38" s="15">
        <f t="shared" si="2"/>
        <v>207976.24410000001</v>
      </c>
      <c r="F38" s="2"/>
      <c r="G38" s="13"/>
      <c r="H38" s="2"/>
    </row>
    <row r="39" spans="1:8" x14ac:dyDescent="0.25">
      <c r="A39" s="27" t="s">
        <v>49</v>
      </c>
      <c r="B39" s="15">
        <v>3074331</v>
      </c>
      <c r="C39" s="30">
        <v>124.48</v>
      </c>
      <c r="D39" s="15">
        <f t="shared" si="2"/>
        <v>382692.72288000002</v>
      </c>
      <c r="F39" s="2"/>
      <c r="G39" s="13"/>
      <c r="H39" s="2"/>
    </row>
    <row r="40" spans="1:8" x14ac:dyDescent="0.25">
      <c r="A40" s="27" t="s">
        <v>50</v>
      </c>
      <c r="B40" s="15">
        <v>3482354</v>
      </c>
      <c r="C40" s="30">
        <v>88.09</v>
      </c>
      <c r="D40" s="15">
        <f t="shared" si="2"/>
        <v>306760.56385999999</v>
      </c>
      <c r="F40" s="2"/>
      <c r="G40" s="13"/>
      <c r="H40" s="2"/>
    </row>
    <row r="41" spans="1:8" x14ac:dyDescent="0.25">
      <c r="B41" s="31">
        <f>SUM(B29:B40)</f>
        <v>39786913</v>
      </c>
      <c r="D41" s="29">
        <f>SUM(D29:D40)</f>
        <v>3116587.9047300005</v>
      </c>
      <c r="F41" s="2"/>
      <c r="G41" s="13"/>
      <c r="H41" s="2"/>
    </row>
    <row r="42" spans="1:8" x14ac:dyDescent="0.25">
      <c r="B42" s="32"/>
      <c r="D42" s="32"/>
      <c r="F42" s="2"/>
      <c r="G42" s="2"/>
      <c r="H42" s="2"/>
    </row>
    <row r="43" spans="1:8" x14ac:dyDescent="0.25">
      <c r="A43" t="s">
        <v>23</v>
      </c>
      <c r="B43" s="32"/>
      <c r="D43" s="32"/>
      <c r="F43" s="2"/>
      <c r="G43" s="2"/>
      <c r="H43" s="2"/>
    </row>
    <row r="44" spans="1:8" x14ac:dyDescent="0.25">
      <c r="A44" t="s">
        <v>24</v>
      </c>
    </row>
    <row r="47" spans="1:8" x14ac:dyDescent="0.25">
      <c r="A47" s="43" t="s">
        <v>62</v>
      </c>
      <c r="B47" s="43"/>
      <c r="C47" s="43"/>
    </row>
    <row r="48" spans="1:8" x14ac:dyDescent="0.25">
      <c r="A48" s="43" t="s">
        <v>63</v>
      </c>
      <c r="B48" s="43"/>
      <c r="C48" s="42">
        <f>+D41</f>
        <v>3116587.9047300005</v>
      </c>
    </row>
    <row r="49" spans="1:14" x14ac:dyDescent="0.25">
      <c r="A49" s="43" t="s">
        <v>64</v>
      </c>
      <c r="B49" s="43"/>
      <c r="C49" s="42">
        <f>+D22</f>
        <v>3029578.6112800003</v>
      </c>
    </row>
    <row r="50" spans="1:14" x14ac:dyDescent="0.25">
      <c r="A50" s="43"/>
      <c r="B50" s="43"/>
      <c r="C50" s="29">
        <f>+C48-C49</f>
        <v>87009.29345000023</v>
      </c>
    </row>
    <row r="54" spans="1:14" ht="18.75" x14ac:dyDescent="0.3">
      <c r="A54" s="3" t="s">
        <v>52</v>
      </c>
    </row>
    <row r="56" spans="1:14" x14ac:dyDescent="0.25">
      <c r="B56" s="16" t="s">
        <v>26</v>
      </c>
      <c r="C56" s="16"/>
      <c r="D56" s="16"/>
      <c r="E56" s="16"/>
      <c r="F56" s="16"/>
      <c r="G56" s="16"/>
      <c r="I56" s="16" t="s">
        <v>27</v>
      </c>
      <c r="J56" s="16"/>
      <c r="K56" s="16"/>
      <c r="L56" s="16"/>
      <c r="M56" s="16"/>
      <c r="N56" s="16"/>
    </row>
    <row r="57" spans="1:14" x14ac:dyDescent="0.25">
      <c r="A57" s="25" t="s">
        <v>53</v>
      </c>
      <c r="B57" s="6" t="s">
        <v>28</v>
      </c>
      <c r="C57" s="6" t="s">
        <v>29</v>
      </c>
      <c r="D57" s="6" t="s">
        <v>30</v>
      </c>
      <c r="E57" s="6" t="s">
        <v>31</v>
      </c>
      <c r="F57" s="6" t="s">
        <v>32</v>
      </c>
      <c r="G57" s="6" t="s">
        <v>33</v>
      </c>
      <c r="I57" s="6" t="s">
        <v>28</v>
      </c>
      <c r="J57" s="6" t="s">
        <v>29</v>
      </c>
      <c r="K57" s="6" t="s">
        <v>30</v>
      </c>
      <c r="L57" s="6" t="s">
        <v>31</v>
      </c>
      <c r="M57" s="6" t="s">
        <v>32</v>
      </c>
      <c r="N57" s="6" t="s">
        <v>33</v>
      </c>
    </row>
    <row r="58" spans="1:14" x14ac:dyDescent="0.25">
      <c r="A58" s="26" t="s">
        <v>39</v>
      </c>
      <c r="B58" s="15">
        <v>99253.14</v>
      </c>
      <c r="C58" s="15">
        <v>77385.69</v>
      </c>
      <c r="D58" s="15">
        <v>177752.48</v>
      </c>
      <c r="E58" s="15">
        <v>24199.02</v>
      </c>
      <c r="F58" s="15">
        <v>17615.080000000002</v>
      </c>
      <c r="G58" s="15">
        <f>SUM(B58:F58)</f>
        <v>396205.41000000009</v>
      </c>
      <c r="I58" s="33">
        <v>708949</v>
      </c>
      <c r="J58" s="33">
        <v>678821</v>
      </c>
      <c r="K58" s="33">
        <v>2308450</v>
      </c>
      <c r="L58" s="33">
        <v>274989</v>
      </c>
      <c r="M58" s="33">
        <v>171020</v>
      </c>
      <c r="N58" s="33">
        <f>SUM(I58:M58)</f>
        <v>4142229</v>
      </c>
    </row>
    <row r="59" spans="1:14" x14ac:dyDescent="0.25">
      <c r="A59" s="27" t="s">
        <v>40</v>
      </c>
      <c r="B59" s="15">
        <v>91125.58</v>
      </c>
      <c r="C59" s="15">
        <v>70456.460000000006</v>
      </c>
      <c r="D59" s="15">
        <v>169972.42</v>
      </c>
      <c r="E59" s="15">
        <v>27314.55</v>
      </c>
      <c r="F59" s="15">
        <v>19555.88</v>
      </c>
      <c r="G59" s="15">
        <f t="shared" ref="G59:G69" si="3">SUM(B59:F59)</f>
        <v>378424.89</v>
      </c>
      <c r="I59" s="33">
        <v>650896</v>
      </c>
      <c r="J59" s="33">
        <v>618041</v>
      </c>
      <c r="K59" s="33">
        <v>2207409</v>
      </c>
      <c r="L59" s="33">
        <v>310393</v>
      </c>
      <c r="M59" s="33">
        <v>189863</v>
      </c>
      <c r="N59" s="33">
        <f t="shared" ref="N59:N69" si="4">SUM(I59:M59)</f>
        <v>3976602</v>
      </c>
    </row>
    <row r="60" spans="1:14" x14ac:dyDescent="0.25">
      <c r="A60" s="27" t="s">
        <v>41</v>
      </c>
      <c r="B60" s="15">
        <v>87566.51</v>
      </c>
      <c r="C60" s="15">
        <v>68924.25</v>
      </c>
      <c r="D60" s="15">
        <v>152696.53</v>
      </c>
      <c r="E60" s="15">
        <v>25540.41</v>
      </c>
      <c r="F60" s="15">
        <v>12400.69</v>
      </c>
      <c r="G60" s="15">
        <f t="shared" si="3"/>
        <v>347128.39</v>
      </c>
      <c r="I60" s="33">
        <v>625473</v>
      </c>
      <c r="J60" s="33">
        <v>604599</v>
      </c>
      <c r="K60" s="33">
        <v>1983046</v>
      </c>
      <c r="L60" s="33">
        <v>290232</v>
      </c>
      <c r="M60" s="33">
        <v>120395</v>
      </c>
      <c r="N60" s="33">
        <f t="shared" si="4"/>
        <v>3623745</v>
      </c>
    </row>
    <row r="61" spans="1:14" x14ac:dyDescent="0.25">
      <c r="A61" s="27" t="s">
        <v>42</v>
      </c>
      <c r="B61" s="15">
        <v>75733.47</v>
      </c>
      <c r="C61" s="15">
        <v>61138.54</v>
      </c>
      <c r="D61" s="15">
        <v>130893.82</v>
      </c>
      <c r="E61" s="15">
        <v>20023.650000000001</v>
      </c>
      <c r="F61" s="15">
        <v>6544.23</v>
      </c>
      <c r="G61" s="15">
        <f t="shared" si="3"/>
        <v>294333.71000000002</v>
      </c>
      <c r="I61" s="33">
        <v>540940</v>
      </c>
      <c r="J61" s="33">
        <v>536296</v>
      </c>
      <c r="K61" s="33">
        <v>1699885</v>
      </c>
      <c r="L61" s="33">
        <v>227541</v>
      </c>
      <c r="M61" s="33">
        <v>63536</v>
      </c>
      <c r="N61" s="33">
        <f t="shared" si="4"/>
        <v>3068198</v>
      </c>
    </row>
    <row r="62" spans="1:14" x14ac:dyDescent="0.25">
      <c r="A62" s="27" t="s">
        <v>43</v>
      </c>
      <c r="B62" s="15">
        <v>76190.429999999993</v>
      </c>
      <c r="C62" s="15">
        <v>56022.85</v>
      </c>
      <c r="D62" s="15">
        <v>129308.03</v>
      </c>
      <c r="E62" s="15">
        <v>17391.04</v>
      </c>
      <c r="F62" s="15">
        <v>10329.719999999999</v>
      </c>
      <c r="G62" s="15">
        <f t="shared" si="3"/>
        <v>289242.06999999995</v>
      </c>
      <c r="I62" s="33">
        <v>473623</v>
      </c>
      <c r="J62" s="33">
        <v>459373</v>
      </c>
      <c r="K62" s="33">
        <v>1616696</v>
      </c>
      <c r="L62" s="33">
        <v>185278</v>
      </c>
      <c r="M62" s="33">
        <v>95650</v>
      </c>
      <c r="N62" s="33">
        <f t="shared" si="4"/>
        <v>2830620</v>
      </c>
    </row>
    <row r="63" spans="1:14" x14ac:dyDescent="0.25">
      <c r="A63" s="27" t="s">
        <v>44</v>
      </c>
      <c r="B63" s="15">
        <v>90313.61</v>
      </c>
      <c r="C63" s="15">
        <v>64200.28</v>
      </c>
      <c r="D63" s="15">
        <v>121141.17</v>
      </c>
      <c r="E63" s="15">
        <v>16502.919999999998</v>
      </c>
      <c r="F63" s="15">
        <v>6716.95</v>
      </c>
      <c r="G63" s="15">
        <f t="shared" si="3"/>
        <v>298874.93</v>
      </c>
      <c r="I63" s="33">
        <v>560967</v>
      </c>
      <c r="J63" s="33">
        <v>526237</v>
      </c>
      <c r="K63" s="33">
        <v>1514276</v>
      </c>
      <c r="L63" s="33">
        <v>175563</v>
      </c>
      <c r="M63" s="33">
        <v>61063</v>
      </c>
      <c r="N63" s="33">
        <f t="shared" si="4"/>
        <v>2838106</v>
      </c>
    </row>
    <row r="64" spans="1:14" x14ac:dyDescent="0.25">
      <c r="A64" s="27" t="s">
        <v>45</v>
      </c>
      <c r="B64" s="15">
        <v>108166.34</v>
      </c>
      <c r="C64" s="15">
        <v>73568.100000000006</v>
      </c>
      <c r="D64" s="15">
        <v>151905.63</v>
      </c>
      <c r="E64" s="15">
        <v>17212.27</v>
      </c>
      <c r="F64" s="15">
        <v>5875.06</v>
      </c>
      <c r="G64" s="15">
        <f t="shared" si="3"/>
        <v>356727.4</v>
      </c>
      <c r="I64" s="33">
        <v>671840</v>
      </c>
      <c r="J64" s="33">
        <v>603013</v>
      </c>
      <c r="K64" s="33">
        <v>1898822</v>
      </c>
      <c r="L64" s="33">
        <v>183109</v>
      </c>
      <c r="M64" s="33">
        <v>53410</v>
      </c>
      <c r="N64" s="33">
        <f t="shared" si="4"/>
        <v>3410194</v>
      </c>
    </row>
    <row r="65" spans="1:14" x14ac:dyDescent="0.25">
      <c r="A65" s="27" t="s">
        <v>46</v>
      </c>
      <c r="B65" s="15">
        <v>96053.07</v>
      </c>
      <c r="C65" s="15">
        <v>65334.43</v>
      </c>
      <c r="D65" s="15">
        <v>156574.32999999999</v>
      </c>
      <c r="E65" s="15">
        <v>16960.84</v>
      </c>
      <c r="F65" s="15">
        <v>5589.38</v>
      </c>
      <c r="G65" s="15">
        <f t="shared" si="3"/>
        <v>340512.05</v>
      </c>
      <c r="I65" s="33">
        <v>596602</v>
      </c>
      <c r="J65" s="33">
        <v>535527</v>
      </c>
      <c r="K65" s="33">
        <v>1957182</v>
      </c>
      <c r="L65" s="33">
        <v>180434</v>
      </c>
      <c r="M65" s="33">
        <v>50813</v>
      </c>
      <c r="N65" s="33">
        <f t="shared" si="4"/>
        <v>3320558</v>
      </c>
    </row>
    <row r="66" spans="1:14" x14ac:dyDescent="0.25">
      <c r="A66" s="27" t="s">
        <v>47</v>
      </c>
      <c r="B66" s="15">
        <v>95144.15</v>
      </c>
      <c r="C66" s="15">
        <v>65994.539999999994</v>
      </c>
      <c r="D66" s="15">
        <v>137975.29999999999</v>
      </c>
      <c r="E66" s="15">
        <v>17132.36</v>
      </c>
      <c r="F66" s="15">
        <v>9873.75</v>
      </c>
      <c r="G66" s="15">
        <f t="shared" si="3"/>
        <v>326120.09999999998</v>
      </c>
      <c r="I66" s="33">
        <v>590958</v>
      </c>
      <c r="J66" s="33">
        <v>540938</v>
      </c>
      <c r="K66" s="33">
        <v>1724689</v>
      </c>
      <c r="L66" s="33">
        <v>182259</v>
      </c>
      <c r="M66" s="33">
        <v>89762</v>
      </c>
      <c r="N66" s="33">
        <f t="shared" si="4"/>
        <v>3128606</v>
      </c>
    </row>
    <row r="67" spans="1:14" x14ac:dyDescent="0.25">
      <c r="A67" s="27" t="s">
        <v>48</v>
      </c>
      <c r="B67" s="15">
        <v>78285.03</v>
      </c>
      <c r="C67" s="15">
        <v>60087.66</v>
      </c>
      <c r="D67" s="15">
        <v>130509.18</v>
      </c>
      <c r="E67" s="15">
        <v>18524.25</v>
      </c>
      <c r="F67" s="15">
        <v>9263.99</v>
      </c>
      <c r="G67" s="15">
        <f t="shared" si="3"/>
        <v>296670.11</v>
      </c>
      <c r="I67" s="33">
        <v>486231</v>
      </c>
      <c r="J67" s="33">
        <v>492514</v>
      </c>
      <c r="K67" s="33">
        <v>1631341</v>
      </c>
      <c r="L67" s="33">
        <v>197066</v>
      </c>
      <c r="M67" s="33">
        <v>84218</v>
      </c>
      <c r="N67" s="33">
        <f t="shared" si="4"/>
        <v>2891370</v>
      </c>
    </row>
    <row r="68" spans="1:14" x14ac:dyDescent="0.25">
      <c r="A68" s="27" t="s">
        <v>49</v>
      </c>
      <c r="B68" s="15">
        <v>94439.33</v>
      </c>
      <c r="C68" s="15">
        <v>66048.899999999994</v>
      </c>
      <c r="D68" s="15">
        <v>140770.82999999999</v>
      </c>
      <c r="E68" s="15">
        <v>24062.51</v>
      </c>
      <c r="F68" s="15">
        <v>9075.01</v>
      </c>
      <c r="G68" s="15">
        <f t="shared" si="3"/>
        <v>334396.57999999996</v>
      </c>
      <c r="I68" s="33">
        <v>540053</v>
      </c>
      <c r="J68" s="33">
        <v>516245</v>
      </c>
      <c r="K68" s="33">
        <v>1696737</v>
      </c>
      <c r="L68" s="33">
        <v>243063</v>
      </c>
      <c r="M68" s="33">
        <v>78233</v>
      </c>
      <c r="N68" s="33">
        <f t="shared" si="4"/>
        <v>3074331</v>
      </c>
    </row>
    <row r="69" spans="1:14" x14ac:dyDescent="0.25">
      <c r="A69" s="27" t="s">
        <v>50</v>
      </c>
      <c r="B69" s="15">
        <v>102107.98</v>
      </c>
      <c r="C69" s="15">
        <v>73175.210000000006</v>
      </c>
      <c r="D69" s="15">
        <v>159862.01999999999</v>
      </c>
      <c r="E69" s="15">
        <v>28736.2</v>
      </c>
      <c r="F69" s="15">
        <v>12780.6</v>
      </c>
      <c r="G69" s="15">
        <f t="shared" si="3"/>
        <v>376662.00999999995</v>
      </c>
      <c r="I69" s="33">
        <v>583402</v>
      </c>
      <c r="J69" s="33">
        <v>571639</v>
      </c>
      <c r="K69" s="33">
        <v>1925928</v>
      </c>
      <c r="L69" s="33">
        <v>290419</v>
      </c>
      <c r="M69" s="33">
        <v>110966</v>
      </c>
      <c r="N69" s="33">
        <f t="shared" si="4"/>
        <v>3482354</v>
      </c>
    </row>
    <row r="70" spans="1:14" x14ac:dyDescent="0.25">
      <c r="B70" s="20">
        <f>SUM(B58:B69)</f>
        <v>1094378.6399999999</v>
      </c>
      <c r="C70" s="20">
        <f t="shared" ref="C70:G70" si="5">SUM(C58:C69)</f>
        <v>802336.91</v>
      </c>
      <c r="D70" s="20">
        <f t="shared" si="5"/>
        <v>1759361.7400000002</v>
      </c>
      <c r="E70" s="20">
        <f t="shared" si="5"/>
        <v>253600.02000000002</v>
      </c>
      <c r="F70" s="20">
        <f t="shared" si="5"/>
        <v>125620.34000000001</v>
      </c>
      <c r="G70" s="20">
        <f t="shared" si="5"/>
        <v>4035297.6499999994</v>
      </c>
      <c r="I70" s="34">
        <f t="shared" ref="I70:N70" si="6">SUM(I58:I69)</f>
        <v>7029934</v>
      </c>
      <c r="J70" s="34">
        <f t="shared" si="6"/>
        <v>6683243</v>
      </c>
      <c r="K70" s="34">
        <f t="shared" si="6"/>
        <v>22164461</v>
      </c>
      <c r="L70" s="34">
        <f t="shared" si="6"/>
        <v>2740346</v>
      </c>
      <c r="M70" s="34">
        <f t="shared" si="6"/>
        <v>1168929</v>
      </c>
      <c r="N70" s="35">
        <f t="shared" si="6"/>
        <v>39786913</v>
      </c>
    </row>
  </sheetData>
  <pageMargins left="0.70866141732283472" right="0.70866141732283472" top="0.74803149606299213" bottom="0.74803149606299213" header="0.31496062992125984" footer="0.31496062992125984"/>
  <pageSetup paperSize="5" scale="68" fitToHeight="2" orientation="landscape" r:id="rId1"/>
  <rowBreaks count="1" manualBreakCount="1">
    <brk id="5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16" workbookViewId="0">
      <selection activeCell="A2" sqref="A2"/>
    </sheetView>
  </sheetViews>
  <sheetFormatPr defaultRowHeight="15" x14ac:dyDescent="0.25"/>
  <cols>
    <col min="1" max="1" width="18.85546875" customWidth="1"/>
    <col min="2" max="2" width="20.85546875" customWidth="1"/>
    <col min="3" max="3" width="20.28515625" customWidth="1"/>
    <col min="4" max="4" width="13.28515625" bestFit="1" customWidth="1"/>
    <col min="5" max="5" width="14.28515625" customWidth="1"/>
    <col min="8" max="8" width="26.140625" customWidth="1"/>
    <col min="9" max="9" width="17.5703125" customWidth="1"/>
    <col min="10" max="10" width="15.42578125" customWidth="1"/>
    <col min="11" max="11" width="13.7109375" customWidth="1"/>
    <col min="12" max="12" width="13" customWidth="1"/>
  </cols>
  <sheetData>
    <row r="1" spans="1:12" x14ac:dyDescent="0.25">
      <c r="A1" t="s">
        <v>113</v>
      </c>
      <c r="J1" t="s">
        <v>110</v>
      </c>
    </row>
    <row r="4" spans="1:12" x14ac:dyDescent="0.25">
      <c r="B4" s="36" t="s">
        <v>54</v>
      </c>
      <c r="C4" s="16"/>
      <c r="D4" s="16"/>
      <c r="E4" s="16"/>
      <c r="I4" s="38" t="s">
        <v>57</v>
      </c>
      <c r="J4" s="38"/>
      <c r="K4" s="38"/>
      <c r="L4" s="38"/>
    </row>
    <row r="5" spans="1:12" x14ac:dyDescent="0.25">
      <c r="A5" s="39">
        <v>2015</v>
      </c>
      <c r="B5" s="6" t="s">
        <v>61</v>
      </c>
      <c r="C5" s="6" t="s">
        <v>59</v>
      </c>
      <c r="D5" s="6" t="s">
        <v>33</v>
      </c>
      <c r="E5" s="6" t="s">
        <v>55</v>
      </c>
      <c r="H5" s="39">
        <v>2015</v>
      </c>
      <c r="I5" s="6" t="s">
        <v>58</v>
      </c>
      <c r="J5" s="6" t="s">
        <v>59</v>
      </c>
      <c r="K5" s="6" t="s">
        <v>33</v>
      </c>
      <c r="L5" s="6" t="s">
        <v>55</v>
      </c>
    </row>
    <row r="6" spans="1:12" x14ac:dyDescent="0.25">
      <c r="A6" s="26" t="s">
        <v>39</v>
      </c>
      <c r="B6" s="15">
        <v>221306.25</v>
      </c>
      <c r="C6" s="10">
        <v>169069.18</v>
      </c>
      <c r="D6" s="15">
        <f t="shared" ref="D6:D16" si="0">SUM(B6:C6)</f>
        <v>390375.43</v>
      </c>
      <c r="E6" s="15">
        <v>390375.43</v>
      </c>
      <c r="H6" s="26" t="s">
        <v>39</v>
      </c>
      <c r="I6" s="41">
        <v>163424.63</v>
      </c>
      <c r="J6" s="15">
        <v>226950.8</v>
      </c>
      <c r="K6" s="15">
        <f>SUM(I6:J6)</f>
        <v>390375.43</v>
      </c>
      <c r="L6" s="15">
        <v>390375.43</v>
      </c>
    </row>
    <row r="7" spans="1:12" x14ac:dyDescent="0.25">
      <c r="A7" s="27" t="s">
        <v>40</v>
      </c>
      <c r="B7" s="41">
        <v>163424.63</v>
      </c>
      <c r="C7" s="10">
        <v>123492.98</v>
      </c>
      <c r="D7" s="15">
        <f t="shared" si="0"/>
        <v>286917.61</v>
      </c>
      <c r="E7" s="15">
        <v>286917.61</v>
      </c>
      <c r="H7" s="27" t="s">
        <v>40</v>
      </c>
      <c r="I7" s="41">
        <v>217139.23</v>
      </c>
      <c r="J7" s="15">
        <v>69778.38</v>
      </c>
      <c r="K7" s="15">
        <f t="shared" ref="K7:K17" si="1">SUM(I7:J7)</f>
        <v>286917.61</v>
      </c>
      <c r="L7" s="15">
        <v>286917.61</v>
      </c>
    </row>
    <row r="8" spans="1:12" x14ac:dyDescent="0.25">
      <c r="A8" s="27" t="s">
        <v>41</v>
      </c>
      <c r="B8" s="41">
        <v>217139.23</v>
      </c>
      <c r="C8" s="10">
        <v>230830.27</v>
      </c>
      <c r="D8" s="15">
        <f t="shared" si="0"/>
        <v>447969.5</v>
      </c>
      <c r="E8" s="15">
        <v>447969.5</v>
      </c>
      <c r="H8" s="27" t="s">
        <v>41</v>
      </c>
      <c r="I8" s="41">
        <v>322784.63</v>
      </c>
      <c r="J8" s="15">
        <v>125184.87</v>
      </c>
      <c r="K8" s="15">
        <f t="shared" si="1"/>
        <v>447969.5</v>
      </c>
      <c r="L8" s="15">
        <v>447969.5</v>
      </c>
    </row>
    <row r="9" spans="1:12" x14ac:dyDescent="0.25">
      <c r="A9" s="27" t="s">
        <v>42</v>
      </c>
      <c r="B9" s="41">
        <v>322784.63</v>
      </c>
      <c r="C9" s="10">
        <v>265123.01</v>
      </c>
      <c r="D9" s="15">
        <f t="shared" si="0"/>
        <v>587907.64</v>
      </c>
      <c r="E9" s="15">
        <v>587907.64</v>
      </c>
      <c r="H9" s="27" t="s">
        <v>42</v>
      </c>
      <c r="I9" s="41">
        <v>278947.69</v>
      </c>
      <c r="J9" s="15">
        <v>308959.95</v>
      </c>
      <c r="K9" s="15">
        <f t="shared" si="1"/>
        <v>587907.64</v>
      </c>
      <c r="L9" s="15">
        <v>587907.64</v>
      </c>
    </row>
    <row r="10" spans="1:12" x14ac:dyDescent="0.25">
      <c r="A10" s="27" t="s">
        <v>43</v>
      </c>
      <c r="B10" s="41">
        <v>278947.69</v>
      </c>
      <c r="C10" s="10">
        <v>291052</v>
      </c>
      <c r="D10" s="15">
        <f t="shared" si="0"/>
        <v>569999.68999999994</v>
      </c>
      <c r="E10" s="15">
        <v>569999.68999999994</v>
      </c>
      <c r="H10" s="27" t="s">
        <v>43</v>
      </c>
      <c r="I10" s="41">
        <v>256033.23</v>
      </c>
      <c r="J10" s="15">
        <v>313966.46000000002</v>
      </c>
      <c r="K10" s="15">
        <f t="shared" si="1"/>
        <v>569999.69000000006</v>
      </c>
      <c r="L10" s="15">
        <v>569999.68999999994</v>
      </c>
    </row>
    <row r="11" spans="1:12" x14ac:dyDescent="0.25">
      <c r="A11" s="27" t="s">
        <v>44</v>
      </c>
      <c r="B11" s="41">
        <v>256033.23</v>
      </c>
      <c r="C11" s="10">
        <v>322313.21999999997</v>
      </c>
      <c r="D11" s="15">
        <f t="shared" si="0"/>
        <v>578346.44999999995</v>
      </c>
      <c r="E11" s="15">
        <v>578346.44999999995</v>
      </c>
      <c r="H11" s="27" t="s">
        <v>44</v>
      </c>
      <c r="I11" s="41">
        <v>222629.16</v>
      </c>
      <c r="J11" s="15">
        <v>355717.29</v>
      </c>
      <c r="K11" s="15">
        <f t="shared" si="1"/>
        <v>578346.44999999995</v>
      </c>
      <c r="L11" s="15">
        <v>578346.44999999995</v>
      </c>
    </row>
    <row r="12" spans="1:12" x14ac:dyDescent="0.25">
      <c r="A12" s="27" t="s">
        <v>45</v>
      </c>
      <c r="B12" s="41">
        <v>222629.16</v>
      </c>
      <c r="C12" s="10">
        <v>318337.84999999998</v>
      </c>
      <c r="D12" s="15">
        <f t="shared" si="0"/>
        <v>540967.01</v>
      </c>
      <c r="E12" s="15">
        <v>540967.01</v>
      </c>
      <c r="H12" s="27" t="s">
        <v>45</v>
      </c>
      <c r="I12" s="41">
        <v>233630.95</v>
      </c>
      <c r="J12" s="15">
        <v>307336.06</v>
      </c>
      <c r="K12" s="15">
        <f t="shared" si="1"/>
        <v>540967.01</v>
      </c>
      <c r="L12" s="15">
        <v>540967.01</v>
      </c>
    </row>
    <row r="13" spans="1:12" x14ac:dyDescent="0.25">
      <c r="A13" s="27" t="s">
        <v>46</v>
      </c>
      <c r="B13" s="41">
        <v>233630.95</v>
      </c>
      <c r="C13" s="10">
        <v>311694.46000000002</v>
      </c>
      <c r="D13" s="15">
        <f t="shared" si="0"/>
        <v>545325.41</v>
      </c>
      <c r="E13" s="15">
        <v>545325.41</v>
      </c>
      <c r="H13" s="27" t="s">
        <v>46</v>
      </c>
      <c r="I13" s="41">
        <v>224930.6</v>
      </c>
      <c r="J13" s="15">
        <v>320394.81</v>
      </c>
      <c r="K13" s="15">
        <f t="shared" si="1"/>
        <v>545325.41</v>
      </c>
      <c r="L13" s="15">
        <v>545325.41</v>
      </c>
    </row>
    <row r="14" spans="1:12" x14ac:dyDescent="0.25">
      <c r="A14" s="27" t="s">
        <v>47</v>
      </c>
      <c r="B14" s="41">
        <v>224930.6</v>
      </c>
      <c r="C14" s="10">
        <v>217131.2</v>
      </c>
      <c r="D14" s="15">
        <f t="shared" si="0"/>
        <v>442061.80000000005</v>
      </c>
      <c r="E14" s="15">
        <v>442061.8</v>
      </c>
      <c r="H14" s="27" t="s">
        <v>47</v>
      </c>
      <c r="I14" s="41">
        <v>207816.84</v>
      </c>
      <c r="J14" s="15">
        <v>234244.96</v>
      </c>
      <c r="K14" s="15">
        <f t="shared" si="1"/>
        <v>442061.8</v>
      </c>
      <c r="L14" s="15">
        <v>442061.8</v>
      </c>
    </row>
    <row r="15" spans="1:12" x14ac:dyDescent="0.25">
      <c r="A15" s="27" t="s">
        <v>48</v>
      </c>
      <c r="B15" s="41">
        <v>207816.84</v>
      </c>
      <c r="C15" s="10">
        <v>262154.95</v>
      </c>
      <c r="D15" s="15">
        <f t="shared" si="0"/>
        <v>469971.79000000004</v>
      </c>
      <c r="E15" s="15">
        <v>469971.79</v>
      </c>
      <c r="H15" s="27" t="s">
        <v>48</v>
      </c>
      <c r="I15" s="41">
        <v>337503.04</v>
      </c>
      <c r="J15" s="15">
        <v>132468.75</v>
      </c>
      <c r="K15" s="15">
        <f t="shared" si="1"/>
        <v>469971.79</v>
      </c>
      <c r="L15" s="15">
        <v>469971.79</v>
      </c>
    </row>
    <row r="16" spans="1:12" x14ac:dyDescent="0.25">
      <c r="A16" s="27" t="s">
        <v>49</v>
      </c>
      <c r="B16" s="41">
        <v>337503.04</v>
      </c>
      <c r="C16" s="10">
        <v>370213.8</v>
      </c>
      <c r="D16" s="15">
        <f t="shared" si="0"/>
        <v>707716.84</v>
      </c>
      <c r="E16" s="15">
        <v>707716.84</v>
      </c>
      <c r="H16" s="27" t="s">
        <v>49</v>
      </c>
      <c r="I16" s="41">
        <v>255410.87</v>
      </c>
      <c r="J16" s="10">
        <v>452305.97</v>
      </c>
      <c r="K16" s="10">
        <f t="shared" si="1"/>
        <v>707716.84</v>
      </c>
      <c r="L16" s="10">
        <v>707716.84</v>
      </c>
    </row>
    <row r="17" spans="1:12" x14ac:dyDescent="0.25">
      <c r="A17" s="27" t="s">
        <v>50</v>
      </c>
      <c r="B17" s="41">
        <v>255410.87</v>
      </c>
      <c r="C17" s="10">
        <v>380629.38</v>
      </c>
      <c r="D17" s="15">
        <f>SUM(B17:C17)</f>
        <v>636040.25</v>
      </c>
      <c r="E17" s="15">
        <v>636040.25</v>
      </c>
      <c r="H17" s="27" t="s">
        <v>50</v>
      </c>
      <c r="I17" s="41">
        <v>309327.75</v>
      </c>
      <c r="J17" s="15">
        <v>326712.5</v>
      </c>
      <c r="K17" s="15">
        <f t="shared" si="1"/>
        <v>636040.25</v>
      </c>
      <c r="L17" s="15">
        <v>636040.25</v>
      </c>
    </row>
    <row r="18" spans="1:12" x14ac:dyDescent="0.25">
      <c r="B18" s="20">
        <f>SUM(B6:B17)</f>
        <v>2941557.1199999996</v>
      </c>
      <c r="C18" s="20">
        <f t="shared" ref="C18:E18" si="2">SUM(C6:C17)</f>
        <v>3262042.3</v>
      </c>
      <c r="D18" s="20">
        <f t="shared" si="2"/>
        <v>6203599.4199999999</v>
      </c>
      <c r="E18" s="20">
        <f t="shared" si="2"/>
        <v>6203599.4199999999</v>
      </c>
      <c r="I18" s="20">
        <f>SUM(I6:I17)</f>
        <v>3029578.62</v>
      </c>
      <c r="J18" s="40">
        <f t="shared" ref="J18:L18" si="3">SUM(J6:J17)</f>
        <v>3174020.8</v>
      </c>
      <c r="K18" s="20">
        <f t="shared" si="3"/>
        <v>6203599.4199999999</v>
      </c>
      <c r="L18" s="20">
        <f t="shared" si="3"/>
        <v>6203599.4199999999</v>
      </c>
    </row>
    <row r="19" spans="1:12" x14ac:dyDescent="0.25">
      <c r="B19" t="s">
        <v>56</v>
      </c>
      <c r="C19" s="13">
        <v>1167.45</v>
      </c>
      <c r="H19" t="s">
        <v>60</v>
      </c>
      <c r="J19" s="13">
        <v>1167.45</v>
      </c>
    </row>
    <row r="20" spans="1:12" ht="15.75" thickBot="1" x14ac:dyDescent="0.3">
      <c r="C20" s="37">
        <f>SUM(C18:C19)</f>
        <v>3263209.75</v>
      </c>
      <c r="J20" s="20">
        <f>SUM(J18:J19)</f>
        <v>3175188.25</v>
      </c>
    </row>
    <row r="21" spans="1:12" ht="15.75" thickTop="1" x14ac:dyDescent="0.25"/>
    <row r="25" spans="1:12" x14ac:dyDescent="0.25">
      <c r="B25" s="36" t="s">
        <v>54</v>
      </c>
      <c r="C25" s="16"/>
      <c r="D25" s="16"/>
      <c r="E25" s="16"/>
      <c r="I25" s="38" t="s">
        <v>57</v>
      </c>
      <c r="J25" s="38"/>
      <c r="K25" s="38"/>
      <c r="L25" s="38"/>
    </row>
    <row r="26" spans="1:12" x14ac:dyDescent="0.25">
      <c r="A26" s="39">
        <v>2016</v>
      </c>
      <c r="B26" s="6" t="s">
        <v>61</v>
      </c>
      <c r="C26" s="6" t="s">
        <v>59</v>
      </c>
      <c r="D26" s="6" t="s">
        <v>33</v>
      </c>
      <c r="E26" s="6" t="s">
        <v>55</v>
      </c>
      <c r="H26" s="39">
        <v>2016</v>
      </c>
      <c r="I26" s="6" t="s">
        <v>58</v>
      </c>
      <c r="J26" s="6" t="s">
        <v>59</v>
      </c>
      <c r="K26" s="6" t="s">
        <v>33</v>
      </c>
      <c r="L26" s="6" t="s">
        <v>55</v>
      </c>
    </row>
    <row r="27" spans="1:12" x14ac:dyDescent="0.25">
      <c r="A27" s="26" t="s">
        <v>7</v>
      </c>
      <c r="B27" s="41">
        <v>309327.75</v>
      </c>
      <c r="C27" s="10">
        <v>356584.38</v>
      </c>
      <c r="D27" s="15">
        <f t="shared" ref="D27:D37" si="4">SUM(B27:C27)</f>
        <v>665912.13</v>
      </c>
      <c r="E27" s="15">
        <v>665912.13</v>
      </c>
      <c r="H27" s="26" t="s">
        <v>7</v>
      </c>
      <c r="I27" s="42">
        <v>362136.91</v>
      </c>
      <c r="J27" s="15">
        <v>303775.21999999997</v>
      </c>
      <c r="K27" s="15">
        <f>SUM(I27:J27)</f>
        <v>665912.12999999989</v>
      </c>
      <c r="L27" s="15">
        <v>665912.13</v>
      </c>
    </row>
    <row r="28" spans="1:12" x14ac:dyDescent="0.25">
      <c r="A28" s="27" t="s">
        <v>8</v>
      </c>
      <c r="B28" s="42">
        <v>362136.91</v>
      </c>
      <c r="C28" s="10">
        <v>307870.93</v>
      </c>
      <c r="D28" s="15">
        <f t="shared" si="4"/>
        <v>670007.84</v>
      </c>
      <c r="E28" s="15">
        <v>670007.84</v>
      </c>
      <c r="H28" s="27" t="s">
        <v>8</v>
      </c>
      <c r="I28" s="42">
        <v>347991.75</v>
      </c>
      <c r="J28" s="15">
        <v>322016.09000000003</v>
      </c>
      <c r="K28" s="15">
        <f t="shared" ref="K28:K38" si="5">SUM(I28:J28)</f>
        <v>670007.84000000008</v>
      </c>
      <c r="L28" s="15">
        <v>670007.84</v>
      </c>
    </row>
    <row r="29" spans="1:12" x14ac:dyDescent="0.25">
      <c r="A29" s="27" t="s">
        <v>9</v>
      </c>
      <c r="B29" s="42">
        <v>347991.75</v>
      </c>
      <c r="C29" s="10">
        <v>374017.92</v>
      </c>
      <c r="D29" s="15">
        <f t="shared" si="4"/>
        <v>722009.66999999993</v>
      </c>
      <c r="E29" s="15">
        <v>722009.67</v>
      </c>
      <c r="H29" s="27" t="s">
        <v>9</v>
      </c>
      <c r="I29" s="42">
        <v>349968.89</v>
      </c>
      <c r="J29" s="15">
        <v>372040.78</v>
      </c>
      <c r="K29" s="15">
        <f t="shared" si="5"/>
        <v>722009.67</v>
      </c>
      <c r="L29" s="15">
        <v>722009.67</v>
      </c>
    </row>
    <row r="30" spans="1:12" x14ac:dyDescent="0.25">
      <c r="A30" s="27" t="s">
        <v>10</v>
      </c>
      <c r="B30" s="42">
        <f>436958.7-86989.81</f>
        <v>349968.89</v>
      </c>
      <c r="C30" s="10">
        <f>259960.14+86989.81</f>
        <v>346949.95</v>
      </c>
      <c r="D30" s="15">
        <f t="shared" si="4"/>
        <v>696918.84000000008</v>
      </c>
      <c r="E30" s="15">
        <v>696918.84</v>
      </c>
      <c r="H30" s="27" t="s">
        <v>10</v>
      </c>
      <c r="I30" s="42">
        <v>333952.71999999997</v>
      </c>
      <c r="J30" s="15">
        <v>362966.12</v>
      </c>
      <c r="K30" s="15">
        <f t="shared" si="5"/>
        <v>696918.84</v>
      </c>
      <c r="L30" s="15">
        <v>696918.84</v>
      </c>
    </row>
    <row r="31" spans="1:12" x14ac:dyDescent="0.25">
      <c r="A31" s="27" t="s">
        <v>11</v>
      </c>
      <c r="B31" s="42">
        <v>333952.71999999997</v>
      </c>
      <c r="C31" s="10">
        <v>325512.90999999997</v>
      </c>
      <c r="D31" s="15">
        <f t="shared" si="4"/>
        <v>659465.62999999989</v>
      </c>
      <c r="E31" s="15">
        <v>659465.63</v>
      </c>
      <c r="H31" s="27" t="s">
        <v>11</v>
      </c>
      <c r="I31" s="42">
        <v>261227.53</v>
      </c>
      <c r="J31" s="15">
        <v>398238.1</v>
      </c>
      <c r="K31" s="15">
        <f t="shared" si="5"/>
        <v>659465.63</v>
      </c>
      <c r="L31" s="15">
        <v>659465.63</v>
      </c>
    </row>
    <row r="32" spans="1:12" x14ac:dyDescent="0.25">
      <c r="A32" s="27" t="s">
        <v>12</v>
      </c>
      <c r="B32" s="42">
        <v>261227.53</v>
      </c>
      <c r="C32" s="10">
        <v>345634.92</v>
      </c>
      <c r="D32" s="15">
        <f t="shared" si="4"/>
        <v>606862.44999999995</v>
      </c>
      <c r="E32" s="15">
        <v>606862.44999999995</v>
      </c>
      <c r="H32" s="27" t="s">
        <v>12</v>
      </c>
      <c r="I32" s="42">
        <v>223240.18</v>
      </c>
      <c r="J32" s="15">
        <v>383622.27</v>
      </c>
      <c r="K32" s="15">
        <f t="shared" si="5"/>
        <v>606862.44999999995</v>
      </c>
      <c r="L32" s="15">
        <v>606862.44999999995</v>
      </c>
    </row>
    <row r="33" spans="1:12" x14ac:dyDescent="0.25">
      <c r="A33" s="27" t="s">
        <v>13</v>
      </c>
      <c r="B33" s="42">
        <v>223240.18</v>
      </c>
      <c r="C33" s="10">
        <v>384461.86</v>
      </c>
      <c r="D33" s="15">
        <f t="shared" si="4"/>
        <v>607702.04</v>
      </c>
      <c r="E33" s="15">
        <v>607702.04</v>
      </c>
      <c r="H33" s="27" t="s">
        <v>13</v>
      </c>
      <c r="I33" s="42">
        <v>247607.23</v>
      </c>
      <c r="J33" s="15">
        <v>360094.81</v>
      </c>
      <c r="K33" s="15">
        <f t="shared" si="5"/>
        <v>607702.04</v>
      </c>
      <c r="L33" s="15">
        <v>607702.04</v>
      </c>
    </row>
    <row r="34" spans="1:12" x14ac:dyDescent="0.25">
      <c r="A34" s="27" t="s">
        <v>14</v>
      </c>
      <c r="B34" s="42">
        <v>247607.23</v>
      </c>
      <c r="C34" s="10">
        <v>305110.68</v>
      </c>
      <c r="D34" s="15">
        <f t="shared" si="4"/>
        <v>552717.91</v>
      </c>
      <c r="E34" s="15">
        <v>552717.91</v>
      </c>
      <c r="H34" s="27" t="s">
        <v>14</v>
      </c>
      <c r="I34" s="42">
        <v>344665.32</v>
      </c>
      <c r="J34" s="15">
        <v>208052.59</v>
      </c>
      <c r="K34" s="15">
        <f t="shared" si="5"/>
        <v>552717.91</v>
      </c>
      <c r="L34" s="15">
        <v>552717.91</v>
      </c>
    </row>
    <row r="35" spans="1:12" x14ac:dyDescent="0.25">
      <c r="A35" s="27" t="s">
        <v>15</v>
      </c>
      <c r="B35" s="42">
        <v>344665.32</v>
      </c>
      <c r="C35" s="10">
        <v>273445.52</v>
      </c>
      <c r="D35" s="15">
        <f t="shared" si="4"/>
        <v>618110.84000000008</v>
      </c>
      <c r="E35" s="15">
        <v>618110.84</v>
      </c>
      <c r="H35" s="27" t="s">
        <v>15</v>
      </c>
      <c r="I35" s="42">
        <v>338305</v>
      </c>
      <c r="J35" s="15">
        <v>279805.84000000003</v>
      </c>
      <c r="K35" s="15">
        <f t="shared" si="5"/>
        <v>618110.84000000008</v>
      </c>
      <c r="L35" s="15">
        <v>618110.84</v>
      </c>
    </row>
    <row r="36" spans="1:12" x14ac:dyDescent="0.25">
      <c r="A36" s="27" t="s">
        <v>16</v>
      </c>
      <c r="B36" s="42">
        <v>338305</v>
      </c>
      <c r="C36" s="10">
        <v>365119.86</v>
      </c>
      <c r="D36" s="15">
        <f t="shared" si="4"/>
        <v>703424.86</v>
      </c>
      <c r="E36" s="15">
        <v>703424.86</v>
      </c>
      <c r="H36" s="27" t="s">
        <v>16</v>
      </c>
      <c r="I36" s="42">
        <v>311434.19</v>
      </c>
      <c r="J36" s="15">
        <v>391990.67</v>
      </c>
      <c r="K36" s="15">
        <f t="shared" si="5"/>
        <v>703424.86</v>
      </c>
      <c r="L36" s="15">
        <v>703424.86</v>
      </c>
    </row>
    <row r="37" spans="1:12" x14ac:dyDescent="0.25">
      <c r="A37" s="27" t="s">
        <v>17</v>
      </c>
      <c r="B37" s="42">
        <v>311434.19</v>
      </c>
      <c r="C37" s="10">
        <v>389480.68</v>
      </c>
      <c r="D37" s="15">
        <f t="shared" si="4"/>
        <v>700914.87</v>
      </c>
      <c r="E37" s="15">
        <v>700914.87</v>
      </c>
      <c r="H37" s="27" t="s">
        <v>17</v>
      </c>
      <c r="I37" s="42">
        <v>228886.38</v>
      </c>
      <c r="J37" s="15">
        <v>472028.49</v>
      </c>
      <c r="K37" s="15">
        <f t="shared" si="5"/>
        <v>700914.87</v>
      </c>
      <c r="L37" s="15">
        <v>700914.87</v>
      </c>
    </row>
    <row r="38" spans="1:12" x14ac:dyDescent="0.25">
      <c r="A38" s="27" t="s">
        <v>18</v>
      </c>
      <c r="B38" s="42">
        <v>228886.38</v>
      </c>
      <c r="C38" s="10">
        <v>402935.7</v>
      </c>
      <c r="D38" s="15">
        <f>SUM(B38:C38)</f>
        <v>631822.08000000007</v>
      </c>
      <c r="E38" s="15">
        <v>631822.07999999996</v>
      </c>
      <c r="H38" s="27" t="s">
        <v>18</v>
      </c>
      <c r="I38" s="15">
        <v>331157.88</v>
      </c>
      <c r="J38" s="15">
        <v>300664.2</v>
      </c>
      <c r="K38" s="15">
        <f t="shared" si="5"/>
        <v>631822.08000000007</v>
      </c>
      <c r="L38" s="15">
        <v>631822.07999999996</v>
      </c>
    </row>
    <row r="39" spans="1:12" x14ac:dyDescent="0.25">
      <c r="B39" s="20">
        <f>SUM(B27:B38)</f>
        <v>3658743.8499999996</v>
      </c>
      <c r="C39" s="20">
        <f t="shared" ref="C39:E39" si="6">SUM(C27:C38)</f>
        <v>4177125.31</v>
      </c>
      <c r="D39" s="20">
        <f t="shared" si="6"/>
        <v>7835869.1600000001</v>
      </c>
      <c r="E39" s="20">
        <f t="shared" si="6"/>
        <v>7835869.1600000001</v>
      </c>
      <c r="I39" s="20">
        <f t="shared" ref="I39:L39" si="7">SUM(I27:I38)</f>
        <v>3680573.9799999995</v>
      </c>
      <c r="J39" s="40">
        <f t="shared" si="7"/>
        <v>4155295.1799999997</v>
      </c>
      <c r="K39" s="20">
        <f t="shared" si="7"/>
        <v>7835869.1600000001</v>
      </c>
      <c r="L39" s="20">
        <f t="shared" si="7"/>
        <v>7835869.1600000001</v>
      </c>
    </row>
    <row r="40" spans="1:12" x14ac:dyDescent="0.25">
      <c r="B40" t="s">
        <v>56</v>
      </c>
      <c r="C40" s="13">
        <v>1587.62</v>
      </c>
      <c r="H40" t="s">
        <v>60</v>
      </c>
      <c r="J40" s="13">
        <v>1587.62</v>
      </c>
    </row>
    <row r="41" spans="1:12" ht="15.75" thickBot="1" x14ac:dyDescent="0.3">
      <c r="C41" s="37">
        <f>SUM(C39:C40)</f>
        <v>4178712.93</v>
      </c>
      <c r="J41" s="20">
        <f>SUM(J39:J40)</f>
        <v>4156882.8</v>
      </c>
    </row>
    <row r="42" spans="1:12" ht="15.75" thickTop="1" x14ac:dyDescent="0.25"/>
  </sheetData>
  <pageMargins left="0.7" right="0.7" top="0.75" bottom="0.75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>
      <selection activeCell="A2" sqref="A2"/>
    </sheetView>
  </sheetViews>
  <sheetFormatPr defaultRowHeight="15" x14ac:dyDescent="0.25"/>
  <cols>
    <col min="1" max="1" width="21.42578125" customWidth="1"/>
    <col min="2" max="2" width="20.7109375" customWidth="1"/>
    <col min="3" max="3" width="17.5703125" customWidth="1"/>
    <col min="4" max="4" width="16.140625" customWidth="1"/>
    <col min="5" max="5" width="14.85546875" customWidth="1"/>
    <col min="6" max="6" width="10.7109375" customWidth="1"/>
    <col min="7" max="8" width="14.28515625" bestFit="1" customWidth="1"/>
    <col min="9" max="9" width="13.28515625" bestFit="1" customWidth="1"/>
    <col min="11" max="11" width="17.5703125" customWidth="1"/>
    <col min="12" max="12" width="10.5703125" bestFit="1" customWidth="1"/>
    <col min="15" max="15" width="14.7109375" customWidth="1"/>
    <col min="19" max="19" width="9.140625" customWidth="1"/>
  </cols>
  <sheetData>
    <row r="1" spans="1:19" x14ac:dyDescent="0.25">
      <c r="A1" t="s">
        <v>113</v>
      </c>
      <c r="J1" t="s">
        <v>109</v>
      </c>
    </row>
    <row r="3" spans="1:19" x14ac:dyDescent="0.25">
      <c r="D3" s="6" t="s">
        <v>3</v>
      </c>
      <c r="Q3" s="39"/>
    </row>
    <row r="4" spans="1:19" x14ac:dyDescent="0.25">
      <c r="D4" s="6" t="s">
        <v>69</v>
      </c>
      <c r="E4" s="6" t="s">
        <v>71</v>
      </c>
      <c r="G4" s="6" t="s">
        <v>58</v>
      </c>
      <c r="H4" s="6" t="s">
        <v>59</v>
      </c>
      <c r="I4" s="6"/>
      <c r="Q4" s="39"/>
    </row>
    <row r="5" spans="1:19" x14ac:dyDescent="0.25">
      <c r="B5" s="6" t="s">
        <v>55</v>
      </c>
      <c r="C5" s="25" t="s">
        <v>65</v>
      </c>
      <c r="D5" s="6" t="s">
        <v>70</v>
      </c>
      <c r="E5" s="44" t="s">
        <v>72</v>
      </c>
      <c r="G5" s="6" t="s">
        <v>52</v>
      </c>
      <c r="H5" s="6" t="s">
        <v>66</v>
      </c>
      <c r="I5" s="6" t="s">
        <v>33</v>
      </c>
      <c r="K5" s="6" t="s">
        <v>67</v>
      </c>
      <c r="L5" s="6" t="s">
        <v>68</v>
      </c>
      <c r="Q5" s="52"/>
      <c r="R5" s="52"/>
      <c r="S5" s="25"/>
    </row>
    <row r="6" spans="1:19" x14ac:dyDescent="0.25">
      <c r="A6" s="26" t="s">
        <v>7</v>
      </c>
      <c r="B6" s="15">
        <v>665912.13</v>
      </c>
      <c r="C6">
        <v>9.1789999999999997E-2</v>
      </c>
      <c r="D6" s="18">
        <f>+B6/C6</f>
        <v>7254735.0473907832</v>
      </c>
      <c r="E6" s="15">
        <f>7254.315*1000</f>
        <v>7254315</v>
      </c>
      <c r="G6" s="18">
        <v>3986733</v>
      </c>
      <c r="H6" s="18">
        <v>3302405.19</v>
      </c>
      <c r="I6" s="18">
        <f>+H6+G6</f>
        <v>7289138.1899999995</v>
      </c>
      <c r="K6" s="18">
        <f>+D6-I6</f>
        <v>-34403.142609216273</v>
      </c>
      <c r="L6" s="15">
        <f>+K6*C6</f>
        <v>-3157.8644600999614</v>
      </c>
      <c r="S6" s="33"/>
    </row>
    <row r="7" spans="1:19" x14ac:dyDescent="0.25">
      <c r="A7" s="27" t="s">
        <v>8</v>
      </c>
      <c r="B7" s="15">
        <v>670007.84</v>
      </c>
      <c r="C7">
        <v>9.851E-2</v>
      </c>
      <c r="D7" s="18">
        <f t="shared" ref="D7:D17" si="0">+B7/C7</f>
        <v>6801419.5513145868</v>
      </c>
      <c r="E7" s="15">
        <f>6801.243*1000</f>
        <v>6801243</v>
      </c>
      <c r="G7" s="18">
        <v>3557911</v>
      </c>
      <c r="H7" s="18">
        <v>3209644.65</v>
      </c>
      <c r="I7" s="18">
        <f t="shared" ref="I7:I17" si="1">+H7+G7</f>
        <v>6767555.6500000004</v>
      </c>
      <c r="K7" s="18">
        <f t="shared" ref="K7:K17" si="2">+D7-I7</f>
        <v>33863.901314586401</v>
      </c>
      <c r="L7" s="15">
        <f t="shared" ref="L7:L17" si="3">+K7*C7</f>
        <v>3335.9329184999065</v>
      </c>
      <c r="S7" s="33"/>
    </row>
    <row r="8" spans="1:19" x14ac:dyDescent="0.25">
      <c r="A8" s="27" t="s">
        <v>9</v>
      </c>
      <c r="B8" s="15">
        <v>722009.67</v>
      </c>
      <c r="C8">
        <v>0.1061</v>
      </c>
      <c r="D8" s="18">
        <f t="shared" si="0"/>
        <v>6804992.1771913292</v>
      </c>
      <c r="E8" s="15">
        <f>6805.433*1000</f>
        <v>6805433</v>
      </c>
      <c r="G8" s="18">
        <v>3351024</v>
      </c>
      <c r="H8" s="18">
        <v>3418920.45</v>
      </c>
      <c r="I8" s="18">
        <f t="shared" si="1"/>
        <v>6769944.4500000002</v>
      </c>
      <c r="K8" s="18">
        <f t="shared" si="2"/>
        <v>35047.727191329002</v>
      </c>
      <c r="L8" s="15">
        <f t="shared" si="3"/>
        <v>3718.5638550000072</v>
      </c>
      <c r="S8" s="33"/>
    </row>
    <row r="9" spans="1:19" x14ac:dyDescent="0.25">
      <c r="A9" s="27" t="s">
        <v>10</v>
      </c>
      <c r="B9" s="15">
        <v>696918.84</v>
      </c>
      <c r="C9">
        <v>0.11132</v>
      </c>
      <c r="D9" s="18">
        <f t="shared" si="0"/>
        <v>6260499.8203377649</v>
      </c>
      <c r="E9" s="15">
        <f>6260.083*1000</f>
        <v>6260083</v>
      </c>
      <c r="G9" s="18">
        <v>3056318</v>
      </c>
      <c r="H9" s="18">
        <v>3139258.09</v>
      </c>
      <c r="I9" s="18">
        <f t="shared" si="1"/>
        <v>6195576.0899999999</v>
      </c>
      <c r="K9" s="18">
        <f t="shared" si="2"/>
        <v>64923.730337765068</v>
      </c>
      <c r="L9" s="15">
        <f t="shared" si="3"/>
        <v>7227.3096612000072</v>
      </c>
      <c r="S9" s="33"/>
    </row>
    <row r="10" spans="1:19" x14ac:dyDescent="0.25">
      <c r="A10" s="27" t="s">
        <v>11</v>
      </c>
      <c r="B10" s="15">
        <v>659465.63</v>
      </c>
      <c r="C10">
        <v>0.10749</v>
      </c>
      <c r="D10" s="18">
        <f t="shared" si="0"/>
        <v>6135134.7102056006</v>
      </c>
      <c r="E10" s="15">
        <f>6135.309*1000</f>
        <v>6135309</v>
      </c>
      <c r="G10" s="18">
        <v>2862914</v>
      </c>
      <c r="H10" s="18">
        <v>3112019.33</v>
      </c>
      <c r="I10" s="18">
        <f t="shared" si="1"/>
        <v>5974933.3300000001</v>
      </c>
      <c r="K10" s="18">
        <f t="shared" si="2"/>
        <v>160201.38020560052</v>
      </c>
      <c r="L10" s="15">
        <f t="shared" si="3"/>
        <v>17220.046358300002</v>
      </c>
      <c r="S10" s="33"/>
    </row>
    <row r="11" spans="1:19" x14ac:dyDescent="0.25">
      <c r="A11" s="27" t="s">
        <v>12</v>
      </c>
      <c r="B11" s="15">
        <v>606862.44999999995</v>
      </c>
      <c r="C11">
        <v>9.5449999999999993E-2</v>
      </c>
      <c r="D11" s="18">
        <f t="shared" si="0"/>
        <v>6357909.3766369829</v>
      </c>
      <c r="E11" s="15">
        <f>6356.525*1000</f>
        <v>6356525</v>
      </c>
      <c r="G11" s="18">
        <v>2957499</v>
      </c>
      <c r="H11" s="18">
        <v>3447514.94</v>
      </c>
      <c r="I11" s="18">
        <f t="shared" si="1"/>
        <v>6405013.9399999995</v>
      </c>
      <c r="K11" s="18">
        <f t="shared" si="2"/>
        <v>-47104.563363016583</v>
      </c>
      <c r="L11" s="15">
        <f t="shared" si="3"/>
        <v>-4496.1305729999322</v>
      </c>
      <c r="S11" s="33"/>
    </row>
    <row r="12" spans="1:19" x14ac:dyDescent="0.25">
      <c r="A12" s="27" t="s">
        <v>13</v>
      </c>
      <c r="B12" s="15">
        <v>607702.04</v>
      </c>
      <c r="C12">
        <v>8.3059999999999995E-2</v>
      </c>
      <c r="D12" s="18">
        <f t="shared" si="0"/>
        <v>7316422.3452925608</v>
      </c>
      <c r="E12" s="15">
        <f>7316.458*1000</f>
        <v>7316458</v>
      </c>
      <c r="G12" s="18">
        <v>3736201</v>
      </c>
      <c r="H12" s="18">
        <v>3520238.03</v>
      </c>
      <c r="I12" s="18">
        <f t="shared" si="1"/>
        <v>7256439.0299999993</v>
      </c>
      <c r="K12" s="18">
        <f t="shared" si="2"/>
        <v>59983.315292561427</v>
      </c>
      <c r="L12" s="15">
        <f t="shared" si="3"/>
        <v>4982.214168200152</v>
      </c>
      <c r="S12" s="33"/>
    </row>
    <row r="13" spans="1:19" x14ac:dyDescent="0.25">
      <c r="A13" s="27" t="s">
        <v>14</v>
      </c>
      <c r="B13" s="15">
        <v>552717.91</v>
      </c>
      <c r="C13">
        <v>7.1029999999999996E-2</v>
      </c>
      <c r="D13" s="18">
        <f t="shared" si="0"/>
        <v>7781471.3501337469</v>
      </c>
      <c r="E13" s="15">
        <f>7781.7*1000</f>
        <v>7781700</v>
      </c>
      <c r="G13" s="18">
        <v>3991021</v>
      </c>
      <c r="H13" s="18">
        <v>3711415.22</v>
      </c>
      <c r="I13" s="18">
        <f t="shared" si="1"/>
        <v>7702436.2200000007</v>
      </c>
      <c r="K13" s="18">
        <f t="shared" si="2"/>
        <v>79035.130133746192</v>
      </c>
      <c r="L13" s="15">
        <f t="shared" si="3"/>
        <v>5613.865293399992</v>
      </c>
      <c r="S13" s="33"/>
    </row>
    <row r="14" spans="1:19" x14ac:dyDescent="0.25">
      <c r="A14" s="27" t="s">
        <v>15</v>
      </c>
      <c r="B14" s="15">
        <v>618110.84</v>
      </c>
      <c r="C14">
        <v>9.5310000000000006E-2</v>
      </c>
      <c r="D14" s="18">
        <f t="shared" si="0"/>
        <v>6485267.4430804737</v>
      </c>
      <c r="E14" s="15">
        <f>6485.61*1000</f>
        <v>6485610</v>
      </c>
      <c r="G14" s="18">
        <v>3046622</v>
      </c>
      <c r="H14" s="18">
        <v>3362419.89</v>
      </c>
      <c r="I14" s="18">
        <f t="shared" si="1"/>
        <v>6409041.8900000006</v>
      </c>
      <c r="K14" s="18">
        <f t="shared" si="2"/>
        <v>76225.553080473095</v>
      </c>
      <c r="L14" s="15">
        <f t="shared" si="3"/>
        <v>7265.0574640998911</v>
      </c>
      <c r="S14" s="33"/>
    </row>
    <row r="15" spans="1:19" x14ac:dyDescent="0.25">
      <c r="A15" s="27" t="s">
        <v>16</v>
      </c>
      <c r="B15" s="15">
        <v>703424.86</v>
      </c>
      <c r="C15">
        <v>0.11226</v>
      </c>
      <c r="D15" s="18">
        <f t="shared" si="0"/>
        <v>6266032.9592018528</v>
      </c>
      <c r="E15" s="15">
        <f>6265.973*1000</f>
        <v>6265973</v>
      </c>
      <c r="G15" s="18">
        <v>2887730</v>
      </c>
      <c r="H15" s="18">
        <v>3311471.47</v>
      </c>
      <c r="I15" s="18">
        <f t="shared" si="1"/>
        <v>6199201.4700000007</v>
      </c>
      <c r="K15" s="18">
        <f t="shared" si="2"/>
        <v>66831.48920185212</v>
      </c>
      <c r="L15" s="15">
        <f t="shared" si="3"/>
        <v>7502.5029777999189</v>
      </c>
      <c r="S15" s="33"/>
    </row>
    <row r="16" spans="1:19" x14ac:dyDescent="0.25">
      <c r="A16" s="27" t="s">
        <v>17</v>
      </c>
      <c r="B16" s="15">
        <v>700914.87</v>
      </c>
      <c r="C16">
        <v>0.11108999999999999</v>
      </c>
      <c r="D16" s="18">
        <f t="shared" si="0"/>
        <v>6309432.6221982175</v>
      </c>
      <c r="E16" s="15">
        <f>6309.125*1000</f>
        <v>6309125</v>
      </c>
      <c r="G16" s="18">
        <v>3056270</v>
      </c>
      <c r="H16" s="18">
        <v>3157379.27</v>
      </c>
      <c r="I16" s="18">
        <f t="shared" si="1"/>
        <v>6213649.2699999996</v>
      </c>
      <c r="K16" s="18">
        <f t="shared" si="2"/>
        <v>95783.352198217995</v>
      </c>
      <c r="L16" s="15">
        <f t="shared" si="3"/>
        <v>10640.572595700036</v>
      </c>
      <c r="S16" s="33"/>
    </row>
    <row r="17" spans="1:19" x14ac:dyDescent="0.25">
      <c r="A17" s="27" t="s">
        <v>18</v>
      </c>
      <c r="B17" s="15">
        <v>631822.07999999996</v>
      </c>
      <c r="C17">
        <v>8.7080000000000005E-2</v>
      </c>
      <c r="D17" s="18">
        <f t="shared" si="0"/>
        <v>7255650.8957280656</v>
      </c>
      <c r="E17" s="15">
        <f>7255.966*1000</f>
        <v>7255966</v>
      </c>
      <c r="G17" s="18">
        <v>3946737</v>
      </c>
      <c r="H17" s="18">
        <v>3220069.62</v>
      </c>
      <c r="I17" s="18">
        <f t="shared" si="1"/>
        <v>7166806.6200000001</v>
      </c>
      <c r="K17" s="18">
        <f t="shared" si="2"/>
        <v>88844.275728065521</v>
      </c>
      <c r="L17" s="15">
        <f t="shared" si="3"/>
        <v>7736.5595303999462</v>
      </c>
      <c r="S17" s="33"/>
    </row>
    <row r="18" spans="1:19" x14ac:dyDescent="0.25">
      <c r="B18" s="20">
        <f t="shared" ref="B18" si="4">SUM(B6:B17)</f>
        <v>7835869.1600000001</v>
      </c>
      <c r="D18" s="50">
        <f>SUM(D6:D17)</f>
        <v>81028968.29871197</v>
      </c>
      <c r="E18" s="20">
        <f>SUM(E6:E17)</f>
        <v>81027740</v>
      </c>
      <c r="G18" s="50">
        <f>SUM(G6:G17)</f>
        <v>40436980</v>
      </c>
      <c r="H18" s="50">
        <f>SUM(H6:H17)</f>
        <v>39912756.149999999</v>
      </c>
      <c r="I18" s="50">
        <f>SUM(I6:I17)</f>
        <v>80349736.150000006</v>
      </c>
      <c r="K18" s="20">
        <f>SUM(K6:K17)</f>
        <v>679232.14871196449</v>
      </c>
      <c r="L18" s="20">
        <f>SUM(L6:L17)</f>
        <v>67588.629789499959</v>
      </c>
    </row>
    <row r="20" spans="1:19" x14ac:dyDescent="0.25">
      <c r="G20" s="53">
        <f>+G18/I18</f>
        <v>0.50326213796782948</v>
      </c>
      <c r="H20" s="53">
        <f>+H18/I18</f>
        <v>0.49673786203217041</v>
      </c>
      <c r="I20" s="22">
        <f>SUM(G20:H20)</f>
        <v>0.99999999999999989</v>
      </c>
      <c r="L20" s="15">
        <v>34035.26</v>
      </c>
    </row>
    <row r="21" spans="1:19" x14ac:dyDescent="0.25">
      <c r="A21" s="25"/>
      <c r="B21" s="55"/>
      <c r="C21" s="54"/>
      <c r="D21" s="56"/>
      <c r="G21" s="6"/>
      <c r="H21" s="6"/>
      <c r="I21" s="6"/>
      <c r="L21" s="15">
        <v>33553.370000000003</v>
      </c>
    </row>
    <row r="22" spans="1:19" x14ac:dyDescent="0.25">
      <c r="B22" s="51"/>
      <c r="C22" s="6"/>
      <c r="D22" s="6"/>
      <c r="F22" s="25"/>
      <c r="G22" s="6"/>
      <c r="H22" s="6"/>
      <c r="I22" s="6"/>
      <c r="L22" s="20">
        <f>SUM(L20:L21)</f>
        <v>67588.63</v>
      </c>
    </row>
    <row r="25" spans="1:19" x14ac:dyDescent="0.25">
      <c r="D25" s="6" t="s">
        <v>69</v>
      </c>
      <c r="E25" s="6" t="s">
        <v>71</v>
      </c>
      <c r="G25" s="6" t="s">
        <v>58</v>
      </c>
      <c r="H25" s="6" t="s">
        <v>59</v>
      </c>
      <c r="I25" s="6"/>
    </row>
    <row r="26" spans="1:19" x14ac:dyDescent="0.25">
      <c r="B26" s="6" t="s">
        <v>55</v>
      </c>
      <c r="C26" s="25" t="s">
        <v>65</v>
      </c>
      <c r="D26" s="6" t="s">
        <v>70</v>
      </c>
      <c r="E26" s="44" t="s">
        <v>72</v>
      </c>
      <c r="G26" s="6" t="s">
        <v>52</v>
      </c>
      <c r="H26" s="6" t="s">
        <v>66</v>
      </c>
      <c r="I26" s="6" t="s">
        <v>33</v>
      </c>
      <c r="K26" s="6" t="s">
        <v>67</v>
      </c>
      <c r="L26" s="6" t="s">
        <v>68</v>
      </c>
    </row>
    <row r="27" spans="1:19" x14ac:dyDescent="0.25">
      <c r="A27" s="26" t="s">
        <v>39</v>
      </c>
      <c r="B27" s="15">
        <v>390375.43</v>
      </c>
      <c r="C27">
        <v>5.0680000000000003E-2</v>
      </c>
      <c r="D27" s="18">
        <f>+B27/C27</f>
        <v>7702751.1838989733</v>
      </c>
      <c r="E27" s="15">
        <f>7703.14*1000</f>
        <v>7703140</v>
      </c>
      <c r="G27" s="18">
        <v>4142229</v>
      </c>
      <c r="H27" s="18">
        <v>3506373</v>
      </c>
      <c r="I27" s="18">
        <f>+H27+G27</f>
        <v>7648602</v>
      </c>
      <c r="K27" s="18">
        <f>+D27-I27</f>
        <v>54149.183898973279</v>
      </c>
      <c r="L27" s="15">
        <f>+K27*C27</f>
        <v>2744.2806399999658</v>
      </c>
    </row>
    <row r="28" spans="1:19" x14ac:dyDescent="0.25">
      <c r="A28" s="27" t="s">
        <v>40</v>
      </c>
      <c r="B28" s="15">
        <v>286917.61</v>
      </c>
      <c r="C28">
        <v>3.9609999999999999E-2</v>
      </c>
      <c r="D28" s="18">
        <f t="shared" ref="D28:D38" si="5">+B28/C28</f>
        <v>7243565.008836152</v>
      </c>
      <c r="E28" s="15">
        <f>7243.355*1000</f>
        <v>7243355</v>
      </c>
      <c r="G28" s="18">
        <v>3976602</v>
      </c>
      <c r="H28" s="18">
        <v>3255459</v>
      </c>
      <c r="I28" s="18">
        <f t="shared" ref="I28:I38" si="6">+H28+G28</f>
        <v>7232061</v>
      </c>
      <c r="K28" s="18">
        <f t="shared" ref="K28:K38" si="7">+D28-I28</f>
        <v>11504.008836152032</v>
      </c>
      <c r="L28" s="15">
        <f t="shared" ref="L28:L38" si="8">+K28*C28</f>
        <v>455.67378999998198</v>
      </c>
    </row>
    <row r="29" spans="1:19" x14ac:dyDescent="0.25">
      <c r="A29" s="27" t="s">
        <v>41</v>
      </c>
      <c r="B29" s="15">
        <v>447969.5</v>
      </c>
      <c r="C29">
        <v>6.2899999999999998E-2</v>
      </c>
      <c r="D29" s="18">
        <f t="shared" si="5"/>
        <v>7121931.6375198727</v>
      </c>
      <c r="E29" s="15">
        <f>7121.672*1000</f>
        <v>7121672</v>
      </c>
      <c r="G29" s="18">
        <v>3623745</v>
      </c>
      <c r="H29" s="18">
        <v>3417026</v>
      </c>
      <c r="I29" s="18">
        <f t="shared" si="6"/>
        <v>7040771</v>
      </c>
      <c r="K29" s="18">
        <f t="shared" si="7"/>
        <v>81160.637519872747</v>
      </c>
      <c r="L29" s="15">
        <f t="shared" si="8"/>
        <v>5105.0040999999956</v>
      </c>
    </row>
    <row r="30" spans="1:19" x14ac:dyDescent="0.25">
      <c r="A30" s="27" t="s">
        <v>42</v>
      </c>
      <c r="B30" s="15">
        <v>587907.64</v>
      </c>
      <c r="C30">
        <v>9.5589999999999994E-2</v>
      </c>
      <c r="D30" s="18">
        <f t="shared" si="5"/>
        <v>6150304.8436028883</v>
      </c>
      <c r="E30" s="15">
        <f>6150.616*1000</f>
        <v>6150616</v>
      </c>
      <c r="G30" s="18">
        <v>3068198</v>
      </c>
      <c r="H30" s="18">
        <v>3068218</v>
      </c>
      <c r="I30" s="18">
        <f t="shared" si="6"/>
        <v>6136416</v>
      </c>
      <c r="K30" s="18">
        <f t="shared" si="7"/>
        <v>13888.843602888286</v>
      </c>
      <c r="L30" s="15">
        <f t="shared" si="8"/>
        <v>1327.6345600000911</v>
      </c>
    </row>
    <row r="31" spans="1:19" x14ac:dyDescent="0.25">
      <c r="A31" s="27" t="s">
        <v>43</v>
      </c>
      <c r="B31" s="15">
        <v>569999.68999999994</v>
      </c>
      <c r="C31">
        <v>9.6680000000000002E-2</v>
      </c>
      <c r="D31" s="18">
        <f t="shared" si="5"/>
        <v>5895735.3123707063</v>
      </c>
      <c r="E31" s="15">
        <f>5895.602*1000</f>
        <v>5895602</v>
      </c>
      <c r="G31" s="18">
        <v>2830620</v>
      </c>
      <c r="H31" s="18">
        <v>3024749</v>
      </c>
      <c r="I31" s="18">
        <f t="shared" si="6"/>
        <v>5855369</v>
      </c>
      <c r="K31" s="18">
        <f t="shared" si="7"/>
        <v>40366.31237070635</v>
      </c>
      <c r="L31" s="15">
        <f t="shared" si="8"/>
        <v>3902.61507999989</v>
      </c>
    </row>
    <row r="32" spans="1:19" x14ac:dyDescent="0.25">
      <c r="A32" s="27" t="s">
        <v>44</v>
      </c>
      <c r="B32" s="15">
        <v>578346.44999999995</v>
      </c>
      <c r="C32">
        <v>9.5399999999999999E-2</v>
      </c>
      <c r="D32" s="18">
        <f t="shared" si="5"/>
        <v>6062331.7610062892</v>
      </c>
      <c r="E32" s="15">
        <f>6062.44*1000</f>
        <v>6062440</v>
      </c>
      <c r="G32" s="18">
        <v>2838106</v>
      </c>
      <c r="H32" s="18">
        <v>3157742</v>
      </c>
      <c r="I32" s="18">
        <f t="shared" si="6"/>
        <v>5995848</v>
      </c>
      <c r="K32" s="18">
        <f t="shared" si="7"/>
        <v>66483.761006289162</v>
      </c>
      <c r="L32" s="15">
        <f t="shared" si="8"/>
        <v>6342.5507999999863</v>
      </c>
    </row>
    <row r="33" spans="1:12" x14ac:dyDescent="0.25">
      <c r="A33" s="27" t="s">
        <v>45</v>
      </c>
      <c r="B33" s="15">
        <v>540967.01</v>
      </c>
      <c r="C33">
        <v>7.8829999999999997E-2</v>
      </c>
      <c r="D33" s="18">
        <f t="shared" si="5"/>
        <v>6862450.9704427253</v>
      </c>
      <c r="E33" s="15">
        <f>6861.901*1000</f>
        <v>6861901</v>
      </c>
      <c r="G33" s="18">
        <v>3410194</v>
      </c>
      <c r="H33" s="18">
        <v>3380496</v>
      </c>
      <c r="I33" s="18">
        <f t="shared" si="6"/>
        <v>6790690</v>
      </c>
      <c r="K33" s="18">
        <f t="shared" si="7"/>
        <v>71760.970442725345</v>
      </c>
      <c r="L33" s="15">
        <f t="shared" si="8"/>
        <v>5656.9173000000392</v>
      </c>
    </row>
    <row r="34" spans="1:12" x14ac:dyDescent="0.25">
      <c r="A34" s="27" t="s">
        <v>46</v>
      </c>
      <c r="B34" s="15">
        <v>545325.41</v>
      </c>
      <c r="C34">
        <v>8.0100000000000005E-2</v>
      </c>
      <c r="D34" s="18">
        <f t="shared" si="5"/>
        <v>6808057.5530586764</v>
      </c>
      <c r="E34" s="15">
        <f>6808.127*1000</f>
        <v>6808127</v>
      </c>
      <c r="G34" s="18">
        <v>3320558</v>
      </c>
      <c r="H34" s="18">
        <v>3384721</v>
      </c>
      <c r="I34" s="18">
        <f t="shared" si="6"/>
        <v>6705279</v>
      </c>
      <c r="K34" s="18">
        <f t="shared" si="7"/>
        <v>102778.55305867642</v>
      </c>
      <c r="L34" s="15">
        <f t="shared" si="8"/>
        <v>8232.562099999981</v>
      </c>
    </row>
    <row r="35" spans="1:12" x14ac:dyDescent="0.25">
      <c r="A35" s="27" t="s">
        <v>47</v>
      </c>
      <c r="B35" s="15">
        <v>442061.8</v>
      </c>
      <c r="C35">
        <v>6.7030000000000006E-2</v>
      </c>
      <c r="D35" s="18">
        <f t="shared" si="5"/>
        <v>6594984.3353722207</v>
      </c>
      <c r="E35" s="15">
        <f>6595.841*1000</f>
        <v>6595841</v>
      </c>
      <c r="G35" s="18">
        <v>3128606</v>
      </c>
      <c r="H35" s="18">
        <v>3417287</v>
      </c>
      <c r="I35" s="18">
        <f t="shared" si="6"/>
        <v>6545893</v>
      </c>
      <c r="K35" s="18">
        <f t="shared" si="7"/>
        <v>49091.335372220725</v>
      </c>
      <c r="L35" s="15">
        <f t="shared" si="8"/>
        <v>3290.5922099999557</v>
      </c>
    </row>
    <row r="36" spans="1:12" x14ac:dyDescent="0.25">
      <c r="A36" s="27" t="s">
        <v>48</v>
      </c>
      <c r="B36" s="15">
        <v>469971.79</v>
      </c>
      <c r="C36">
        <v>7.5439999999999993E-2</v>
      </c>
      <c r="D36" s="18">
        <f t="shared" si="5"/>
        <v>6229742.7094379645</v>
      </c>
      <c r="E36" s="15">
        <f>6229.532*1000</f>
        <v>6229532</v>
      </c>
      <c r="G36" s="18">
        <v>2891370</v>
      </c>
      <c r="H36" s="18">
        <v>3259301</v>
      </c>
      <c r="I36" s="18">
        <f t="shared" si="6"/>
        <v>6150671</v>
      </c>
      <c r="K36" s="18">
        <f t="shared" si="7"/>
        <v>79071.709437964484</v>
      </c>
      <c r="L36" s="15">
        <f t="shared" si="8"/>
        <v>5965.1697600000398</v>
      </c>
    </row>
    <row r="37" spans="1:12" x14ac:dyDescent="0.25">
      <c r="A37" s="27" t="s">
        <v>49</v>
      </c>
      <c r="B37" s="15">
        <v>707716.84</v>
      </c>
      <c r="C37">
        <v>0.1132</v>
      </c>
      <c r="D37" s="18">
        <f t="shared" si="5"/>
        <v>6251915.5477031805</v>
      </c>
      <c r="E37" s="15">
        <f>6252.392*1000</f>
        <v>6252392</v>
      </c>
      <c r="G37" s="18">
        <v>3074331</v>
      </c>
      <c r="H37" s="18">
        <v>3120196</v>
      </c>
      <c r="I37" s="18">
        <f t="shared" si="6"/>
        <v>6194527</v>
      </c>
      <c r="K37" s="18">
        <f t="shared" si="7"/>
        <v>57388.547703180462</v>
      </c>
      <c r="L37" s="15">
        <f t="shared" si="8"/>
        <v>6496.3836000000283</v>
      </c>
    </row>
    <row r="38" spans="1:12" x14ac:dyDescent="0.25">
      <c r="A38" s="27" t="s">
        <v>50</v>
      </c>
      <c r="B38" s="15">
        <v>636040.25</v>
      </c>
      <c r="C38">
        <v>9.4710000000000003E-2</v>
      </c>
      <c r="D38" s="18">
        <f t="shared" si="5"/>
        <v>6715660.9650512086</v>
      </c>
      <c r="E38" s="15">
        <f>6716.024*1000</f>
        <v>6716024</v>
      </c>
      <c r="G38" s="18">
        <v>3482354</v>
      </c>
      <c r="H38" s="18">
        <v>3131206</v>
      </c>
      <c r="I38" s="18">
        <f t="shared" si="6"/>
        <v>6613560</v>
      </c>
      <c r="K38" s="18">
        <f t="shared" si="7"/>
        <v>102100.96505120862</v>
      </c>
      <c r="L38" s="15">
        <f t="shared" si="8"/>
        <v>9669.982399999968</v>
      </c>
    </row>
    <row r="39" spans="1:12" x14ac:dyDescent="0.25">
      <c r="B39" s="20">
        <f t="shared" ref="B39" si="9">SUM(B27:B38)</f>
        <v>6203599.4199999999</v>
      </c>
      <c r="D39" s="50">
        <f>SUM(D27:D38)</f>
        <v>79639431.828300849</v>
      </c>
      <c r="E39" s="20">
        <f t="shared" ref="E39" si="10">SUM(E27:E38)</f>
        <v>79640642</v>
      </c>
      <c r="G39" s="50">
        <f>SUM(G27:G38)</f>
        <v>39786913</v>
      </c>
      <c r="H39" s="50">
        <f>SUM(H27:H38)</f>
        <v>39122774</v>
      </c>
      <c r="I39" s="50">
        <f>SUM(I27:I38)</f>
        <v>78909687</v>
      </c>
      <c r="L39" s="20">
        <f>SUM(L27:L38)</f>
        <v>59189.366339999935</v>
      </c>
    </row>
    <row r="41" spans="1:12" x14ac:dyDescent="0.25">
      <c r="G41" s="21">
        <f>+G39/I39</f>
        <v>0.50420822224272666</v>
      </c>
      <c r="H41" s="21">
        <f>+H39/I39</f>
        <v>0.49579177775727334</v>
      </c>
    </row>
    <row r="42" spans="1:12" x14ac:dyDescent="0.25">
      <c r="K42" t="s">
        <v>61</v>
      </c>
      <c r="L42" s="15">
        <f>+L39*G41</f>
        <v>29843.765177964851</v>
      </c>
    </row>
    <row r="43" spans="1:12" x14ac:dyDescent="0.25">
      <c r="K43" t="s">
        <v>59</v>
      </c>
      <c r="L43" s="15">
        <f>+L39*H41</f>
        <v>29345.601162035084</v>
      </c>
    </row>
    <row r="44" spans="1:12" x14ac:dyDescent="0.25">
      <c r="L44" s="20">
        <f>SUM(L42:L43)</f>
        <v>59189.366339999935</v>
      </c>
    </row>
  </sheetData>
  <pageMargins left="0.7" right="0.7" top="0.75" bottom="0.75" header="0.3" footer="0.3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0"/>
  <sheetViews>
    <sheetView topLeftCell="A13" workbookViewId="0">
      <selection activeCell="A3" sqref="A3"/>
    </sheetView>
  </sheetViews>
  <sheetFormatPr defaultRowHeight="15" x14ac:dyDescent="0.25"/>
  <cols>
    <col min="1" max="1" width="79.5703125" customWidth="1"/>
    <col min="2" max="2" width="13.28515625" bestFit="1" customWidth="1"/>
  </cols>
  <sheetData>
    <row r="2" spans="1:4" x14ac:dyDescent="0.25">
      <c r="A2" s="25" t="s">
        <v>113</v>
      </c>
      <c r="B2" t="s">
        <v>108</v>
      </c>
    </row>
    <row r="3" spans="1:4" x14ac:dyDescent="0.25">
      <c r="A3" s="25" t="s">
        <v>73</v>
      </c>
    </row>
    <row r="6" spans="1:4" x14ac:dyDescent="0.25">
      <c r="A6" t="s">
        <v>74</v>
      </c>
      <c r="B6" s="18">
        <v>365967</v>
      </c>
    </row>
    <row r="7" spans="1:4" x14ac:dyDescent="0.25">
      <c r="B7" s="18"/>
    </row>
    <row r="8" spans="1:4" x14ac:dyDescent="0.25">
      <c r="A8" t="s">
        <v>75</v>
      </c>
      <c r="B8" s="18">
        <v>252494</v>
      </c>
    </row>
    <row r="9" spans="1:4" x14ac:dyDescent="0.25">
      <c r="B9" s="18"/>
      <c r="D9" s="57">
        <v>47620</v>
      </c>
    </row>
    <row r="10" spans="1:4" x14ac:dyDescent="0.25">
      <c r="A10" t="s">
        <v>76</v>
      </c>
      <c r="B10" s="18">
        <v>-204874</v>
      </c>
    </row>
    <row r="11" spans="1:4" x14ac:dyDescent="0.25">
      <c r="B11" s="18"/>
    </row>
    <row r="12" spans="1:4" x14ac:dyDescent="0.25">
      <c r="A12" t="s">
        <v>77</v>
      </c>
      <c r="B12" s="50">
        <f>SUM(B6:B11)</f>
        <v>413587</v>
      </c>
    </row>
    <row r="13" spans="1:4" x14ac:dyDescent="0.25">
      <c r="B13" s="18"/>
    </row>
    <row r="15" spans="1:4" x14ac:dyDescent="0.25">
      <c r="A15" s="25" t="s">
        <v>78</v>
      </c>
    </row>
    <row r="17" spans="1:3" x14ac:dyDescent="0.25">
      <c r="A17" t="s">
        <v>79</v>
      </c>
      <c r="B17" s="57">
        <v>1126</v>
      </c>
    </row>
    <row r="21" spans="1:3" x14ac:dyDescent="0.25">
      <c r="A21" s="25" t="s">
        <v>80</v>
      </c>
    </row>
    <row r="23" spans="1:3" x14ac:dyDescent="0.25">
      <c r="A23" t="s">
        <v>81</v>
      </c>
      <c r="B23" s="18">
        <v>3010715.43</v>
      </c>
      <c r="C23" t="s">
        <v>82</v>
      </c>
    </row>
    <row r="24" spans="1:3" x14ac:dyDescent="0.25">
      <c r="A24" t="s">
        <v>6</v>
      </c>
      <c r="B24" s="18">
        <v>3058335.71</v>
      </c>
    </row>
    <row r="25" spans="1:3" x14ac:dyDescent="0.25">
      <c r="B25" s="50">
        <f>+B24-B23</f>
        <v>47620.279999999795</v>
      </c>
      <c r="C25" t="s">
        <v>83</v>
      </c>
    </row>
    <row r="28" spans="1:3" x14ac:dyDescent="0.25">
      <c r="A28" s="25" t="s">
        <v>84</v>
      </c>
    </row>
    <row r="29" spans="1:3" x14ac:dyDescent="0.25">
      <c r="A29" t="s">
        <v>85</v>
      </c>
    </row>
    <row r="30" spans="1:3" x14ac:dyDescent="0.25">
      <c r="A30" t="s">
        <v>86</v>
      </c>
      <c r="B30" s="15">
        <v>3263209.75</v>
      </c>
    </row>
    <row r="31" spans="1:3" x14ac:dyDescent="0.25">
      <c r="B31" s="15"/>
    </row>
    <row r="32" spans="1:3" x14ac:dyDescent="0.25">
      <c r="A32" t="s">
        <v>87</v>
      </c>
      <c r="B32" s="15">
        <v>-88021.5</v>
      </c>
    </row>
    <row r="33" spans="1:3" x14ac:dyDescent="0.25">
      <c r="B33" s="15"/>
    </row>
    <row r="34" spans="1:3" x14ac:dyDescent="0.25">
      <c r="A34" t="s">
        <v>88</v>
      </c>
      <c r="B34" s="15"/>
    </row>
    <row r="35" spans="1:3" x14ac:dyDescent="0.25">
      <c r="A35" t="s">
        <v>89</v>
      </c>
      <c r="B35" s="15"/>
    </row>
    <row r="36" spans="1:3" x14ac:dyDescent="0.25">
      <c r="A36" t="s">
        <v>90</v>
      </c>
      <c r="B36" s="15"/>
    </row>
    <row r="37" spans="1:3" x14ac:dyDescent="0.25">
      <c r="A37" t="s">
        <v>91</v>
      </c>
      <c r="B37" s="15">
        <v>-87009.19</v>
      </c>
    </row>
    <row r="38" spans="1:3" x14ac:dyDescent="0.25">
      <c r="B38" s="15"/>
    </row>
    <row r="39" spans="1:3" x14ac:dyDescent="0.25">
      <c r="B39" s="15"/>
    </row>
    <row r="40" spans="1:3" x14ac:dyDescent="0.25">
      <c r="A40" t="s">
        <v>92</v>
      </c>
      <c r="B40" s="15"/>
    </row>
    <row r="41" spans="1:3" x14ac:dyDescent="0.25">
      <c r="A41" t="s">
        <v>93</v>
      </c>
      <c r="B41" s="15"/>
    </row>
    <row r="42" spans="1:3" x14ac:dyDescent="0.25">
      <c r="A42" t="s">
        <v>94</v>
      </c>
      <c r="B42" s="15"/>
    </row>
    <row r="43" spans="1:3" x14ac:dyDescent="0.25">
      <c r="A43" t="s">
        <v>95</v>
      </c>
      <c r="B43" s="15">
        <v>-29843.35</v>
      </c>
      <c r="C43" t="s">
        <v>96</v>
      </c>
    </row>
    <row r="44" spans="1:3" x14ac:dyDescent="0.25">
      <c r="B44" s="15"/>
    </row>
    <row r="45" spans="1:3" x14ac:dyDescent="0.25">
      <c r="B45" s="20">
        <f>SUM(B30:B44)</f>
        <v>3058335.71</v>
      </c>
    </row>
    <row r="46" spans="1:3" x14ac:dyDescent="0.25">
      <c r="B46" s="15"/>
    </row>
    <row r="47" spans="1:3" x14ac:dyDescent="0.25">
      <c r="B47" s="15"/>
    </row>
    <row r="48" spans="1:3" x14ac:dyDescent="0.25">
      <c r="A48" t="s">
        <v>97</v>
      </c>
      <c r="B48" s="15"/>
    </row>
    <row r="49" spans="1:2" x14ac:dyDescent="0.25">
      <c r="A49" t="s">
        <v>98</v>
      </c>
      <c r="B49" s="15"/>
    </row>
    <row r="50" spans="1:2" x14ac:dyDescent="0.25">
      <c r="A50" t="s">
        <v>99</v>
      </c>
    </row>
  </sheetData>
  <pageMargins left="0.7" right="0.7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7"/>
  <sheetViews>
    <sheetView tabSelected="1" topLeftCell="A16" workbookViewId="0">
      <selection activeCell="A17" sqref="A17"/>
    </sheetView>
  </sheetViews>
  <sheetFormatPr defaultRowHeight="15" x14ac:dyDescent="0.25"/>
  <cols>
    <col min="1" max="1" width="79.5703125" customWidth="1"/>
    <col min="2" max="2" width="13.28515625" bestFit="1" customWidth="1"/>
  </cols>
  <sheetData>
    <row r="2" spans="1:4" x14ac:dyDescent="0.25">
      <c r="A2" s="25" t="s">
        <v>113</v>
      </c>
      <c r="B2" t="s">
        <v>107</v>
      </c>
    </row>
    <row r="3" spans="1:4" x14ac:dyDescent="0.25">
      <c r="A3" s="25" t="s">
        <v>100</v>
      </c>
    </row>
    <row r="6" spans="1:4" x14ac:dyDescent="0.25">
      <c r="A6" t="s">
        <v>74</v>
      </c>
      <c r="B6" s="18">
        <v>618461</v>
      </c>
    </row>
    <row r="7" spans="1:4" x14ac:dyDescent="0.25">
      <c r="A7" t="s">
        <v>101</v>
      </c>
      <c r="B7" s="18">
        <v>-204874</v>
      </c>
    </row>
    <row r="8" spans="1:4" x14ac:dyDescent="0.25">
      <c r="A8" t="s">
        <v>102</v>
      </c>
      <c r="B8" s="18">
        <v>-365967</v>
      </c>
      <c r="C8" t="s">
        <v>104</v>
      </c>
    </row>
    <row r="9" spans="1:4" x14ac:dyDescent="0.25">
      <c r="B9" s="18"/>
    </row>
    <row r="10" spans="1:4" x14ac:dyDescent="0.25">
      <c r="A10" t="s">
        <v>105</v>
      </c>
      <c r="B10" s="18">
        <v>279564</v>
      </c>
    </row>
    <row r="11" spans="1:4" x14ac:dyDescent="0.25">
      <c r="B11" s="18"/>
      <c r="D11" s="57">
        <f>+B10+B12</f>
        <v>23320</v>
      </c>
    </row>
    <row r="12" spans="1:4" x14ac:dyDescent="0.25">
      <c r="A12" t="s">
        <v>76</v>
      </c>
      <c r="B12" s="18">
        <v>-256244</v>
      </c>
    </row>
    <row r="13" spans="1:4" x14ac:dyDescent="0.25">
      <c r="B13" s="18"/>
    </row>
    <row r="14" spans="1:4" x14ac:dyDescent="0.25">
      <c r="A14" t="s">
        <v>77</v>
      </c>
      <c r="B14" s="50">
        <f>SUM(B6:B13)</f>
        <v>70940</v>
      </c>
    </row>
    <row r="15" spans="1:4" x14ac:dyDescent="0.25">
      <c r="B15" s="18"/>
    </row>
    <row r="19" spans="1:3" x14ac:dyDescent="0.25">
      <c r="A19" s="25" t="s">
        <v>103</v>
      </c>
    </row>
    <row r="21" spans="1:3" x14ac:dyDescent="0.25">
      <c r="A21" t="s">
        <v>81</v>
      </c>
      <c r="B21" s="18">
        <v>3899149.52</v>
      </c>
      <c r="C21" t="s">
        <v>82</v>
      </c>
    </row>
    <row r="22" spans="1:3" x14ac:dyDescent="0.25">
      <c r="A22" t="s">
        <v>6</v>
      </c>
      <c r="B22" s="18">
        <v>3922469.97</v>
      </c>
    </row>
    <row r="23" spans="1:3" x14ac:dyDescent="0.25">
      <c r="B23" s="50">
        <f>+B22-B21</f>
        <v>23320.450000000186</v>
      </c>
      <c r="C23" t="s">
        <v>83</v>
      </c>
    </row>
    <row r="26" spans="1:3" x14ac:dyDescent="0.25">
      <c r="A26" s="25" t="s">
        <v>84</v>
      </c>
    </row>
    <row r="27" spans="1:3" x14ac:dyDescent="0.25">
      <c r="A27" t="s">
        <v>85</v>
      </c>
    </row>
    <row r="28" spans="1:3" x14ac:dyDescent="0.25">
      <c r="A28" t="s">
        <v>86</v>
      </c>
      <c r="B28" s="15">
        <v>4178712.93</v>
      </c>
    </row>
    <row r="29" spans="1:3" x14ac:dyDescent="0.25">
      <c r="B29" s="15"/>
    </row>
    <row r="30" spans="1:3" x14ac:dyDescent="0.25">
      <c r="A30" t="s">
        <v>87</v>
      </c>
      <c r="B30" s="15">
        <v>-21830.13</v>
      </c>
    </row>
    <row r="31" spans="1:3" x14ac:dyDescent="0.25">
      <c r="B31" s="15"/>
    </row>
    <row r="32" spans="1:3" x14ac:dyDescent="0.25">
      <c r="A32" t="s">
        <v>88</v>
      </c>
      <c r="B32" s="15"/>
    </row>
    <row r="33" spans="1:3" x14ac:dyDescent="0.25">
      <c r="A33" t="s">
        <v>89</v>
      </c>
      <c r="B33" s="15"/>
    </row>
    <row r="34" spans="1:3" x14ac:dyDescent="0.25">
      <c r="A34" t="s">
        <v>90</v>
      </c>
      <c r="B34" s="15"/>
    </row>
    <row r="35" spans="1:3" x14ac:dyDescent="0.25">
      <c r="A35" t="s">
        <v>91</v>
      </c>
      <c r="B35" s="15">
        <v>-200375.42</v>
      </c>
    </row>
    <row r="36" spans="1:3" x14ac:dyDescent="0.25">
      <c r="B36" s="15"/>
    </row>
    <row r="37" spans="1:3" x14ac:dyDescent="0.25">
      <c r="B37" s="15"/>
    </row>
    <row r="38" spans="1:3" x14ac:dyDescent="0.25">
      <c r="A38" t="s">
        <v>92</v>
      </c>
      <c r="B38" s="15"/>
    </row>
    <row r="39" spans="1:3" x14ac:dyDescent="0.25">
      <c r="A39" t="s">
        <v>93</v>
      </c>
      <c r="B39" s="15"/>
    </row>
    <row r="40" spans="1:3" x14ac:dyDescent="0.25">
      <c r="A40" t="s">
        <v>94</v>
      </c>
      <c r="B40" s="15"/>
    </row>
    <row r="41" spans="1:3" x14ac:dyDescent="0.25">
      <c r="A41" t="s">
        <v>114</v>
      </c>
      <c r="B41" s="15">
        <v>-34037.410000000003</v>
      </c>
      <c r="C41" t="s">
        <v>96</v>
      </c>
    </row>
    <row r="42" spans="1:3" x14ac:dyDescent="0.25">
      <c r="B42" s="15"/>
    </row>
    <row r="43" spans="1:3" x14ac:dyDescent="0.25">
      <c r="B43" s="20">
        <f>SUM(B28:B42)</f>
        <v>3922469.97</v>
      </c>
    </row>
    <row r="44" spans="1:3" x14ac:dyDescent="0.25">
      <c r="B44" s="15"/>
    </row>
    <row r="45" spans="1:3" x14ac:dyDescent="0.25">
      <c r="B45" s="15"/>
    </row>
    <row r="46" spans="1:3" x14ac:dyDescent="0.25">
      <c r="A46" t="s">
        <v>106</v>
      </c>
    </row>
    <row r="47" spans="1:3" x14ac:dyDescent="0.25">
      <c r="B47" s="58">
        <v>256242.96</v>
      </c>
    </row>
  </sheetData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Q #8 C - 2016</vt:lpstr>
      <vt:lpstr>Q # 8 C - 2015</vt:lpstr>
      <vt:lpstr>Q # 9 C</vt:lpstr>
      <vt:lpstr>Q#10 B</vt:lpstr>
      <vt:lpstr>Q11 - 2015</vt:lpstr>
      <vt:lpstr>Q11 - 2016</vt:lpstr>
      <vt:lpstr>'Q # 8 C - 2015'!Print_Area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Hastie</dc:creator>
  <cp:lastModifiedBy>Deanna Hastie</cp:lastModifiedBy>
  <cp:lastPrinted>2017-12-01T14:25:56Z</cp:lastPrinted>
  <dcterms:created xsi:type="dcterms:W3CDTF">2017-11-29T20:07:54Z</dcterms:created>
  <dcterms:modified xsi:type="dcterms:W3CDTF">2017-12-01T20:30:21Z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