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19440" windowHeight="11790" tabRatio="791"/>
  </bookViews>
  <sheets>
    <sheet name="Data for Bill Impacts" sheetId="2" r:id="rId1"/>
    <sheet name="Summary" sheetId="15" r:id="rId2"/>
    <sheet name="Residential_Low" sheetId="11" r:id="rId3"/>
    <sheet name="Residential_Typical" sheetId="1" r:id="rId4"/>
    <sheet name="Residential_High" sheetId="10" r:id="rId5"/>
    <sheet name="GS&lt;50 kW" sheetId="5" r:id="rId6"/>
    <sheet name="GS 50-4,999 kW" sheetId="6" r:id="rId7"/>
    <sheet name="USL" sheetId="7" r:id="rId8"/>
    <sheet name="Sentinel Lighting" sheetId="8" r:id="rId9"/>
    <sheet name="Street Lighting" sheetId="9" r:id="rId10"/>
    <sheet name="Embedded Distributor" sheetId="14" r:id="rId11"/>
    <sheet name="Residential_Retailer" sheetId="12" r:id="rId12"/>
    <sheet name="GS&lt;50 kW_Retailer" sheetId="13" r:id="rId13"/>
  </sheets>
  <externalReferences>
    <externalReference r:id="rId14"/>
    <externalReference r:id="rId15"/>
    <externalReference r:id="rId16"/>
  </externalReferences>
  <definedNames>
    <definedName name="MidPeak">'[1]17. Regulatory Charges'!$D$24</definedName>
    <definedName name="OffPeak">'[1]17. Regulatory Charges'!$D$23</definedName>
    <definedName name="OnPeak">'[1]17. Regulatory Charges'!$D$25</definedName>
  </definedNames>
  <calcPr calcId="145621"/>
</workbook>
</file>

<file path=xl/calcChain.xml><?xml version="1.0" encoding="utf-8"?>
<calcChain xmlns="http://schemas.openxmlformats.org/spreadsheetml/2006/main">
  <c r="AA9" i="2" l="1"/>
  <c r="AA8" i="2" l="1"/>
  <c r="AA7" i="2"/>
  <c r="AA6" i="2"/>
  <c r="AA5" i="2"/>
  <c r="AA4" i="2"/>
  <c r="AA3" i="2"/>
  <c r="Z9" i="2"/>
  <c r="Z8" i="2"/>
  <c r="Z7" i="2"/>
  <c r="Z6" i="2"/>
  <c r="Z5" i="2"/>
  <c r="Z4" i="2"/>
  <c r="Z3" i="2"/>
  <c r="D14" i="9" l="1"/>
  <c r="AB4" i="2"/>
  <c r="AB5" i="2"/>
  <c r="AB6" i="2"/>
  <c r="AB7" i="2"/>
  <c r="AB8" i="2"/>
  <c r="AB9" i="2"/>
  <c r="AB3" i="2"/>
  <c r="V3" i="2" l="1"/>
  <c r="N9" i="2"/>
  <c r="P8" i="2"/>
  <c r="P7" i="2"/>
  <c r="P6" i="2"/>
  <c r="P5" i="2"/>
  <c r="N5" i="2"/>
  <c r="P4" i="2"/>
  <c r="P3" i="2"/>
  <c r="F33" i="14"/>
  <c r="F31" i="14"/>
  <c r="H30" i="14"/>
  <c r="I30" i="14" s="1"/>
  <c r="J30" i="14" s="1"/>
  <c r="E30" i="14"/>
  <c r="F26" i="14"/>
  <c r="C26" i="14"/>
  <c r="F25" i="14"/>
  <c r="C25" i="14"/>
  <c r="G22" i="14"/>
  <c r="F22" i="14"/>
  <c r="C22" i="14"/>
  <c r="E22" i="14" s="1"/>
  <c r="C21" i="14"/>
  <c r="F20" i="14"/>
  <c r="C20" i="14"/>
  <c r="F18" i="14"/>
  <c r="C18" i="14"/>
  <c r="C15" i="14"/>
  <c r="G14" i="14"/>
  <c r="C14" i="14"/>
  <c r="E14" i="14" s="1"/>
  <c r="C13" i="14"/>
  <c r="G12" i="14"/>
  <c r="C12" i="14"/>
  <c r="E12" i="14" s="1"/>
  <c r="C6" i="14"/>
  <c r="C7" i="14" s="1"/>
  <c r="C5" i="14"/>
  <c r="C4" i="14"/>
  <c r="G28" i="14" l="1"/>
  <c r="H28" i="14" s="1"/>
  <c r="D13" i="14"/>
  <c r="D23" i="14" s="1"/>
  <c r="H22" i="14"/>
  <c r="I22" i="14" s="1"/>
  <c r="J22" i="14" s="1"/>
  <c r="D33" i="14"/>
  <c r="E33" i="14" s="1"/>
  <c r="D31" i="14"/>
  <c r="G31" i="14" s="1"/>
  <c r="H31" i="14" s="1"/>
  <c r="D25" i="14"/>
  <c r="D26" i="14" s="1"/>
  <c r="F17" i="14"/>
  <c r="G17" i="14" s="1"/>
  <c r="H17" i="14" s="1"/>
  <c r="D20" i="14"/>
  <c r="D28" i="14"/>
  <c r="E28" i="14" s="1"/>
  <c r="G33" i="14"/>
  <c r="H33" i="14" s="1"/>
  <c r="D29" i="14"/>
  <c r="E29" i="14" s="1"/>
  <c r="C17" i="14"/>
  <c r="D17" i="14" s="1"/>
  <c r="E17" i="14" s="1"/>
  <c r="G29" i="14"/>
  <c r="H29" i="14" s="1"/>
  <c r="E25" i="14" l="1"/>
  <c r="I33" i="14"/>
  <c r="J33" i="14" s="1"/>
  <c r="I29" i="14"/>
  <c r="J29" i="14" s="1"/>
  <c r="G13" i="14"/>
  <c r="E23" i="14"/>
  <c r="G23" i="14"/>
  <c r="H23" i="14" s="1"/>
  <c r="E13" i="14"/>
  <c r="D18" i="14"/>
  <c r="G18" i="14" s="1"/>
  <c r="H18" i="14" s="1"/>
  <c r="D21" i="14"/>
  <c r="G21" i="14" s="1"/>
  <c r="D15" i="14"/>
  <c r="D19" i="14"/>
  <c r="G25" i="14"/>
  <c r="H25" i="14" s="1"/>
  <c r="E31" i="14"/>
  <c r="I31" i="14" s="1"/>
  <c r="J31" i="14" s="1"/>
  <c r="I17" i="14"/>
  <c r="J17" i="14" s="1"/>
  <c r="G26" i="14"/>
  <c r="H26" i="14" s="1"/>
  <c r="E26" i="14"/>
  <c r="I28" i="14"/>
  <c r="J28" i="14" s="1"/>
  <c r="E20" i="14"/>
  <c r="G20" i="14"/>
  <c r="H20" i="14" s="1"/>
  <c r="E18" i="14" l="1"/>
  <c r="I18" i="14" s="1"/>
  <c r="J18" i="14" s="1"/>
  <c r="I25" i="14"/>
  <c r="J25" i="14" s="1"/>
  <c r="I20" i="14"/>
  <c r="J20" i="14" s="1"/>
  <c r="E21" i="14"/>
  <c r="E19" i="14"/>
  <c r="G19" i="14"/>
  <c r="H19" i="14" s="1"/>
  <c r="G15" i="14"/>
  <c r="E15" i="14"/>
  <c r="I23" i="14"/>
  <c r="J23" i="14" s="1"/>
  <c r="I26" i="14"/>
  <c r="J26" i="14" s="1"/>
  <c r="E16" i="14" l="1"/>
  <c r="I19" i="14"/>
  <c r="J19" i="14" s="1"/>
  <c r="E24" i="14" l="1"/>
  <c r="E27" i="14" l="1"/>
  <c r="E35" i="14" l="1"/>
  <c r="E36" i="14" l="1"/>
  <c r="E37" i="14" l="1"/>
  <c r="F31" i="13" l="1"/>
  <c r="F39" i="13"/>
  <c r="F35" i="13"/>
  <c r="F34" i="13"/>
  <c r="F26" i="13"/>
  <c r="C26" i="13"/>
  <c r="F25" i="13"/>
  <c r="C25" i="13"/>
  <c r="G22" i="13"/>
  <c r="F22" i="13"/>
  <c r="C22" i="13"/>
  <c r="E22" i="13" s="1"/>
  <c r="C21" i="13"/>
  <c r="F20" i="13"/>
  <c r="C20" i="13"/>
  <c r="F18" i="13"/>
  <c r="C18" i="13"/>
  <c r="C15" i="13"/>
  <c r="G14" i="13"/>
  <c r="C14" i="13"/>
  <c r="E14" i="13" s="1"/>
  <c r="C13" i="13"/>
  <c r="G12" i="13"/>
  <c r="C12" i="13"/>
  <c r="E12" i="13" s="1"/>
  <c r="C6" i="13"/>
  <c r="C7" i="13" s="1"/>
  <c r="C5" i="13"/>
  <c r="C4" i="13"/>
  <c r="F39" i="12"/>
  <c r="F35" i="12"/>
  <c r="F34" i="12"/>
  <c r="F26" i="12"/>
  <c r="C26" i="12"/>
  <c r="F25" i="12"/>
  <c r="C25" i="12"/>
  <c r="G22" i="12"/>
  <c r="F22" i="12"/>
  <c r="C22" i="12"/>
  <c r="E22" i="12" s="1"/>
  <c r="F21" i="12"/>
  <c r="C21" i="12"/>
  <c r="F20" i="12"/>
  <c r="C20" i="12"/>
  <c r="F18" i="12"/>
  <c r="C18" i="12"/>
  <c r="F15" i="12"/>
  <c r="C15" i="12"/>
  <c r="G14" i="12"/>
  <c r="F14" i="12"/>
  <c r="C14" i="12"/>
  <c r="E14" i="12" s="1"/>
  <c r="F13" i="12"/>
  <c r="C13" i="12"/>
  <c r="G12" i="12"/>
  <c r="F12" i="12"/>
  <c r="C12" i="12"/>
  <c r="E12" i="12" s="1"/>
  <c r="C6" i="12"/>
  <c r="C7" i="12" s="1"/>
  <c r="C5" i="12"/>
  <c r="C4" i="12"/>
  <c r="D35" i="12" s="1"/>
  <c r="E35" i="12" s="1"/>
  <c r="F37" i="11"/>
  <c r="F36" i="11"/>
  <c r="D36" i="11"/>
  <c r="E36" i="11" s="1"/>
  <c r="G35" i="11"/>
  <c r="G34" i="11"/>
  <c r="G33" i="11"/>
  <c r="H30" i="11"/>
  <c r="I30" i="11" s="1"/>
  <c r="J30" i="11" s="1"/>
  <c r="E30" i="11"/>
  <c r="F26" i="11"/>
  <c r="C26" i="11"/>
  <c r="F25" i="11"/>
  <c r="C25" i="11"/>
  <c r="G22" i="11"/>
  <c r="F22" i="11"/>
  <c r="C22" i="11"/>
  <c r="E22" i="11" s="1"/>
  <c r="F21" i="11"/>
  <c r="C21" i="11"/>
  <c r="F20" i="11"/>
  <c r="C20" i="11"/>
  <c r="F18" i="11"/>
  <c r="C18" i="11"/>
  <c r="F15" i="11"/>
  <c r="C15" i="11"/>
  <c r="G14" i="11"/>
  <c r="F14" i="11"/>
  <c r="H14" i="11" s="1"/>
  <c r="C14" i="11"/>
  <c r="E14" i="11" s="1"/>
  <c r="F13" i="11"/>
  <c r="C13" i="11"/>
  <c r="G12" i="11"/>
  <c r="F12" i="11"/>
  <c r="C12" i="11"/>
  <c r="E12" i="11" s="1"/>
  <c r="C6" i="11"/>
  <c r="C7" i="11" s="1"/>
  <c r="G28" i="11" s="1"/>
  <c r="H28" i="11" s="1"/>
  <c r="C5" i="11"/>
  <c r="D37" i="11"/>
  <c r="E37" i="11" s="1"/>
  <c r="F37" i="10"/>
  <c r="F36" i="10"/>
  <c r="D36" i="10"/>
  <c r="E36" i="10" s="1"/>
  <c r="G35" i="10"/>
  <c r="G34" i="10"/>
  <c r="G33" i="10"/>
  <c r="H30" i="10"/>
  <c r="E30" i="10"/>
  <c r="F26" i="10"/>
  <c r="C26" i="10"/>
  <c r="F25" i="10"/>
  <c r="C25" i="10"/>
  <c r="G22" i="10"/>
  <c r="F22" i="10"/>
  <c r="C22" i="10"/>
  <c r="E22" i="10" s="1"/>
  <c r="F21" i="10"/>
  <c r="C21" i="10"/>
  <c r="F20" i="10"/>
  <c r="C20" i="10"/>
  <c r="F18" i="10"/>
  <c r="C18" i="10"/>
  <c r="F15" i="10"/>
  <c r="C15" i="10"/>
  <c r="G14" i="10"/>
  <c r="F14" i="10"/>
  <c r="H14" i="10" s="1"/>
  <c r="C14" i="10"/>
  <c r="E14" i="10" s="1"/>
  <c r="F13" i="10"/>
  <c r="C13" i="10"/>
  <c r="G12" i="10"/>
  <c r="F12" i="10"/>
  <c r="C12" i="10"/>
  <c r="E12" i="10" s="1"/>
  <c r="C6" i="10"/>
  <c r="C7" i="10" s="1"/>
  <c r="G28" i="10" s="1"/>
  <c r="H28" i="10" s="1"/>
  <c r="C5" i="10"/>
  <c r="D37" i="10"/>
  <c r="E37" i="10" s="1"/>
  <c r="F31" i="9"/>
  <c r="H30" i="9"/>
  <c r="I30" i="9" s="1"/>
  <c r="J30" i="9" s="1"/>
  <c r="E30" i="9"/>
  <c r="F26" i="9"/>
  <c r="C26" i="9"/>
  <c r="F25" i="9"/>
  <c r="C25" i="9"/>
  <c r="G22" i="9"/>
  <c r="F22" i="9"/>
  <c r="C22" i="9"/>
  <c r="E22" i="9" s="1"/>
  <c r="C21" i="9"/>
  <c r="F20" i="9"/>
  <c r="C20" i="9"/>
  <c r="F18" i="9"/>
  <c r="C18" i="9"/>
  <c r="C15" i="9"/>
  <c r="G14" i="9"/>
  <c r="C14" i="9"/>
  <c r="E14" i="9" s="1"/>
  <c r="C13" i="9"/>
  <c r="G12" i="9"/>
  <c r="C12" i="9"/>
  <c r="E12" i="9" s="1"/>
  <c r="C6" i="9"/>
  <c r="C7" i="9" s="1"/>
  <c r="C5" i="9"/>
  <c r="D13" i="9" s="1"/>
  <c r="C4" i="9"/>
  <c r="F31" i="8"/>
  <c r="H30" i="8"/>
  <c r="I30" i="8" s="1"/>
  <c r="J30" i="8" s="1"/>
  <c r="E30" i="8"/>
  <c r="F26" i="8"/>
  <c r="C26" i="8"/>
  <c r="F25" i="8"/>
  <c r="C25" i="8"/>
  <c r="G22" i="8"/>
  <c r="F22" i="8"/>
  <c r="C22" i="8"/>
  <c r="E22" i="8" s="1"/>
  <c r="C21" i="8"/>
  <c r="F20" i="8"/>
  <c r="C20" i="8"/>
  <c r="F18" i="8"/>
  <c r="C18" i="8"/>
  <c r="C15" i="8"/>
  <c r="G14" i="8"/>
  <c r="C14" i="8"/>
  <c r="E14" i="8" s="1"/>
  <c r="C13" i="8"/>
  <c r="G12" i="8"/>
  <c r="C12" i="8"/>
  <c r="E12" i="8" s="1"/>
  <c r="C6" i="8"/>
  <c r="C7" i="8" s="1"/>
  <c r="C5" i="8"/>
  <c r="D13" i="8" s="1"/>
  <c r="C4" i="8"/>
  <c r="G35" i="8" s="1"/>
  <c r="I30" i="10" l="1"/>
  <c r="J30" i="10" s="1"/>
  <c r="H33" i="11"/>
  <c r="G33" i="9"/>
  <c r="H33" i="9" s="1"/>
  <c r="H22" i="9"/>
  <c r="I22" i="9" s="1"/>
  <c r="J22" i="9" s="1"/>
  <c r="H22" i="8"/>
  <c r="I22" i="8" s="1"/>
  <c r="J22" i="8" s="1"/>
  <c r="D25" i="10"/>
  <c r="D26" i="10" s="1"/>
  <c r="D25" i="11"/>
  <c r="G25" i="11" s="1"/>
  <c r="H25" i="11" s="1"/>
  <c r="G28" i="12"/>
  <c r="H28" i="12" s="1"/>
  <c r="D33" i="12"/>
  <c r="G33" i="12" s="1"/>
  <c r="H33" i="12" s="1"/>
  <c r="H22" i="10"/>
  <c r="I22" i="10" s="1"/>
  <c r="J22" i="10" s="1"/>
  <c r="H22" i="13"/>
  <c r="I22" i="13" s="1"/>
  <c r="J22" i="13" s="1"/>
  <c r="H12" i="12"/>
  <c r="I12" i="12" s="1"/>
  <c r="J12" i="12" s="1"/>
  <c r="H22" i="12"/>
  <c r="I22" i="12" s="1"/>
  <c r="J22" i="12" s="1"/>
  <c r="H12" i="11"/>
  <c r="I12" i="11" s="1"/>
  <c r="J12" i="11" s="1"/>
  <c r="H12" i="10"/>
  <c r="I12" i="10" s="1"/>
  <c r="J12" i="10" s="1"/>
  <c r="H22" i="11"/>
  <c r="I22" i="11" s="1"/>
  <c r="J22" i="11" s="1"/>
  <c r="D28" i="13"/>
  <c r="E28" i="13" s="1"/>
  <c r="D31" i="13"/>
  <c r="H14" i="12"/>
  <c r="I14" i="12" s="1"/>
  <c r="J14" i="12" s="1"/>
  <c r="H33" i="10"/>
  <c r="G34" i="13"/>
  <c r="H34" i="13" s="1"/>
  <c r="D35" i="13"/>
  <c r="E35" i="13" s="1"/>
  <c r="C17" i="13"/>
  <c r="D17" i="13" s="1"/>
  <c r="E17" i="13" s="1"/>
  <c r="D33" i="13"/>
  <c r="E33" i="13" s="1"/>
  <c r="D13" i="13"/>
  <c r="D21" i="13" s="1"/>
  <c r="G35" i="13"/>
  <c r="H35" i="13" s="1"/>
  <c r="G29" i="13"/>
  <c r="H29" i="13" s="1"/>
  <c r="G28" i="13"/>
  <c r="H28" i="13" s="1"/>
  <c r="D25" i="13"/>
  <c r="D29" i="13"/>
  <c r="E29" i="13" s="1"/>
  <c r="D34" i="13"/>
  <c r="E34" i="13" s="1"/>
  <c r="F17" i="13"/>
  <c r="G17" i="13" s="1"/>
  <c r="H17" i="13" s="1"/>
  <c r="D25" i="12"/>
  <c r="D26" i="12" s="1"/>
  <c r="D34" i="12"/>
  <c r="E34" i="12" s="1"/>
  <c r="H35" i="11"/>
  <c r="D29" i="12"/>
  <c r="E29" i="12" s="1"/>
  <c r="H34" i="11"/>
  <c r="F17" i="12"/>
  <c r="G17" i="12" s="1"/>
  <c r="H17" i="12" s="1"/>
  <c r="D28" i="12"/>
  <c r="E28" i="12" s="1"/>
  <c r="G35" i="12"/>
  <c r="H35" i="12" s="1"/>
  <c r="I35" i="12" s="1"/>
  <c r="J35" i="12" s="1"/>
  <c r="D13" i="12"/>
  <c r="C17" i="12"/>
  <c r="D17" i="12" s="1"/>
  <c r="E17" i="12" s="1"/>
  <c r="G29" i="12"/>
  <c r="H29" i="12" s="1"/>
  <c r="G34" i="12"/>
  <c r="H34" i="12" s="1"/>
  <c r="I14" i="11"/>
  <c r="J14" i="11" s="1"/>
  <c r="H35" i="10"/>
  <c r="D33" i="11"/>
  <c r="E33" i="11" s="1"/>
  <c r="D34" i="11"/>
  <c r="E34" i="11" s="1"/>
  <c r="D35" i="11"/>
  <c r="E35" i="11" s="1"/>
  <c r="H34" i="10"/>
  <c r="F17" i="11"/>
  <c r="G17" i="11" s="1"/>
  <c r="H17" i="11" s="1"/>
  <c r="D28" i="11"/>
  <c r="E28" i="11" s="1"/>
  <c r="G37" i="11"/>
  <c r="H37" i="11" s="1"/>
  <c r="I37" i="11" s="1"/>
  <c r="J37" i="11" s="1"/>
  <c r="D13" i="11"/>
  <c r="D29" i="11"/>
  <c r="E29" i="11" s="1"/>
  <c r="C17" i="11"/>
  <c r="D17" i="11" s="1"/>
  <c r="E17" i="11" s="1"/>
  <c r="G29" i="11"/>
  <c r="H29" i="11" s="1"/>
  <c r="G36" i="11"/>
  <c r="H36" i="11" s="1"/>
  <c r="I36" i="11" s="1"/>
  <c r="J36" i="11" s="1"/>
  <c r="I14" i="10"/>
  <c r="J14" i="10" s="1"/>
  <c r="D29" i="10"/>
  <c r="E29" i="10" s="1"/>
  <c r="D33" i="10"/>
  <c r="E33" i="10" s="1"/>
  <c r="D34" i="10"/>
  <c r="E34" i="10" s="1"/>
  <c r="D35" i="10"/>
  <c r="E35" i="10" s="1"/>
  <c r="F17" i="10"/>
  <c r="G17" i="10" s="1"/>
  <c r="H17" i="10" s="1"/>
  <c r="D28" i="10"/>
  <c r="E28" i="10" s="1"/>
  <c r="I28" i="10" s="1"/>
  <c r="J28" i="10" s="1"/>
  <c r="G37" i="10"/>
  <c r="H37" i="10" s="1"/>
  <c r="I37" i="10" s="1"/>
  <c r="J37" i="10" s="1"/>
  <c r="D13" i="10"/>
  <c r="C17" i="10"/>
  <c r="D17" i="10" s="1"/>
  <c r="E17" i="10" s="1"/>
  <c r="G29" i="10"/>
  <c r="H29" i="10" s="1"/>
  <c r="G36" i="10"/>
  <c r="H36" i="10" s="1"/>
  <c r="I36" i="10" s="1"/>
  <c r="J36" i="10" s="1"/>
  <c r="C17" i="8"/>
  <c r="D17" i="8" s="1"/>
  <c r="E17" i="8" s="1"/>
  <c r="D34" i="8"/>
  <c r="E34" i="8" s="1"/>
  <c r="G35" i="9"/>
  <c r="H35" i="9" s="1"/>
  <c r="D35" i="8"/>
  <c r="E35" i="8" s="1"/>
  <c r="D33" i="8"/>
  <c r="E33" i="8" s="1"/>
  <c r="F17" i="8"/>
  <c r="G17" i="8" s="1"/>
  <c r="H17" i="8" s="1"/>
  <c r="C17" i="9"/>
  <c r="D17" i="9" s="1"/>
  <c r="E17" i="9" s="1"/>
  <c r="G34" i="9"/>
  <c r="H34" i="9" s="1"/>
  <c r="G33" i="8"/>
  <c r="H33" i="8" s="1"/>
  <c r="G34" i="8"/>
  <c r="H34" i="8" s="1"/>
  <c r="I34" i="8" s="1"/>
  <c r="J34" i="8" s="1"/>
  <c r="G29" i="9"/>
  <c r="H29" i="9" s="1"/>
  <c r="D29" i="9"/>
  <c r="E29" i="9" s="1"/>
  <c r="F17" i="9"/>
  <c r="G17" i="9" s="1"/>
  <c r="H17" i="9" s="1"/>
  <c r="D20" i="9"/>
  <c r="G20" i="9" s="1"/>
  <c r="H20" i="9" s="1"/>
  <c r="D28" i="9"/>
  <c r="E28" i="9" s="1"/>
  <c r="D23" i="9"/>
  <c r="D18" i="9"/>
  <c r="D15" i="9"/>
  <c r="G13" i="9"/>
  <c r="D19" i="9"/>
  <c r="D21" i="9"/>
  <c r="E13" i="9"/>
  <c r="H35" i="8"/>
  <c r="G28" i="9"/>
  <c r="H28" i="9" s="1"/>
  <c r="D31" i="9"/>
  <c r="D33" i="9"/>
  <c r="E33" i="9" s="1"/>
  <c r="D34" i="9"/>
  <c r="E34" i="9" s="1"/>
  <c r="D35" i="9"/>
  <c r="E35" i="9" s="1"/>
  <c r="D25" i="9"/>
  <c r="D29" i="8"/>
  <c r="E29" i="8" s="1"/>
  <c r="D20" i="8"/>
  <c r="G20" i="8" s="1"/>
  <c r="H20" i="8" s="1"/>
  <c r="D21" i="8"/>
  <c r="D23" i="8"/>
  <c r="D18" i="8"/>
  <c r="D15" i="8"/>
  <c r="G13" i="8"/>
  <c r="D19" i="8"/>
  <c r="E13" i="8"/>
  <c r="D28" i="8"/>
  <c r="E28" i="8" s="1"/>
  <c r="D25" i="8"/>
  <c r="G29" i="8"/>
  <c r="H29" i="8" s="1"/>
  <c r="G28" i="8"/>
  <c r="H28" i="8" s="1"/>
  <c r="D31" i="8"/>
  <c r="I33" i="11" l="1"/>
  <c r="J33" i="11" s="1"/>
  <c r="I33" i="8"/>
  <c r="J33" i="8" s="1"/>
  <c r="I33" i="10"/>
  <c r="J33" i="10" s="1"/>
  <c r="I33" i="9"/>
  <c r="J33" i="9" s="1"/>
  <c r="I35" i="9"/>
  <c r="J35" i="9" s="1"/>
  <c r="E25" i="11"/>
  <c r="I25" i="11" s="1"/>
  <c r="J25" i="11" s="1"/>
  <c r="I29" i="12"/>
  <c r="J29" i="12" s="1"/>
  <c r="G25" i="10"/>
  <c r="H25" i="10" s="1"/>
  <c r="E25" i="10"/>
  <c r="E33" i="12"/>
  <c r="I33" i="12" s="1"/>
  <c r="J33" i="12" s="1"/>
  <c r="D26" i="11"/>
  <c r="E26" i="11" s="1"/>
  <c r="E13" i="13"/>
  <c r="I29" i="11"/>
  <c r="J29" i="11" s="1"/>
  <c r="I35" i="11"/>
  <c r="J35" i="11" s="1"/>
  <c r="G25" i="12"/>
  <c r="H25" i="12" s="1"/>
  <c r="D19" i="13"/>
  <c r="G19" i="13" s="1"/>
  <c r="H19" i="13" s="1"/>
  <c r="D20" i="13"/>
  <c r="G20" i="13" s="1"/>
  <c r="H20" i="13" s="1"/>
  <c r="G13" i="13"/>
  <c r="I35" i="13"/>
  <c r="J35" i="13" s="1"/>
  <c r="D15" i="13"/>
  <c r="G15" i="13" s="1"/>
  <c r="I34" i="11"/>
  <c r="J34" i="11" s="1"/>
  <c r="G33" i="13"/>
  <c r="H33" i="13" s="1"/>
  <c r="I33" i="13" s="1"/>
  <c r="J33" i="13" s="1"/>
  <c r="G31" i="13"/>
  <c r="H31" i="13" s="1"/>
  <c r="E31" i="13"/>
  <c r="E25" i="12"/>
  <c r="D23" i="13"/>
  <c r="E23" i="13" s="1"/>
  <c r="I34" i="13"/>
  <c r="J34" i="13" s="1"/>
  <c r="I17" i="13"/>
  <c r="J17" i="13" s="1"/>
  <c r="D18" i="13"/>
  <c r="E18" i="13" s="1"/>
  <c r="I28" i="13"/>
  <c r="J28" i="13" s="1"/>
  <c r="I29" i="13"/>
  <c r="J29" i="13" s="1"/>
  <c r="E21" i="13"/>
  <c r="G21" i="13"/>
  <c r="G25" i="13"/>
  <c r="H25" i="13" s="1"/>
  <c r="E25" i="13"/>
  <c r="D26" i="13"/>
  <c r="I34" i="12"/>
  <c r="J34" i="12" s="1"/>
  <c r="I17" i="12"/>
  <c r="J17" i="12" s="1"/>
  <c r="I28" i="12"/>
  <c r="J28" i="12" s="1"/>
  <c r="I35" i="10"/>
  <c r="J35" i="10" s="1"/>
  <c r="D19" i="12"/>
  <c r="D15" i="12"/>
  <c r="D21" i="12"/>
  <c r="D20" i="12"/>
  <c r="E13" i="12"/>
  <c r="D23" i="12"/>
  <c r="D18" i="12"/>
  <c r="G13" i="12"/>
  <c r="H13" i="12" s="1"/>
  <c r="E26" i="12"/>
  <c r="G26" i="12"/>
  <c r="H26" i="12" s="1"/>
  <c r="I34" i="10"/>
  <c r="J34" i="10" s="1"/>
  <c r="I29" i="10"/>
  <c r="J29" i="10" s="1"/>
  <c r="I17" i="11"/>
  <c r="J17" i="11" s="1"/>
  <c r="I28" i="11"/>
  <c r="J28" i="11" s="1"/>
  <c r="D19" i="11"/>
  <c r="D23" i="11"/>
  <c r="D18" i="11"/>
  <c r="D15" i="11"/>
  <c r="D21" i="11"/>
  <c r="D20" i="11"/>
  <c r="E13" i="11"/>
  <c r="G13" i="11"/>
  <c r="H13" i="11" s="1"/>
  <c r="I17" i="10"/>
  <c r="J17" i="10" s="1"/>
  <c r="G26" i="10"/>
  <c r="H26" i="10" s="1"/>
  <c r="E26" i="10"/>
  <c r="D19" i="10"/>
  <c r="D23" i="10"/>
  <c r="D18" i="10"/>
  <c r="G13" i="10"/>
  <c r="H13" i="10" s="1"/>
  <c r="D21" i="10"/>
  <c r="D20" i="10"/>
  <c r="E13" i="10"/>
  <c r="D15" i="10"/>
  <c r="I34" i="9"/>
  <c r="J34" i="9" s="1"/>
  <c r="I35" i="8"/>
  <c r="J35" i="8" s="1"/>
  <c r="I29" i="9"/>
  <c r="J29" i="9" s="1"/>
  <c r="I29" i="8"/>
  <c r="J29" i="8" s="1"/>
  <c r="I17" i="9"/>
  <c r="J17" i="9" s="1"/>
  <c r="E20" i="9"/>
  <c r="I20" i="9" s="1"/>
  <c r="J20" i="9" s="1"/>
  <c r="E15" i="9"/>
  <c r="E16" i="9" s="1"/>
  <c r="G15" i="9"/>
  <c r="D26" i="9"/>
  <c r="E25" i="9"/>
  <c r="G25" i="9"/>
  <c r="H25" i="9" s="1"/>
  <c r="E31" i="9"/>
  <c r="G31" i="9"/>
  <c r="H31" i="9" s="1"/>
  <c r="G21" i="9"/>
  <c r="E21" i="9"/>
  <c r="E18" i="9"/>
  <c r="G18" i="9"/>
  <c r="H18" i="9" s="1"/>
  <c r="I28" i="9"/>
  <c r="J28" i="9" s="1"/>
  <c r="G19" i="9"/>
  <c r="H19" i="9" s="1"/>
  <c r="E19" i="9"/>
  <c r="E23" i="9"/>
  <c r="G23" i="9"/>
  <c r="H23" i="9" s="1"/>
  <c r="E20" i="8"/>
  <c r="I20" i="8" s="1"/>
  <c r="J20" i="8" s="1"/>
  <c r="I17" i="8"/>
  <c r="J17" i="8" s="1"/>
  <c r="G25" i="8"/>
  <c r="H25" i="8" s="1"/>
  <c r="E25" i="8"/>
  <c r="D26" i="8"/>
  <c r="E18" i="8"/>
  <c r="G18" i="8"/>
  <c r="H18" i="8" s="1"/>
  <c r="G19" i="8"/>
  <c r="H19" i="8" s="1"/>
  <c r="E19" i="8"/>
  <c r="E23" i="8"/>
  <c r="G23" i="8"/>
  <c r="H23" i="8" s="1"/>
  <c r="I28" i="8"/>
  <c r="J28" i="8" s="1"/>
  <c r="E15" i="8"/>
  <c r="E16" i="8" s="1"/>
  <c r="G15" i="8"/>
  <c r="E31" i="8"/>
  <c r="G31" i="8"/>
  <c r="H31" i="8" s="1"/>
  <c r="G21" i="8"/>
  <c r="E21" i="8"/>
  <c r="I25" i="10" l="1"/>
  <c r="J25" i="10" s="1"/>
  <c r="E15" i="13"/>
  <c r="E16" i="13" s="1"/>
  <c r="E20" i="13"/>
  <c r="I20" i="13" s="1"/>
  <c r="J20" i="13" s="1"/>
  <c r="I25" i="12"/>
  <c r="J25" i="12" s="1"/>
  <c r="E19" i="13"/>
  <c r="I19" i="13" s="1"/>
  <c r="J19" i="13" s="1"/>
  <c r="G26" i="11"/>
  <c r="H26" i="11" s="1"/>
  <c r="I26" i="11" s="1"/>
  <c r="J26" i="11" s="1"/>
  <c r="G23" i="13"/>
  <c r="H23" i="13" s="1"/>
  <c r="I23" i="13" s="1"/>
  <c r="J23" i="13" s="1"/>
  <c r="G18" i="13"/>
  <c r="H18" i="13" s="1"/>
  <c r="I18" i="13" s="1"/>
  <c r="J18" i="13" s="1"/>
  <c r="I31" i="13"/>
  <c r="J31" i="13" s="1"/>
  <c r="I25" i="13"/>
  <c r="J25" i="13" s="1"/>
  <c r="G26" i="13"/>
  <c r="H26" i="13" s="1"/>
  <c r="E26" i="13"/>
  <c r="G19" i="12"/>
  <c r="H19" i="12" s="1"/>
  <c r="E19" i="12"/>
  <c r="I13" i="12"/>
  <c r="J13" i="12" s="1"/>
  <c r="E20" i="12"/>
  <c r="G20" i="12"/>
  <c r="H20" i="12" s="1"/>
  <c r="I26" i="12"/>
  <c r="J26" i="12" s="1"/>
  <c r="G18" i="12"/>
  <c r="H18" i="12" s="1"/>
  <c r="E18" i="12"/>
  <c r="E21" i="12"/>
  <c r="G21" i="12"/>
  <c r="H21" i="12" s="1"/>
  <c r="G23" i="12"/>
  <c r="H23" i="12" s="1"/>
  <c r="E23" i="12"/>
  <c r="G15" i="12"/>
  <c r="H15" i="12" s="1"/>
  <c r="H16" i="12" s="1"/>
  <c r="E15" i="12"/>
  <c r="E16" i="12" s="1"/>
  <c r="G18" i="11"/>
  <c r="H18" i="11" s="1"/>
  <c r="E18" i="11"/>
  <c r="E21" i="11"/>
  <c r="G21" i="11"/>
  <c r="H21" i="11" s="1"/>
  <c r="E19" i="11"/>
  <c r="G19" i="11"/>
  <c r="H19" i="11" s="1"/>
  <c r="I13" i="11"/>
  <c r="J13" i="11" s="1"/>
  <c r="G15" i="11"/>
  <c r="H15" i="11" s="1"/>
  <c r="H16" i="11" s="1"/>
  <c r="E15" i="11"/>
  <c r="E16" i="11" s="1"/>
  <c r="E20" i="11"/>
  <c r="G20" i="11"/>
  <c r="H20" i="11" s="1"/>
  <c r="E23" i="11"/>
  <c r="G23" i="11"/>
  <c r="H23" i="11" s="1"/>
  <c r="G18" i="10"/>
  <c r="H18" i="10" s="1"/>
  <c r="E18" i="10"/>
  <c r="E21" i="10"/>
  <c r="G21" i="10"/>
  <c r="H21" i="10" s="1"/>
  <c r="G19" i="10"/>
  <c r="H19" i="10" s="1"/>
  <c r="E19" i="10"/>
  <c r="G15" i="10"/>
  <c r="H15" i="10" s="1"/>
  <c r="E15" i="10"/>
  <c r="E16" i="10" s="1"/>
  <c r="I13" i="10"/>
  <c r="J13" i="10" s="1"/>
  <c r="E20" i="10"/>
  <c r="G20" i="10"/>
  <c r="H20" i="10" s="1"/>
  <c r="G23" i="10"/>
  <c r="H23" i="10" s="1"/>
  <c r="E23" i="10"/>
  <c r="I26" i="10"/>
  <c r="J26" i="10" s="1"/>
  <c r="I18" i="9"/>
  <c r="J18" i="9" s="1"/>
  <c r="I31" i="9"/>
  <c r="J31" i="9" s="1"/>
  <c r="E26" i="9"/>
  <c r="G26" i="9"/>
  <c r="H26" i="9" s="1"/>
  <c r="I19" i="9"/>
  <c r="J19" i="9" s="1"/>
  <c r="I23" i="9"/>
  <c r="J23" i="9" s="1"/>
  <c r="I25" i="9"/>
  <c r="J25" i="9" s="1"/>
  <c r="E24" i="9"/>
  <c r="I18" i="8"/>
  <c r="J18" i="8" s="1"/>
  <c r="I25" i="8"/>
  <c r="J25" i="8" s="1"/>
  <c r="I31" i="8"/>
  <c r="J31" i="8" s="1"/>
  <c r="E24" i="8"/>
  <c r="I19" i="8"/>
  <c r="J19" i="8" s="1"/>
  <c r="E26" i="8"/>
  <c r="G26" i="8"/>
  <c r="H26" i="8" s="1"/>
  <c r="I23" i="8"/>
  <c r="J23" i="8" s="1"/>
  <c r="E24" i="13" l="1"/>
  <c r="E27" i="13" s="1"/>
  <c r="I23" i="11"/>
  <c r="J23" i="11" s="1"/>
  <c r="I18" i="12"/>
  <c r="J18" i="12" s="1"/>
  <c r="I23" i="12"/>
  <c r="J23" i="12" s="1"/>
  <c r="I21" i="12"/>
  <c r="J21" i="12" s="1"/>
  <c r="I19" i="11"/>
  <c r="J19" i="11" s="1"/>
  <c r="I26" i="13"/>
  <c r="J26" i="13" s="1"/>
  <c r="I20" i="12"/>
  <c r="J20" i="12" s="1"/>
  <c r="E24" i="12"/>
  <c r="I15" i="12"/>
  <c r="J15" i="12" s="1"/>
  <c r="I19" i="12"/>
  <c r="J19" i="12" s="1"/>
  <c r="H24" i="12"/>
  <c r="I16" i="12"/>
  <c r="I21" i="10"/>
  <c r="J21" i="10" s="1"/>
  <c r="I20" i="10"/>
  <c r="J20" i="10" s="1"/>
  <c r="I21" i="11"/>
  <c r="J21" i="11" s="1"/>
  <c r="H24" i="11"/>
  <c r="I16" i="11"/>
  <c r="E24" i="11"/>
  <c r="I20" i="11"/>
  <c r="J20" i="11" s="1"/>
  <c r="I15" i="11"/>
  <c r="J15" i="11" s="1"/>
  <c r="I18" i="11"/>
  <c r="J18" i="11" s="1"/>
  <c r="E24" i="10"/>
  <c r="I15" i="10"/>
  <c r="J15" i="10" s="1"/>
  <c r="H16" i="10"/>
  <c r="I23" i="10"/>
  <c r="J23" i="10" s="1"/>
  <c r="I19" i="10"/>
  <c r="J19" i="10" s="1"/>
  <c r="I18" i="10"/>
  <c r="J18" i="10" s="1"/>
  <c r="E27" i="9"/>
  <c r="I26" i="9"/>
  <c r="J26" i="9" s="1"/>
  <c r="E27" i="8"/>
  <c r="I26" i="8"/>
  <c r="J26" i="8" s="1"/>
  <c r="J16" i="11" l="1"/>
  <c r="H6" i="15" s="1"/>
  <c r="G6" i="15"/>
  <c r="J16" i="12"/>
  <c r="H15" i="15" s="1"/>
  <c r="G15" i="15"/>
  <c r="E37" i="13"/>
  <c r="H27" i="12"/>
  <c r="I24" i="12"/>
  <c r="E27" i="12"/>
  <c r="H27" i="11"/>
  <c r="I24" i="11"/>
  <c r="E27" i="11"/>
  <c r="E27" i="10"/>
  <c r="H24" i="10"/>
  <c r="I16" i="10"/>
  <c r="E37" i="9"/>
  <c r="E37" i="8"/>
  <c r="J16" i="10" l="1"/>
  <c r="H8" i="15" s="1"/>
  <c r="G8" i="15"/>
  <c r="J24" i="11"/>
  <c r="J6" i="15" s="1"/>
  <c r="I6" i="15"/>
  <c r="J24" i="12"/>
  <c r="J15" i="15" s="1"/>
  <c r="I15" i="15"/>
  <c r="E38" i="13"/>
  <c r="E40" i="13" s="1"/>
  <c r="E37" i="12"/>
  <c r="I27" i="12"/>
  <c r="H37" i="12"/>
  <c r="I27" i="11"/>
  <c r="H39" i="11"/>
  <c r="E39" i="11"/>
  <c r="E39" i="10"/>
  <c r="H27" i="10"/>
  <c r="I24" i="10"/>
  <c r="E38" i="9"/>
  <c r="E39" i="9" s="1"/>
  <c r="E38" i="8"/>
  <c r="J27" i="12" l="1"/>
  <c r="L15" i="15" s="1"/>
  <c r="K15" i="15"/>
  <c r="J24" i="10"/>
  <c r="J8" i="15" s="1"/>
  <c r="I8" i="15"/>
  <c r="J27" i="11"/>
  <c r="L6" i="15" s="1"/>
  <c r="K6" i="15"/>
  <c r="E38" i="12"/>
  <c r="E40" i="12" s="1"/>
  <c r="H38" i="12"/>
  <c r="I37" i="12"/>
  <c r="J37" i="12" s="1"/>
  <c r="E41" i="11"/>
  <c r="E40" i="11"/>
  <c r="H41" i="11"/>
  <c r="H40" i="11"/>
  <c r="I39" i="11"/>
  <c r="J39" i="11" s="1"/>
  <c r="E41" i="10"/>
  <c r="E40" i="10"/>
  <c r="I27" i="10"/>
  <c r="H39" i="10"/>
  <c r="E39" i="8"/>
  <c r="J27" i="10" l="1"/>
  <c r="L8" i="15" s="1"/>
  <c r="K8" i="15"/>
  <c r="I40" i="11"/>
  <c r="J40" i="11" s="1"/>
  <c r="I38" i="12"/>
  <c r="J38" i="12" s="1"/>
  <c r="H40" i="12"/>
  <c r="I40" i="12" s="1"/>
  <c r="I41" i="11"/>
  <c r="E42" i="11"/>
  <c r="E42" i="10"/>
  <c r="H42" i="11"/>
  <c r="H41" i="10"/>
  <c r="I41" i="10" s="1"/>
  <c r="H40" i="10"/>
  <c r="I40" i="10" s="1"/>
  <c r="J40" i="10" s="1"/>
  <c r="I39" i="10"/>
  <c r="J39" i="10" s="1"/>
  <c r="J40" i="12" l="1"/>
  <c r="N15" i="15" s="1"/>
  <c r="M15" i="15"/>
  <c r="I42" i="11"/>
  <c r="H42" i="10"/>
  <c r="I42" i="10" s="1"/>
  <c r="J42" i="10" l="1"/>
  <c r="N8" i="15" s="1"/>
  <c r="M8" i="15"/>
  <c r="J42" i="11"/>
  <c r="N6" i="15" s="1"/>
  <c r="M6" i="15"/>
  <c r="F37" i="7"/>
  <c r="F36" i="7"/>
  <c r="F31" i="7"/>
  <c r="H30" i="7"/>
  <c r="E30" i="7"/>
  <c r="F26" i="7"/>
  <c r="C26" i="7"/>
  <c r="F25" i="7"/>
  <c r="C25" i="7"/>
  <c r="G22" i="7"/>
  <c r="F22" i="7"/>
  <c r="C22" i="7"/>
  <c r="E22" i="7" s="1"/>
  <c r="C21" i="7"/>
  <c r="F20" i="7"/>
  <c r="C20" i="7"/>
  <c r="F18" i="7"/>
  <c r="C18" i="7"/>
  <c r="C15" i="7"/>
  <c r="G14" i="7"/>
  <c r="C14" i="7"/>
  <c r="E14" i="7" s="1"/>
  <c r="C13" i="7"/>
  <c r="G12" i="7"/>
  <c r="C12" i="7"/>
  <c r="E12" i="7" s="1"/>
  <c r="C6" i="7"/>
  <c r="C5" i="7"/>
  <c r="C4" i="7"/>
  <c r="D37" i="7" s="1"/>
  <c r="E37" i="7" s="1"/>
  <c r="C20" i="6"/>
  <c r="D25" i="7" l="1"/>
  <c r="E25" i="7" s="1"/>
  <c r="C17" i="7"/>
  <c r="D17" i="7" s="1"/>
  <c r="E17" i="7" s="1"/>
  <c r="D36" i="7"/>
  <c r="E36" i="7" s="1"/>
  <c r="D33" i="7"/>
  <c r="E33" i="7" s="1"/>
  <c r="D34" i="7"/>
  <c r="E34" i="7" s="1"/>
  <c r="D35" i="7"/>
  <c r="E35" i="7" s="1"/>
  <c r="G33" i="7"/>
  <c r="H33" i="7" s="1"/>
  <c r="G34" i="7"/>
  <c r="H34" i="7" s="1"/>
  <c r="G35" i="7"/>
  <c r="H35" i="7" s="1"/>
  <c r="C7" i="7"/>
  <c r="H22" i="7"/>
  <c r="I22" i="7" s="1"/>
  <c r="J22" i="7" s="1"/>
  <c r="I30" i="7"/>
  <c r="J30" i="7" s="1"/>
  <c r="D13" i="7"/>
  <c r="D29" i="7"/>
  <c r="E29" i="7" s="1"/>
  <c r="G37" i="7"/>
  <c r="H37" i="7" s="1"/>
  <c r="I37" i="7" s="1"/>
  <c r="J37" i="7" s="1"/>
  <c r="F17" i="7"/>
  <c r="D28" i="7"/>
  <c r="E28" i="7" s="1"/>
  <c r="G36" i="7"/>
  <c r="H36" i="7" s="1"/>
  <c r="F21" i="1"/>
  <c r="C21" i="1"/>
  <c r="C21" i="5"/>
  <c r="C21" i="6"/>
  <c r="D26" i="7" l="1"/>
  <c r="E26" i="7" s="1"/>
  <c r="G25" i="7"/>
  <c r="H25" i="7" s="1"/>
  <c r="I25" i="7" s="1"/>
  <c r="J25" i="7" s="1"/>
  <c r="I35" i="7"/>
  <c r="J35" i="7" s="1"/>
  <c r="I36" i="7"/>
  <c r="J36" i="7" s="1"/>
  <c r="I33" i="7"/>
  <c r="J33" i="7" s="1"/>
  <c r="I34" i="7"/>
  <c r="J34" i="7" s="1"/>
  <c r="G17" i="7"/>
  <c r="H17" i="7" s="1"/>
  <c r="I17" i="7" s="1"/>
  <c r="J17" i="7" s="1"/>
  <c r="D21" i="7"/>
  <c r="D20" i="7"/>
  <c r="E13" i="7"/>
  <c r="D19" i="7"/>
  <c r="D18" i="7"/>
  <c r="D31" i="7"/>
  <c r="D23" i="7"/>
  <c r="G13" i="7"/>
  <c r="D15" i="7"/>
  <c r="G28" i="7"/>
  <c r="H28" i="7" s="1"/>
  <c r="G29" i="7"/>
  <c r="H29" i="7" s="1"/>
  <c r="I29" i="7" s="1"/>
  <c r="J29" i="7" s="1"/>
  <c r="F33" i="6"/>
  <c r="F31" i="6"/>
  <c r="H30" i="6"/>
  <c r="I30" i="6" s="1"/>
  <c r="J30" i="6" s="1"/>
  <c r="E30" i="6"/>
  <c r="F26" i="6"/>
  <c r="C26" i="6"/>
  <c r="F25" i="6"/>
  <c r="C25" i="6"/>
  <c r="G22" i="6"/>
  <c r="F22" i="6"/>
  <c r="C22" i="6"/>
  <c r="E22" i="6" s="1"/>
  <c r="F20" i="6"/>
  <c r="F18" i="6"/>
  <c r="C18" i="6"/>
  <c r="C15" i="6"/>
  <c r="G14" i="6"/>
  <c r="C14" i="6"/>
  <c r="E14" i="6" s="1"/>
  <c r="C13" i="6"/>
  <c r="G12" i="6"/>
  <c r="C12" i="6"/>
  <c r="E12" i="6" s="1"/>
  <c r="C6" i="6"/>
  <c r="C7" i="6" s="1"/>
  <c r="C5" i="6"/>
  <c r="D25" i="6" s="1"/>
  <c r="C4" i="6"/>
  <c r="F31" i="5"/>
  <c r="F37" i="5"/>
  <c r="F36" i="5"/>
  <c r="H30" i="5"/>
  <c r="E30" i="5"/>
  <c r="F26" i="5"/>
  <c r="C26" i="5"/>
  <c r="F25" i="5"/>
  <c r="C25" i="5"/>
  <c r="G22" i="5"/>
  <c r="F22" i="5"/>
  <c r="H22" i="5" s="1"/>
  <c r="C22" i="5"/>
  <c r="E22" i="5" s="1"/>
  <c r="F20" i="5"/>
  <c r="C20" i="5"/>
  <c r="F18" i="5"/>
  <c r="C18" i="5"/>
  <c r="C15" i="5"/>
  <c r="G14" i="5"/>
  <c r="C14" i="5"/>
  <c r="E14" i="5" s="1"/>
  <c r="C13" i="5"/>
  <c r="G12" i="5"/>
  <c r="C12" i="5"/>
  <c r="E12" i="5" s="1"/>
  <c r="C6" i="5"/>
  <c r="C7" i="5" s="1"/>
  <c r="C5" i="5"/>
  <c r="C4" i="5"/>
  <c r="D36" i="5" s="1"/>
  <c r="E36" i="5" s="1"/>
  <c r="F15" i="1"/>
  <c r="F14" i="1"/>
  <c r="F13" i="1"/>
  <c r="F12" i="1"/>
  <c r="C6" i="1"/>
  <c r="C5" i="1"/>
  <c r="C4" i="1"/>
  <c r="F20" i="1"/>
  <c r="C20" i="1"/>
  <c r="F26" i="1"/>
  <c r="F25" i="1"/>
  <c r="C26" i="1"/>
  <c r="C25" i="1"/>
  <c r="F22" i="1"/>
  <c r="F18" i="1"/>
  <c r="C22" i="1"/>
  <c r="C18" i="1"/>
  <c r="C15" i="1"/>
  <c r="G22" i="1"/>
  <c r="G26" i="7" l="1"/>
  <c r="H26" i="7" s="1"/>
  <c r="I26" i="7" s="1"/>
  <c r="J26" i="7" s="1"/>
  <c r="C17" i="6"/>
  <c r="D17" i="6" s="1"/>
  <c r="E17" i="6" s="1"/>
  <c r="D20" i="6"/>
  <c r="G20" i="6" s="1"/>
  <c r="I30" i="5"/>
  <c r="J30" i="5" s="1"/>
  <c r="I28" i="7"/>
  <c r="J28" i="7" s="1"/>
  <c r="G19" i="7"/>
  <c r="H19" i="7" s="1"/>
  <c r="E19" i="7"/>
  <c r="G23" i="7"/>
  <c r="H23" i="7" s="1"/>
  <c r="E23" i="7"/>
  <c r="E31" i="7"/>
  <c r="G31" i="7"/>
  <c r="H31" i="7" s="1"/>
  <c r="G20" i="7"/>
  <c r="H20" i="7" s="1"/>
  <c r="E20" i="7"/>
  <c r="E15" i="7"/>
  <c r="E16" i="7" s="1"/>
  <c r="G15" i="7"/>
  <c r="E18" i="7"/>
  <c r="G18" i="7"/>
  <c r="H18" i="7" s="1"/>
  <c r="G21" i="7"/>
  <c r="E21" i="7"/>
  <c r="D31" i="6"/>
  <c r="G31" i="6" s="1"/>
  <c r="G28" i="6"/>
  <c r="H28" i="6" s="1"/>
  <c r="H22" i="6"/>
  <c r="I22" i="6" s="1"/>
  <c r="J22" i="6" s="1"/>
  <c r="D28" i="6"/>
  <c r="E28" i="6" s="1"/>
  <c r="D33" i="6"/>
  <c r="E33" i="6" s="1"/>
  <c r="F17" i="6"/>
  <c r="G17" i="6" s="1"/>
  <c r="H17" i="6" s="1"/>
  <c r="D26" i="6"/>
  <c r="G25" i="6"/>
  <c r="H25" i="6" s="1"/>
  <c r="E25" i="6"/>
  <c r="D13" i="6"/>
  <c r="D29" i="6"/>
  <c r="E29" i="6" s="1"/>
  <c r="G33" i="6"/>
  <c r="H33" i="6" s="1"/>
  <c r="G29" i="6"/>
  <c r="H29" i="6" s="1"/>
  <c r="I22" i="5"/>
  <c r="J22" i="5" s="1"/>
  <c r="D13" i="5"/>
  <c r="D29" i="5"/>
  <c r="E29" i="5" s="1"/>
  <c r="D33" i="5"/>
  <c r="E33" i="5" s="1"/>
  <c r="D34" i="5"/>
  <c r="E34" i="5" s="1"/>
  <c r="D35" i="5"/>
  <c r="E35" i="5" s="1"/>
  <c r="F17" i="5"/>
  <c r="G17" i="5" s="1"/>
  <c r="H17" i="5" s="1"/>
  <c r="D28" i="5"/>
  <c r="E28" i="5" s="1"/>
  <c r="G37" i="5"/>
  <c r="H37" i="5" s="1"/>
  <c r="C17" i="5"/>
  <c r="D17" i="5" s="1"/>
  <c r="E17" i="5" s="1"/>
  <c r="D25" i="5"/>
  <c r="G29" i="5"/>
  <c r="H29" i="5" s="1"/>
  <c r="G36" i="5"/>
  <c r="H36" i="5" s="1"/>
  <c r="I36" i="5" s="1"/>
  <c r="J36" i="5" s="1"/>
  <c r="D37" i="5"/>
  <c r="E37" i="5" s="1"/>
  <c r="G28" i="5"/>
  <c r="H28" i="5" s="1"/>
  <c r="G33" i="5"/>
  <c r="H33" i="5" s="1"/>
  <c r="G34" i="5"/>
  <c r="H34" i="5" s="1"/>
  <c r="G35" i="5"/>
  <c r="H35" i="5" s="1"/>
  <c r="G14" i="1"/>
  <c r="G12" i="1"/>
  <c r="C14" i="1"/>
  <c r="C13" i="1"/>
  <c r="C12" i="1"/>
  <c r="I35" i="5" l="1"/>
  <c r="J35" i="5" s="1"/>
  <c r="I33" i="5"/>
  <c r="J33" i="5" s="1"/>
  <c r="I23" i="7"/>
  <c r="J23" i="7" s="1"/>
  <c r="I28" i="6"/>
  <c r="J28" i="6" s="1"/>
  <c r="I17" i="6"/>
  <c r="J17" i="6" s="1"/>
  <c r="D31" i="5"/>
  <c r="E31" i="5" s="1"/>
  <c r="D21" i="5"/>
  <c r="E21" i="5" s="1"/>
  <c r="I18" i="7"/>
  <c r="J18" i="7" s="1"/>
  <c r="I34" i="5"/>
  <c r="J34" i="5" s="1"/>
  <c r="I20" i="7"/>
  <c r="J20" i="7" s="1"/>
  <c r="E24" i="7"/>
  <c r="I19" i="7"/>
  <c r="J19" i="7" s="1"/>
  <c r="I31" i="7"/>
  <c r="J31" i="7" s="1"/>
  <c r="I33" i="6"/>
  <c r="J33" i="6" s="1"/>
  <c r="I25" i="6"/>
  <c r="J25" i="6" s="1"/>
  <c r="D19" i="6"/>
  <c r="D21" i="6"/>
  <c r="E13" i="6"/>
  <c r="E31" i="6"/>
  <c r="D23" i="6"/>
  <c r="D18" i="6"/>
  <c r="D15" i="6"/>
  <c r="G13" i="6"/>
  <c r="G26" i="6"/>
  <c r="H26" i="6" s="1"/>
  <c r="E26" i="6"/>
  <c r="I29" i="6"/>
  <c r="J29" i="6" s="1"/>
  <c r="I29" i="5"/>
  <c r="J29" i="5" s="1"/>
  <c r="I17" i="5"/>
  <c r="J17" i="5" s="1"/>
  <c r="I28" i="5"/>
  <c r="J28" i="5" s="1"/>
  <c r="E25" i="5"/>
  <c r="D26" i="5"/>
  <c r="G25" i="5"/>
  <c r="H25" i="5" s="1"/>
  <c r="D23" i="5"/>
  <c r="D18" i="5"/>
  <c r="D15" i="5"/>
  <c r="G13" i="5"/>
  <c r="D19" i="5"/>
  <c r="D20" i="5"/>
  <c r="E13" i="5"/>
  <c r="I37" i="5"/>
  <c r="J37" i="5" s="1"/>
  <c r="C7" i="1"/>
  <c r="U5" i="2"/>
  <c r="F13" i="6" s="1"/>
  <c r="V5" i="2"/>
  <c r="W5" i="2"/>
  <c r="F14" i="6" s="1"/>
  <c r="H14" i="6" s="1"/>
  <c r="I14" i="6" s="1"/>
  <c r="J14" i="6" s="1"/>
  <c r="X5" i="2"/>
  <c r="F15" i="6" s="1"/>
  <c r="Y5" i="2"/>
  <c r="F21" i="6" s="1"/>
  <c r="U6" i="2"/>
  <c r="F13" i="7" s="1"/>
  <c r="H13" i="7" s="1"/>
  <c r="I13" i="7" s="1"/>
  <c r="J13" i="7" s="1"/>
  <c r="V6" i="2"/>
  <c r="F21" i="7" s="1"/>
  <c r="H21" i="7" s="1"/>
  <c r="I21" i="7" s="1"/>
  <c r="J21" i="7" s="1"/>
  <c r="W6" i="2"/>
  <c r="F14" i="7" s="1"/>
  <c r="H14" i="7" s="1"/>
  <c r="I14" i="7" s="1"/>
  <c r="J14" i="7" s="1"/>
  <c r="X6" i="2"/>
  <c r="F15" i="7" s="1"/>
  <c r="H15" i="7" s="1"/>
  <c r="I15" i="7" s="1"/>
  <c r="J15" i="7" s="1"/>
  <c r="Y6" i="2"/>
  <c r="U7" i="2"/>
  <c r="F13" i="8" s="1"/>
  <c r="H13" i="8" s="1"/>
  <c r="I13" i="8" s="1"/>
  <c r="J13" i="8" s="1"/>
  <c r="V7" i="2"/>
  <c r="W7" i="2"/>
  <c r="F14" i="8" s="1"/>
  <c r="H14" i="8" s="1"/>
  <c r="I14" i="8" s="1"/>
  <c r="J14" i="8" s="1"/>
  <c r="X7" i="2"/>
  <c r="F15" i="8" s="1"/>
  <c r="H15" i="8" s="1"/>
  <c r="I15" i="8" s="1"/>
  <c r="J15" i="8" s="1"/>
  <c r="Y7" i="2"/>
  <c r="U8" i="2"/>
  <c r="F13" i="9" s="1"/>
  <c r="H13" i="9" s="1"/>
  <c r="I13" i="9" s="1"/>
  <c r="J13" i="9" s="1"/>
  <c r="V8" i="2"/>
  <c r="W8" i="2"/>
  <c r="F14" i="9" s="1"/>
  <c r="H14" i="9" s="1"/>
  <c r="I14" i="9" s="1"/>
  <c r="J14" i="9" s="1"/>
  <c r="X8" i="2"/>
  <c r="F15" i="9" s="1"/>
  <c r="H15" i="9" s="1"/>
  <c r="I15" i="9" s="1"/>
  <c r="J15" i="9" s="1"/>
  <c r="Y8" i="2"/>
  <c r="U9" i="2"/>
  <c r="F13" i="14" s="1"/>
  <c r="H13" i="14" s="1"/>
  <c r="I13" i="14" s="1"/>
  <c r="J13" i="14" s="1"/>
  <c r="V9" i="2"/>
  <c r="F21" i="14" s="1"/>
  <c r="H21" i="14" s="1"/>
  <c r="I21" i="14" s="1"/>
  <c r="J21" i="14" s="1"/>
  <c r="W9" i="2"/>
  <c r="F14" i="14" s="1"/>
  <c r="H14" i="14" s="1"/>
  <c r="I14" i="14" s="1"/>
  <c r="J14" i="14" s="1"/>
  <c r="X9" i="2"/>
  <c r="F15" i="14" s="1"/>
  <c r="H15" i="14" s="1"/>
  <c r="I15" i="14" s="1"/>
  <c r="J15" i="14" s="1"/>
  <c r="Y9" i="2"/>
  <c r="S5" i="2"/>
  <c r="F12" i="6" s="1"/>
  <c r="H12" i="6" s="1"/>
  <c r="I12" i="6" s="1"/>
  <c r="J12" i="6" s="1"/>
  <c r="S6" i="2"/>
  <c r="F12" i="7" s="1"/>
  <c r="H12" i="7" s="1"/>
  <c r="I12" i="7" s="1"/>
  <c r="J12" i="7" s="1"/>
  <c r="S7" i="2"/>
  <c r="F12" i="8" s="1"/>
  <c r="H12" i="8" s="1"/>
  <c r="S8" i="2"/>
  <c r="F12" i="9" s="1"/>
  <c r="H12" i="9" s="1"/>
  <c r="S9" i="2"/>
  <c r="F12" i="14" s="1"/>
  <c r="H12" i="14" s="1"/>
  <c r="Y3" i="2"/>
  <c r="Y4" i="2"/>
  <c r="X4" i="2"/>
  <c r="W4" i="2"/>
  <c r="V4" i="2"/>
  <c r="U4" i="2"/>
  <c r="S4" i="2"/>
  <c r="F21" i="9" l="1"/>
  <c r="H21" i="9" s="1"/>
  <c r="I21" i="9" s="1"/>
  <c r="J21" i="9" s="1"/>
  <c r="F21" i="8"/>
  <c r="H21" i="8" s="1"/>
  <c r="I21" i="8" s="1"/>
  <c r="J21" i="8" s="1"/>
  <c r="F13" i="13"/>
  <c r="H13" i="13" s="1"/>
  <c r="I13" i="13" s="1"/>
  <c r="J13" i="13" s="1"/>
  <c r="F13" i="5"/>
  <c r="H13" i="5" s="1"/>
  <c r="I13" i="5" s="1"/>
  <c r="J13" i="5" s="1"/>
  <c r="F21" i="13"/>
  <c r="H21" i="13" s="1"/>
  <c r="I21" i="13" s="1"/>
  <c r="J21" i="13" s="1"/>
  <c r="F21" i="5"/>
  <c r="F14" i="13"/>
  <c r="H14" i="13" s="1"/>
  <c r="I14" i="13" s="1"/>
  <c r="J14" i="13" s="1"/>
  <c r="F14" i="5"/>
  <c r="H14" i="5" s="1"/>
  <c r="I14" i="5" s="1"/>
  <c r="J14" i="5" s="1"/>
  <c r="F15" i="13"/>
  <c r="H15" i="13" s="1"/>
  <c r="I15" i="13" s="1"/>
  <c r="J15" i="13" s="1"/>
  <c r="F15" i="5"/>
  <c r="I12" i="14"/>
  <c r="J12" i="14" s="1"/>
  <c r="H16" i="14"/>
  <c r="H16" i="7"/>
  <c r="I16" i="7" s="1"/>
  <c r="F12" i="13"/>
  <c r="H12" i="13" s="1"/>
  <c r="F12" i="5"/>
  <c r="H12" i="5" s="1"/>
  <c r="I12" i="5" s="1"/>
  <c r="J12" i="5" s="1"/>
  <c r="I12" i="9"/>
  <c r="J12" i="9" s="1"/>
  <c r="H16" i="9"/>
  <c r="I16" i="9" s="1"/>
  <c r="I12" i="8"/>
  <c r="J12" i="8" s="1"/>
  <c r="H16" i="8"/>
  <c r="I16" i="8" s="1"/>
  <c r="G31" i="5"/>
  <c r="H31" i="5" s="1"/>
  <c r="I31" i="5" s="1"/>
  <c r="J31" i="5" s="1"/>
  <c r="E27" i="7"/>
  <c r="H31" i="6"/>
  <c r="H13" i="6"/>
  <c r="G19" i="6"/>
  <c r="H19" i="6" s="1"/>
  <c r="E19" i="6"/>
  <c r="G15" i="6"/>
  <c r="H15" i="6" s="1"/>
  <c r="E15" i="6"/>
  <c r="E16" i="6" s="1"/>
  <c r="G18" i="6"/>
  <c r="H18" i="6" s="1"/>
  <c r="E18" i="6"/>
  <c r="E20" i="6"/>
  <c r="H20" i="6"/>
  <c r="I26" i="6"/>
  <c r="J26" i="6" s="1"/>
  <c r="G23" i="6"/>
  <c r="H23" i="6" s="1"/>
  <c r="E23" i="6"/>
  <c r="E21" i="6"/>
  <c r="G21" i="6"/>
  <c r="H21" i="6" s="1"/>
  <c r="I25" i="5"/>
  <c r="J25" i="5" s="1"/>
  <c r="G21" i="5"/>
  <c r="G18" i="5"/>
  <c r="H18" i="5" s="1"/>
  <c r="E18" i="5"/>
  <c r="E19" i="5"/>
  <c r="G19" i="5"/>
  <c r="H19" i="5" s="1"/>
  <c r="G23" i="5"/>
  <c r="H23" i="5" s="1"/>
  <c r="E23" i="5"/>
  <c r="E20" i="5"/>
  <c r="G20" i="5"/>
  <c r="H20" i="5" s="1"/>
  <c r="G15" i="5"/>
  <c r="E15" i="5"/>
  <c r="E16" i="5" s="1"/>
  <c r="E26" i="5"/>
  <c r="G26" i="5"/>
  <c r="H26" i="5" s="1"/>
  <c r="D25" i="1"/>
  <c r="D13" i="1"/>
  <c r="F37" i="1"/>
  <c r="D37" i="1"/>
  <c r="E37" i="1" s="1"/>
  <c r="G36" i="1"/>
  <c r="F36" i="1"/>
  <c r="G34" i="1"/>
  <c r="G33" i="1"/>
  <c r="D33" i="1"/>
  <c r="H30" i="1"/>
  <c r="E30" i="1"/>
  <c r="G29" i="1"/>
  <c r="H29" i="1" s="1"/>
  <c r="G28" i="1"/>
  <c r="H28" i="1" s="1"/>
  <c r="H22" i="1"/>
  <c r="E22" i="1"/>
  <c r="H14" i="1"/>
  <c r="E14" i="1"/>
  <c r="H12" i="1"/>
  <c r="E12" i="1"/>
  <c r="D29" i="1"/>
  <c r="D36" i="1"/>
  <c r="E36" i="1" s="1"/>
  <c r="J16" i="8" l="1"/>
  <c r="H12" i="15" s="1"/>
  <c r="G12" i="15"/>
  <c r="J16" i="9"/>
  <c r="H13" i="15" s="1"/>
  <c r="G13" i="15"/>
  <c r="J16" i="7"/>
  <c r="H11" i="15" s="1"/>
  <c r="G11" i="15"/>
  <c r="H24" i="9"/>
  <c r="I24" i="9" s="1"/>
  <c r="H24" i="7"/>
  <c r="H27" i="7" s="1"/>
  <c r="H21" i="5"/>
  <c r="I21" i="5" s="1"/>
  <c r="J21" i="5" s="1"/>
  <c r="H15" i="5"/>
  <c r="H16" i="5" s="1"/>
  <c r="I12" i="13"/>
  <c r="J12" i="13" s="1"/>
  <c r="H16" i="13"/>
  <c r="H24" i="8"/>
  <c r="H27" i="8" s="1"/>
  <c r="H24" i="14"/>
  <c r="I16" i="14"/>
  <c r="E13" i="1"/>
  <c r="D21" i="1"/>
  <c r="E21" i="1" s="1"/>
  <c r="E29" i="1"/>
  <c r="I29" i="1" s="1"/>
  <c r="J29" i="1" s="1"/>
  <c r="E39" i="7"/>
  <c r="I21" i="6"/>
  <c r="J21" i="6" s="1"/>
  <c r="I23" i="6"/>
  <c r="J23" i="6" s="1"/>
  <c r="I15" i="6"/>
  <c r="J15" i="6" s="1"/>
  <c r="I20" i="6"/>
  <c r="J20" i="6" s="1"/>
  <c r="I31" i="6"/>
  <c r="J31" i="6" s="1"/>
  <c r="I18" i="6"/>
  <c r="J18" i="6" s="1"/>
  <c r="E24" i="6"/>
  <c r="I19" i="6"/>
  <c r="J19" i="6" s="1"/>
  <c r="C17" i="1"/>
  <c r="D17" i="1" s="1"/>
  <c r="E17" i="1" s="1"/>
  <c r="I13" i="6"/>
  <c r="J13" i="6" s="1"/>
  <c r="H16" i="6"/>
  <c r="I30" i="1"/>
  <c r="J30" i="1" s="1"/>
  <c r="I26" i="5"/>
  <c r="J26" i="5" s="1"/>
  <c r="I20" i="5"/>
  <c r="J20" i="5" s="1"/>
  <c r="I19" i="5"/>
  <c r="J19" i="5" s="1"/>
  <c r="E33" i="1"/>
  <c r="F17" i="1"/>
  <c r="G17" i="1" s="1"/>
  <c r="H17" i="1" s="1"/>
  <c r="I23" i="5"/>
  <c r="J23" i="5" s="1"/>
  <c r="I18" i="5"/>
  <c r="J18" i="5" s="1"/>
  <c r="E24" i="5"/>
  <c r="H34" i="1"/>
  <c r="H33" i="1"/>
  <c r="H36" i="1"/>
  <c r="I36" i="1" s="1"/>
  <c r="J36" i="1" s="1"/>
  <c r="I22" i="1"/>
  <c r="J22" i="1" s="1"/>
  <c r="G25" i="1"/>
  <c r="H25" i="1" s="1"/>
  <c r="D26" i="1"/>
  <c r="E25" i="1"/>
  <c r="D23" i="1"/>
  <c r="D20" i="1"/>
  <c r="D15" i="1"/>
  <c r="D19" i="1"/>
  <c r="D18" i="1"/>
  <c r="G13" i="1"/>
  <c r="H13" i="1" s="1"/>
  <c r="I14" i="1"/>
  <c r="J14" i="1" s="1"/>
  <c r="I12" i="1"/>
  <c r="J12" i="1" s="1"/>
  <c r="D34" i="1"/>
  <c r="E34" i="1" s="1"/>
  <c r="D35" i="1"/>
  <c r="E35" i="1" s="1"/>
  <c r="D28" i="1"/>
  <c r="E28" i="1" s="1"/>
  <c r="G37" i="1"/>
  <c r="H37" i="1" s="1"/>
  <c r="I37" i="1" s="1"/>
  <c r="J37" i="1" s="1"/>
  <c r="G35" i="1"/>
  <c r="H35" i="1" s="1"/>
  <c r="J24" i="9" l="1"/>
  <c r="J13" i="15" s="1"/>
  <c r="I13" i="15"/>
  <c r="J16" i="14"/>
  <c r="H14" i="15" s="1"/>
  <c r="G14" i="15"/>
  <c r="H27" i="9"/>
  <c r="H37" i="9" s="1"/>
  <c r="I15" i="5"/>
  <c r="J15" i="5" s="1"/>
  <c r="I24" i="7"/>
  <c r="H24" i="5"/>
  <c r="I24" i="5" s="1"/>
  <c r="I24" i="8"/>
  <c r="H27" i="14"/>
  <c r="I24" i="14"/>
  <c r="H24" i="13"/>
  <c r="I16" i="13"/>
  <c r="I27" i="8"/>
  <c r="H37" i="8"/>
  <c r="I13" i="1"/>
  <c r="J13" i="1" s="1"/>
  <c r="I16" i="5"/>
  <c r="E40" i="7"/>
  <c r="E41" i="7" s="1"/>
  <c r="I27" i="7"/>
  <c r="H39" i="7"/>
  <c r="E27" i="6"/>
  <c r="E35" i="6" s="1"/>
  <c r="H24" i="6"/>
  <c r="I16" i="6"/>
  <c r="I34" i="1"/>
  <c r="J34" i="1" s="1"/>
  <c r="I33" i="1"/>
  <c r="J33" i="1" s="1"/>
  <c r="E27" i="5"/>
  <c r="I17" i="1"/>
  <c r="J17" i="1" s="1"/>
  <c r="G18" i="1"/>
  <c r="H18" i="1" s="1"/>
  <c r="E18" i="1"/>
  <c r="G23" i="1"/>
  <c r="H23" i="1" s="1"/>
  <c r="E23" i="1"/>
  <c r="G26" i="1"/>
  <c r="H26" i="1" s="1"/>
  <c r="E26" i="1"/>
  <c r="G19" i="1"/>
  <c r="H19" i="1" s="1"/>
  <c r="E19" i="1"/>
  <c r="I25" i="1"/>
  <c r="J25" i="1" s="1"/>
  <c r="G15" i="1"/>
  <c r="H15" i="1" s="1"/>
  <c r="E15" i="1"/>
  <c r="E16" i="1" s="1"/>
  <c r="G21" i="1"/>
  <c r="H21" i="1" s="1"/>
  <c r="G20" i="1"/>
  <c r="H20" i="1" s="1"/>
  <c r="E20" i="1"/>
  <c r="I28" i="1"/>
  <c r="J28" i="1" s="1"/>
  <c r="I35" i="1"/>
  <c r="J35" i="1" s="1"/>
  <c r="J24" i="5" l="1"/>
  <c r="J9" i="15" s="1"/>
  <c r="I9" i="15"/>
  <c r="J16" i="6"/>
  <c r="H10" i="15" s="1"/>
  <c r="G10" i="15"/>
  <c r="J27" i="7"/>
  <c r="L11" i="15" s="1"/>
  <c r="K11" i="15"/>
  <c r="J24" i="14"/>
  <c r="J14" i="15" s="1"/>
  <c r="I14" i="15"/>
  <c r="J27" i="8"/>
  <c r="L12" i="15" s="1"/>
  <c r="K12" i="15"/>
  <c r="J24" i="7"/>
  <c r="J11" i="15" s="1"/>
  <c r="I11" i="15"/>
  <c r="J16" i="5"/>
  <c r="H9" i="15" s="1"/>
  <c r="G9" i="15"/>
  <c r="J16" i="13"/>
  <c r="H16" i="15" s="1"/>
  <c r="G16" i="15"/>
  <c r="J24" i="8"/>
  <c r="J12" i="15" s="1"/>
  <c r="I12" i="15"/>
  <c r="I27" i="9"/>
  <c r="H27" i="5"/>
  <c r="H39" i="5" s="1"/>
  <c r="H27" i="13"/>
  <c r="I24" i="13"/>
  <c r="H35" i="14"/>
  <c r="I27" i="14"/>
  <c r="H38" i="9"/>
  <c r="I38" i="9" s="1"/>
  <c r="J38" i="9" s="1"/>
  <c r="I37" i="9"/>
  <c r="J37" i="9" s="1"/>
  <c r="I37" i="8"/>
  <c r="J37" i="8" s="1"/>
  <c r="H38" i="8"/>
  <c r="I38" i="8" s="1"/>
  <c r="J38" i="8" s="1"/>
  <c r="H40" i="7"/>
  <c r="I40" i="7" s="1"/>
  <c r="J40" i="7" s="1"/>
  <c r="I39" i="7"/>
  <c r="H27" i="6"/>
  <c r="H35" i="6" s="1"/>
  <c r="I24" i="6"/>
  <c r="E39" i="5"/>
  <c r="I18" i="1"/>
  <c r="J18" i="1" s="1"/>
  <c r="I26" i="1"/>
  <c r="J26" i="1" s="1"/>
  <c r="I21" i="1"/>
  <c r="J21" i="1" s="1"/>
  <c r="E24" i="1"/>
  <c r="E27" i="1" s="1"/>
  <c r="E39" i="1" s="1"/>
  <c r="E40" i="1" s="1"/>
  <c r="I19" i="1"/>
  <c r="J19" i="1" s="1"/>
  <c r="I23" i="1"/>
  <c r="J23" i="1" s="1"/>
  <c r="I20" i="1"/>
  <c r="J20" i="1" s="1"/>
  <c r="I15" i="1"/>
  <c r="J15" i="1" s="1"/>
  <c r="H16" i="1"/>
  <c r="J24" i="13" l="1"/>
  <c r="J16" i="15" s="1"/>
  <c r="I16" i="15"/>
  <c r="J24" i="6"/>
  <c r="J10" i="15" s="1"/>
  <c r="I10" i="15"/>
  <c r="J27" i="14"/>
  <c r="L14" i="15" s="1"/>
  <c r="K14" i="15"/>
  <c r="J27" i="9"/>
  <c r="L13" i="15" s="1"/>
  <c r="K13" i="15"/>
  <c r="J39" i="7"/>
  <c r="N11" i="15" s="1"/>
  <c r="M11" i="15"/>
  <c r="I27" i="5"/>
  <c r="I27" i="13"/>
  <c r="H37" i="13"/>
  <c r="H36" i="14"/>
  <c r="I36" i="14" s="1"/>
  <c r="J36" i="14" s="1"/>
  <c r="I35" i="14"/>
  <c r="J35" i="14" s="1"/>
  <c r="H39" i="8"/>
  <c r="I39" i="8" s="1"/>
  <c r="H39" i="9"/>
  <c r="I39" i="9" s="1"/>
  <c r="H41" i="7"/>
  <c r="I41" i="7" s="1"/>
  <c r="J41" i="7" s="1"/>
  <c r="I27" i="6"/>
  <c r="E36" i="6"/>
  <c r="E37" i="6" s="1"/>
  <c r="E41" i="5"/>
  <c r="E40" i="5"/>
  <c r="I39" i="5"/>
  <c r="J39" i="5" s="1"/>
  <c r="H41" i="5"/>
  <c r="H40" i="5"/>
  <c r="E41" i="1"/>
  <c r="E42" i="1" s="1"/>
  <c r="H24" i="1"/>
  <c r="I16" i="1"/>
  <c r="J39" i="8" l="1"/>
  <c r="N12" i="15" s="1"/>
  <c r="M12" i="15"/>
  <c r="J16" i="1"/>
  <c r="H7" i="15" s="1"/>
  <c r="G7" i="15"/>
  <c r="J27" i="13"/>
  <c r="L16" i="15" s="1"/>
  <c r="K16" i="15"/>
  <c r="J27" i="6"/>
  <c r="L10" i="15" s="1"/>
  <c r="K10" i="15"/>
  <c r="J27" i="5"/>
  <c r="L9" i="15" s="1"/>
  <c r="K9" i="15"/>
  <c r="J39" i="9"/>
  <c r="N13" i="15" s="1"/>
  <c r="M13" i="15"/>
  <c r="H37" i="14"/>
  <c r="I37" i="14" s="1"/>
  <c r="H38" i="13"/>
  <c r="I38" i="13" s="1"/>
  <c r="J38" i="13" s="1"/>
  <c r="I37" i="13"/>
  <c r="J37" i="13" s="1"/>
  <c r="H42" i="5"/>
  <c r="I35" i="6"/>
  <c r="J35" i="6" s="1"/>
  <c r="H36" i="6"/>
  <c r="I36" i="6" s="1"/>
  <c r="J36" i="6" s="1"/>
  <c r="I40" i="5"/>
  <c r="J40" i="5" s="1"/>
  <c r="E42" i="5"/>
  <c r="I41" i="5"/>
  <c r="I24" i="1"/>
  <c r="H27" i="1"/>
  <c r="J24" i="1" l="1"/>
  <c r="J7" i="15" s="1"/>
  <c r="I7" i="15"/>
  <c r="J37" i="14"/>
  <c r="N14" i="15" s="1"/>
  <c r="M14" i="15"/>
  <c r="H40" i="13"/>
  <c r="I40" i="13" s="1"/>
  <c r="I42" i="5"/>
  <c r="H37" i="6"/>
  <c r="I37" i="6" s="1"/>
  <c r="I27" i="1"/>
  <c r="H39" i="1"/>
  <c r="J42" i="5" l="1"/>
  <c r="N9" i="15" s="1"/>
  <c r="M9" i="15"/>
  <c r="J40" i="13"/>
  <c r="N16" i="15" s="1"/>
  <c r="M16" i="15"/>
  <c r="J27" i="1"/>
  <c r="L7" i="15" s="1"/>
  <c r="K7" i="15"/>
  <c r="J37" i="6"/>
  <c r="N10" i="15" s="1"/>
  <c r="M10" i="15"/>
  <c r="H40" i="1"/>
  <c r="I40" i="1" s="1"/>
  <c r="J40" i="1" s="1"/>
  <c r="H41" i="1"/>
  <c r="I41" i="1" s="1"/>
  <c r="I39" i="1"/>
  <c r="J39" i="1" s="1"/>
  <c r="H42" i="1" l="1"/>
  <c r="I42" i="1" s="1"/>
  <c r="J42" i="1" l="1"/>
  <c r="N7" i="15" s="1"/>
  <c r="M7" i="15"/>
</calcChain>
</file>

<file path=xl/sharedStrings.xml><?xml version="1.0" encoding="utf-8"?>
<sst xmlns="http://schemas.openxmlformats.org/spreadsheetml/2006/main" count="672" uniqueCount="106">
  <si>
    <t>Customer Class:</t>
  </si>
  <si>
    <t>RPP / Non-RPP:</t>
  </si>
  <si>
    <t>Consumption</t>
  </si>
  <si>
    <t>kWh</t>
  </si>
  <si>
    <t>Demand</t>
  </si>
  <si>
    <t>kW</t>
  </si>
  <si>
    <t>Current Loss Factor</t>
  </si>
  <si>
    <t>Proposed/Approved Loss Factor</t>
  </si>
  <si>
    <t>Current OEB-Approved</t>
  </si>
  <si>
    <t>Proposed</t>
  </si>
  <si>
    <t>Impact</t>
  </si>
  <si>
    <t>Rate</t>
  </si>
  <si>
    <t>Volume</t>
  </si>
  <si>
    <t>Charge</t>
  </si>
  <si>
    <t>$ Change</t>
  </si>
  <si>
    <t>% Change</t>
  </si>
  <si>
    <t>($)</t>
  </si>
  <si>
    <t>Monthly Service Charge</t>
  </si>
  <si>
    <t>Distribution Volumetric Rate</t>
  </si>
  <si>
    <t>Fixed Rate Riders</t>
  </si>
  <si>
    <t>Volumetric Rate Riders</t>
  </si>
  <si>
    <t>Sub-Total A (excluding pass through)</t>
  </si>
  <si>
    <t>Line Losses on Cost of Power</t>
  </si>
  <si>
    <t>Total Deferral/Variance Account Rate Riders</t>
  </si>
  <si>
    <t>CBR Class B Rate Riders</t>
  </si>
  <si>
    <t>GA Rate Riders</t>
  </si>
  <si>
    <t>Low Voltage Service Charge</t>
  </si>
  <si>
    <t xml:space="preserve">Smart Meter Entity Charge (if applicable) and/or any fixed ($) Deferral/Variance Account Rate Riders
</t>
  </si>
  <si>
    <t>Additional Volumetric Rate Riders (Sheet 18)</t>
  </si>
  <si>
    <t>Sub-Total B - Distribution (includes Sub-Total A)</t>
  </si>
  <si>
    <t>RTSR - Network</t>
  </si>
  <si>
    <t>RTSR - Connection and/or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</si>
  <si>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</si>
  <si>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</si>
  <si>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</si>
  <si>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</si>
  <si>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</si>
  <si>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 xml:space="preserve">Ontario Electricity Support Program 
(OESP) </t>
  </si>
  <si>
    <t>TOU - Off Peak</t>
  </si>
  <si>
    <t>TOU - Mid Peak</t>
  </si>
  <si>
    <t>TOU - On Peak</t>
  </si>
  <si>
    <t>Non-RPP Retailer Avg. Price</t>
  </si>
  <si>
    <t>Average IESO Wholesale Market Price</t>
  </si>
  <si>
    <t>Total Bill on TOU (before Taxes)</t>
  </si>
  <si>
    <t>HST</t>
  </si>
  <si>
    <t>8% Rebate</t>
  </si>
  <si>
    <t>Total Bill on TOU</t>
  </si>
  <si>
    <t>Residential</t>
  </si>
  <si>
    <t>RPP</t>
  </si>
  <si>
    <t>Rate Class</t>
  </si>
  <si>
    <t>Loss Factor</t>
  </si>
  <si>
    <t>Typical Monthly Consumption (kWh)</t>
  </si>
  <si>
    <t>Avg Monthly Peak (kW)</t>
  </si>
  <si>
    <t>Charge Determinant</t>
  </si>
  <si>
    <t>Current Fixed Charge ($/month)</t>
  </si>
  <si>
    <t>Smart Metering Entity Charge ($/month)</t>
  </si>
  <si>
    <t>Current Acquisition Rider (Fixed)</t>
  </si>
  <si>
    <t>Current Def/VA rate rider Fixed ($/month)</t>
  </si>
  <si>
    <t>Current RTSR-NW ($/kWh or $/kW)</t>
  </si>
  <si>
    <t>Current RTSR-CONN ($/kWh or $/kW)</t>
  </si>
  <si>
    <t>Proposed Fixed Charge ($/month)</t>
  </si>
  <si>
    <t>Proposed volumetric Charge ($/kWh or $/kW)</t>
  </si>
  <si>
    <t>Proposed RTSR-NW ($/kWh or $/kW)</t>
  </si>
  <si>
    <t>Proposed RTSR-CONN ($/kWh or $/kW)</t>
  </si>
  <si>
    <t>Current Variable Charge ($/kWh or $/kW)</t>
  </si>
  <si>
    <t>GS&lt;50 kW</t>
  </si>
  <si>
    <t>GS 50-4,999 kW</t>
  </si>
  <si>
    <t>Embedded Distributor</t>
  </si>
  <si>
    <t>Current Acquisition Rider (LV charge)</t>
  </si>
  <si>
    <t>Proposed Acquisition Rider (Fixed)</t>
  </si>
  <si>
    <t>Proposed Acquisition Rider (LV charge)</t>
  </si>
  <si>
    <t>Current Acquisition Rider (Volumetric)</t>
  </si>
  <si>
    <t>Proposed Acquisition Rider (Volumetric)</t>
  </si>
  <si>
    <t>Proposed LV Charge  ($/kWh or $/kW)</t>
  </si>
  <si>
    <t>Current LV Charge ($/kWh or $/kW)</t>
  </si>
  <si>
    <t>Proposed  Global Adjustment Rate Rider ($/kWh)</t>
  </si>
  <si>
    <t>Proposed Def/VA rate rider ($/kWh or $/kW)</t>
  </si>
  <si>
    <t>Other Proposed Rate Riders ($/kWh or $/kW)</t>
  </si>
  <si>
    <t>Other Current Rate Riders ($/kWh or $/kW)</t>
  </si>
  <si>
    <t>Current Def/VA rate rider  ($/kWh or $/kW)</t>
  </si>
  <si>
    <t>Non-RPP (Retailer)</t>
  </si>
  <si>
    <t>Non-RPP (Other)</t>
  </si>
  <si>
    <t>Current Global Adjustment Rate Rider ($/kWh)</t>
  </si>
  <si>
    <t>Sentinel Lighting</t>
  </si>
  <si>
    <t>Street Lighting</t>
  </si>
  <si>
    <t>Unmetered Scattered Load</t>
  </si>
  <si>
    <t xml:space="preserve">RATE CLASSES </t>
  </si>
  <si>
    <t>Units</t>
  </si>
  <si>
    <t>Charge Determinants</t>
  </si>
  <si>
    <t>Sub-Total</t>
  </si>
  <si>
    <t>Total Bill</t>
  </si>
  <si>
    <t>A (DX-Excl Pass Through)</t>
  </si>
  <si>
    <t>B (DX-Incl Pass Through)</t>
  </si>
  <si>
    <t>C (Total Delivery)</t>
  </si>
  <si>
    <t>$</t>
  </si>
  <si>
    <t>%</t>
  </si>
  <si>
    <t>RESIDENTIAL - RPP</t>
  </si>
  <si>
    <t>GENERAL SERVICE LESS THAN 50 kW - RPP</t>
  </si>
  <si>
    <t>GENERAL SERVICE 50 TO 4,999 KW - Non-RPP (Other)</t>
  </si>
  <si>
    <t>UNMETERED SCATTERED LOAD - RPP</t>
  </si>
  <si>
    <t>SENTINEL LIGHTING - RPP</t>
  </si>
  <si>
    <t>STREET LIGHTING - RPP</t>
  </si>
  <si>
    <t>EMBEDDED DISTRIBUTOR - Non-RPP (Other)</t>
  </si>
  <si>
    <t>RESIDENTIAL - Non-RPP (Retailer)</t>
  </si>
  <si>
    <t>GENERAL SERVICE LESS THAN 50 kW - Non-RPP (Retailer)</t>
  </si>
  <si>
    <t>Former HCHI Service Area Total Bill Impacts for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</si>
</sst>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??_-;_-@_-"/>
    <numFmt numFmtId="165" formatCode="0.0000"/>
    <numFmt numFmtId="166" formatCode="_-&quot;$&quot;* #,##0.0000_-;\-&quot;$&quot;* #,##0.0000_-;_-&quot;$&quot;* &quot;-&quot;??_-;_-@_-"/>
    <numFmt numFmtId="167" formatCode="_-&quot;$&quot;* #,##0.00_-;\-&quot;$&quot;* #,##0.00_-;_-&quot;$&quot;* &quot;-&quot;??_-;_-@_-"/>
    <numFmt numFmtId="168" formatCode="_(&quot;$&quot;* #,##0.0000_);_(&quot;$&quot;* \(#,##0.0000\);_(&quot;$&quot;* &quot;-&quot;??_);_(@_)"/>
    <numFmt numFmtId="169" formatCode="_-* #,##0.0000_-;\-* #,##0.0000_-;_-* &quot;-&quot;??_-;_-@_-"/>
    <numFmt numFmtId="170" formatCode="_-* #,##0.0_-;\-* #,##0.0_-;_-* &quot;-&quot;??_-;_-@_-"/>
    <numFmt numFmtId="171" formatCode="_-* #,##0.000_-;\-* #,##0.000_-;_-* &quot;-&quot;??_-;_-@_-"/>
    <numFmt numFmtId="172" formatCode="&quot;$&quot;#,##0.00"/>
    <numFmt numFmtId="173" formatCode="0.00000"/>
    <numFmt numFmtId="174" formatCode="_(* #,##0_);_(* \(#,##0\);_(* &quot;-&quot;??_);_(@_)"/>
    <numFmt numFmtId="175" formatCode="0.0%"/>
    <numFmt numFmtId="176" formatCode="#,##0.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color theme="3"/>
      <name val="Arial"/>
      <family val="2"/>
    </font>
    <font>
      <b/>
      <sz val="10"/>
      <color theme="1"/>
      <name val="Arial"/>
      <family val="2"/>
    </font>
    <font>
      <b/>
      <sz val="10"/>
      <color rgb="FF0070C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1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237">
    <xf numFmtId="0" fontId="0" fillId="0" borderId="0" xfId="0"/>
    <xf numFmtId="0" fontId="2" fillId="0" borderId="0" xfId="1" applyFont="1" applyAlignment="1" applyProtection="1">
      <alignment horizontal="right" vertical="center"/>
      <protection locked="0"/>
    </xf>
    <xf numFmtId="0" fontId="1" fillId="0" borderId="0" xfId="1" applyProtection="1">
      <protection locked="0"/>
    </xf>
    <xf numFmtId="164" fontId="2" fillId="2" borderId="1" xfId="2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Protection="1">
      <protection locked="0"/>
    </xf>
    <xf numFmtId="0" fontId="1" fillId="0" borderId="0" xfId="1" applyFont="1" applyProtection="1">
      <protection locked="0"/>
    </xf>
    <xf numFmtId="0" fontId="2" fillId="0" borderId="0" xfId="1" applyFont="1" applyAlignment="1" applyProtection="1">
      <alignment horizontal="left"/>
      <protection locked="0"/>
    </xf>
    <xf numFmtId="0" fontId="2" fillId="0" borderId="0" xfId="1" applyFont="1" applyAlignment="1" applyProtection="1">
      <alignment horizontal="center"/>
      <protection locked="0"/>
    </xf>
    <xf numFmtId="0" fontId="5" fillId="0" borderId="0" xfId="1" applyFont="1" applyAlignment="1" applyProtection="1">
      <alignment horizontal="center"/>
      <protection locked="0"/>
    </xf>
    <xf numFmtId="165" fontId="2" fillId="2" borderId="1" xfId="3" applyNumberFormat="1" applyFont="1" applyFill="1" applyBorder="1" applyProtection="1">
      <protection locked="0"/>
    </xf>
    <xf numFmtId="0" fontId="2" fillId="0" borderId="6" xfId="1" applyFont="1" applyBorder="1" applyAlignment="1" applyProtection="1">
      <alignment horizontal="center"/>
      <protection locked="0"/>
    </xf>
    <xf numFmtId="0" fontId="2" fillId="0" borderId="7" xfId="1" applyFont="1" applyBorder="1" applyAlignment="1" applyProtection="1">
      <alignment horizontal="center"/>
      <protection locked="0"/>
    </xf>
    <xf numFmtId="0" fontId="2" fillId="0" borderId="8" xfId="1" applyFont="1" applyBorder="1" applyAlignment="1" applyProtection="1">
      <alignment horizontal="center"/>
      <protection locked="0"/>
    </xf>
    <xf numFmtId="0" fontId="2" fillId="0" borderId="2" xfId="1" quotePrefix="1" applyFont="1" applyBorder="1" applyAlignment="1" applyProtection="1">
      <alignment horizontal="center"/>
      <protection locked="0"/>
    </xf>
    <xf numFmtId="0" fontId="2" fillId="0" borderId="10" xfId="1" quotePrefix="1" applyFont="1" applyBorder="1" applyAlignment="1" applyProtection="1">
      <alignment horizontal="center"/>
      <protection locked="0"/>
    </xf>
    <xf numFmtId="0" fontId="1" fillId="0" borderId="9" xfId="1" applyFont="1" applyFill="1" applyBorder="1" applyAlignment="1" applyProtection="1">
      <alignment vertical="center"/>
      <protection locked="0"/>
    </xf>
    <xf numFmtId="44" fontId="6" fillId="0" borderId="7" xfId="4" applyFont="1" applyBorder="1" applyAlignment="1" applyProtection="1">
      <alignment vertical="center"/>
      <protection locked="0"/>
    </xf>
    <xf numFmtId="0" fontId="1" fillId="0" borderId="7" xfId="1" applyFont="1" applyFill="1" applyBorder="1" applyAlignment="1" applyProtection="1">
      <alignment vertical="center"/>
      <protection locked="0"/>
    </xf>
    <xf numFmtId="44" fontId="1" fillId="0" borderId="9" xfId="1" applyNumberFormat="1" applyFont="1" applyBorder="1" applyAlignment="1" applyProtection="1">
      <alignment vertical="center"/>
      <protection locked="0"/>
    </xf>
    <xf numFmtId="10" fontId="6" fillId="0" borderId="7" xfId="3" applyNumberFormat="1" applyFont="1" applyBorder="1" applyAlignment="1" applyProtection="1">
      <alignment vertical="center"/>
      <protection locked="0"/>
    </xf>
    <xf numFmtId="164" fontId="1" fillId="3" borderId="9" xfId="2" applyNumberFormat="1" applyFont="1" applyFill="1" applyBorder="1" applyAlignment="1" applyProtection="1">
      <alignment vertical="center"/>
      <protection locked="0"/>
    </xf>
    <xf numFmtId="164" fontId="1" fillId="0" borderId="9" xfId="2" applyNumberFormat="1" applyFont="1" applyFill="1" applyBorder="1" applyAlignment="1" applyProtection="1">
      <alignment vertical="center"/>
      <protection locked="0"/>
    </xf>
    <xf numFmtId="44" fontId="1" fillId="0" borderId="7" xfId="4" applyFont="1" applyBorder="1" applyAlignment="1" applyProtection="1">
      <alignment vertical="center"/>
      <protection locked="0"/>
    </xf>
    <xf numFmtId="164" fontId="1" fillId="4" borderId="9" xfId="2" applyNumberFormat="1" applyFont="1" applyFill="1" applyBorder="1" applyAlignment="1" applyProtection="1">
      <alignment vertical="center"/>
      <protection locked="0"/>
    </xf>
    <xf numFmtId="44" fontId="1" fillId="4" borderId="7" xfId="4" applyFont="1" applyFill="1" applyBorder="1" applyAlignment="1" applyProtection="1">
      <alignment vertical="center"/>
      <protection locked="0"/>
    </xf>
    <xf numFmtId="44" fontId="1" fillId="4" borderId="9" xfId="1" applyNumberFormat="1" applyFont="1" applyFill="1" applyBorder="1" applyAlignment="1" applyProtection="1">
      <alignment vertical="center"/>
      <protection locked="0"/>
    </xf>
    <xf numFmtId="10" fontId="6" fillId="4" borderId="7" xfId="3" applyNumberFormat="1" applyFont="1" applyFill="1" applyBorder="1" applyAlignment="1" applyProtection="1">
      <alignment vertical="center"/>
      <protection locked="0"/>
    </xf>
    <xf numFmtId="164" fontId="1" fillId="2" borderId="9" xfId="2" applyNumberFormat="1" applyFont="1" applyFill="1" applyBorder="1" applyAlignment="1" applyProtection="1">
      <alignment vertical="center"/>
      <protection locked="0"/>
    </xf>
    <xf numFmtId="166" fontId="7" fillId="5" borderId="9" xfId="4" applyNumberFormat="1" applyFont="1" applyFill="1" applyBorder="1" applyAlignment="1" applyProtection="1">
      <alignment horizontal="left" vertical="center"/>
      <protection locked="0"/>
    </xf>
    <xf numFmtId="9" fontId="1" fillId="0" borderId="9" xfId="1" applyNumberFormat="1" applyFont="1" applyFill="1" applyBorder="1" applyAlignment="1" applyProtection="1">
      <alignment vertical="top"/>
      <protection locked="0"/>
    </xf>
    <xf numFmtId="0" fontId="1" fillId="0" borderId="0" xfId="1" applyFont="1" applyFill="1" applyBorder="1" applyAlignment="1" applyProtection="1">
      <alignment vertical="center"/>
      <protection locked="0"/>
    </xf>
    <xf numFmtId="44" fontId="1" fillId="0" borderId="11" xfId="1" applyNumberFormat="1" applyFont="1" applyFill="1" applyBorder="1" applyAlignment="1" applyProtection="1">
      <alignment vertical="center"/>
      <protection locked="0"/>
    </xf>
    <xf numFmtId="9" fontId="1" fillId="0" borderId="9" xfId="1" applyNumberFormat="1" applyFont="1" applyFill="1" applyBorder="1" applyAlignment="1" applyProtection="1">
      <alignment vertical="center"/>
      <protection locked="0"/>
    </xf>
    <xf numFmtId="44" fontId="1" fillId="0" borderId="9" xfId="1" applyNumberFormat="1" applyFont="1" applyFill="1" applyBorder="1" applyAlignment="1" applyProtection="1">
      <alignment vertical="center"/>
      <protection locked="0"/>
    </xf>
    <xf numFmtId="10" fontId="1" fillId="0" borderId="7" xfId="3" applyNumberFormat="1" applyFont="1" applyFill="1" applyBorder="1" applyAlignment="1" applyProtection="1">
      <alignment vertical="center"/>
      <protection locked="0"/>
    </xf>
    <xf numFmtId="44" fontId="2" fillId="7" borderId="11" xfId="1" applyNumberFormat="1" applyFont="1" applyFill="1" applyBorder="1" applyAlignment="1" applyProtection="1">
      <alignment vertical="center"/>
      <protection locked="0"/>
    </xf>
    <xf numFmtId="0" fontId="4" fillId="0" borderId="0" xfId="1" applyFont="1" applyFill="1" applyBorder="1" applyAlignment="1" applyProtection="1">
      <alignment vertical="top"/>
      <protection locked="0"/>
    </xf>
    <xf numFmtId="0" fontId="1" fillId="0" borderId="0" xfId="1" applyFill="1" applyProtection="1">
      <protection locked="0"/>
    </xf>
    <xf numFmtId="0" fontId="5" fillId="0" borderId="0" xfId="1" applyFont="1" applyFill="1" applyAlignment="1" applyProtection="1">
      <alignment vertical="center"/>
      <protection locked="0"/>
    </xf>
    <xf numFmtId="44" fontId="2" fillId="2" borderId="7" xfId="4" applyNumberFormat="1" applyFont="1" applyFill="1" applyBorder="1" applyAlignment="1" applyProtection="1">
      <alignment horizontal="left" vertical="center"/>
      <protection locked="0"/>
    </xf>
    <xf numFmtId="166" fontId="2" fillId="2" borderId="7" xfId="4" applyNumberFormat="1" applyFont="1" applyFill="1" applyBorder="1" applyAlignment="1" applyProtection="1">
      <alignment horizontal="left" vertical="center"/>
      <protection locked="0"/>
    </xf>
    <xf numFmtId="167" fontId="2" fillId="2" borderId="7" xfId="4" applyNumberFormat="1" applyFont="1" applyFill="1" applyBorder="1" applyAlignment="1" applyProtection="1">
      <alignment horizontal="left" vertical="center"/>
      <protection locked="0"/>
    </xf>
    <xf numFmtId="166" fontId="2" fillId="4" borderId="7" xfId="4" applyNumberFormat="1" applyFont="1" applyFill="1" applyBorder="1" applyAlignment="1" applyProtection="1">
      <alignment horizontal="left" vertical="center"/>
      <protection locked="0"/>
    </xf>
    <xf numFmtId="166" fontId="2" fillId="0" borderId="7" xfId="4" applyNumberFormat="1" applyFont="1" applyFill="1" applyBorder="1" applyAlignment="1" applyProtection="1">
      <alignment horizontal="left" vertical="center"/>
      <protection locked="0"/>
    </xf>
    <xf numFmtId="166" fontId="2" fillId="5" borderId="7" xfId="4" applyNumberFormat="1" applyFont="1" applyFill="1" applyBorder="1" applyAlignment="1" applyProtection="1">
      <alignment horizontal="left" vertical="center"/>
      <protection locked="0"/>
    </xf>
    <xf numFmtId="9" fontId="1" fillId="0" borderId="7" xfId="1" applyNumberFormat="1" applyFont="1" applyFill="1" applyBorder="1" applyAlignment="1" applyProtection="1">
      <alignment vertical="top"/>
      <protection locked="0"/>
    </xf>
    <xf numFmtId="0" fontId="1" fillId="6" borderId="1" xfId="1" applyFont="1" applyFill="1" applyBorder="1" applyProtection="1">
      <protection locked="0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65" fontId="0" fillId="0" borderId="1" xfId="0" applyNumberFormat="1" applyBorder="1"/>
    <xf numFmtId="3" fontId="0" fillId="0" borderId="1" xfId="0" applyNumberFormat="1" applyBorder="1"/>
    <xf numFmtId="3" fontId="0" fillId="0" borderId="0" xfId="0" applyNumberFormat="1"/>
    <xf numFmtId="168" fontId="2" fillId="2" borderId="7" xfId="4" applyNumberFormat="1" applyFont="1" applyFill="1" applyBorder="1" applyAlignment="1" applyProtection="1">
      <alignment horizontal="left" vertical="center"/>
      <protection locked="0"/>
    </xf>
    <xf numFmtId="166" fontId="9" fillId="2" borderId="9" xfId="4" applyNumberFormat="1" applyFont="1" applyFill="1" applyBorder="1" applyAlignment="1" applyProtection="1">
      <alignment horizontal="left" vertical="center"/>
      <protection locked="0"/>
    </xf>
    <xf numFmtId="166" fontId="9" fillId="2" borderId="7" xfId="4" applyNumberFormat="1" applyFont="1" applyFill="1" applyBorder="1" applyAlignment="1" applyProtection="1">
      <alignment horizontal="left" vertical="center"/>
      <protection locked="0"/>
    </xf>
    <xf numFmtId="168" fontId="9" fillId="2" borderId="7" xfId="4" applyNumberFormat="1" applyFont="1" applyFill="1" applyBorder="1" applyAlignment="1" applyProtection="1">
      <alignment horizontal="left" vertical="center"/>
      <protection locked="0"/>
    </xf>
    <xf numFmtId="44" fontId="9" fillId="2" borderId="7" xfId="4" applyNumberFormat="1" applyFont="1" applyFill="1" applyBorder="1" applyAlignment="1" applyProtection="1">
      <alignment horizontal="left" vertical="center"/>
      <protection locked="0"/>
    </xf>
    <xf numFmtId="168" fontId="2" fillId="2" borderId="8" xfId="4" applyNumberFormat="1" applyFont="1" applyFill="1" applyBorder="1" applyAlignment="1" applyProtection="1">
      <alignment horizontal="left" vertical="center"/>
      <protection locked="0"/>
    </xf>
    <xf numFmtId="168" fontId="2" fillId="2" borderId="10" xfId="4" applyNumberFormat="1" applyFont="1" applyFill="1" applyBorder="1" applyAlignment="1" applyProtection="1">
      <alignment horizontal="left" vertical="center"/>
      <protection locked="0"/>
    </xf>
    <xf numFmtId="166" fontId="2" fillId="2" borderId="8" xfId="4" applyNumberFormat="1" applyFont="1" applyFill="1" applyBorder="1" applyAlignment="1" applyProtection="1">
      <alignment horizontal="left" vertical="center"/>
      <protection locked="0"/>
    </xf>
    <xf numFmtId="0" fontId="1" fillId="0" borderId="11" xfId="1" applyFont="1" applyBorder="1" applyAlignment="1" applyProtection="1">
      <alignment vertical="top"/>
      <protection locked="0"/>
    </xf>
    <xf numFmtId="0" fontId="1" fillId="0" borderId="12" xfId="1" applyFont="1" applyBorder="1" applyAlignment="1" applyProtection="1">
      <alignment vertical="top"/>
      <protection locked="0"/>
    </xf>
    <xf numFmtId="166" fontId="1" fillId="6" borderId="4" xfId="4" applyNumberFormat="1" applyFont="1" applyFill="1" applyBorder="1" applyAlignment="1" applyProtection="1">
      <alignment vertical="top"/>
      <protection locked="0"/>
    </xf>
    <xf numFmtId="0" fontId="1" fillId="6" borderId="4" xfId="1" applyFont="1" applyFill="1" applyBorder="1" applyAlignment="1" applyProtection="1">
      <alignment vertical="center"/>
      <protection locked="0"/>
    </xf>
    <xf numFmtId="44" fontId="1" fillId="6" borderId="4" xfId="4" applyFont="1" applyFill="1" applyBorder="1" applyAlignment="1" applyProtection="1">
      <alignment vertical="center"/>
      <protection locked="0"/>
    </xf>
    <xf numFmtId="44" fontId="1" fillId="6" borderId="4" xfId="1" applyNumberFormat="1" applyFont="1" applyFill="1" applyBorder="1" applyAlignment="1" applyProtection="1">
      <alignment vertical="center"/>
      <protection locked="0"/>
    </xf>
    <xf numFmtId="10" fontId="1" fillId="6" borderId="5" xfId="3" applyNumberFormat="1" applyFont="1" applyFill="1" applyBorder="1" applyAlignment="1" applyProtection="1">
      <alignment vertical="center"/>
      <protection locked="0"/>
    </xf>
    <xf numFmtId="9" fontId="1" fillId="0" borderId="8" xfId="1" applyNumberFormat="1" applyFont="1" applyFill="1" applyBorder="1" applyAlignment="1" applyProtection="1">
      <alignment vertical="top"/>
      <protection locked="0"/>
    </xf>
    <xf numFmtId="9" fontId="1" fillId="0" borderId="14" xfId="1" applyNumberFormat="1" applyFont="1" applyFill="1" applyBorder="1" applyAlignment="1" applyProtection="1">
      <alignment vertical="center"/>
      <protection locked="0"/>
    </xf>
    <xf numFmtId="44" fontId="2" fillId="0" borderId="13" xfId="1" applyNumberFormat="1" applyFont="1" applyFill="1" applyBorder="1" applyAlignment="1" applyProtection="1">
      <alignment vertical="center"/>
      <protection locked="0"/>
    </xf>
    <xf numFmtId="9" fontId="2" fillId="0" borderId="6" xfId="1" applyNumberFormat="1" applyFont="1" applyFill="1" applyBorder="1" applyAlignment="1" applyProtection="1">
      <alignment vertical="center"/>
      <protection locked="0"/>
    </xf>
    <xf numFmtId="44" fontId="2" fillId="0" borderId="6" xfId="1" applyNumberFormat="1" applyFont="1" applyFill="1" applyBorder="1" applyAlignment="1" applyProtection="1">
      <alignment vertical="center"/>
      <protection locked="0"/>
    </xf>
    <xf numFmtId="10" fontId="2" fillId="0" borderId="8" xfId="3" applyNumberFormat="1" applyFont="1" applyFill="1" applyBorder="1" applyAlignment="1" applyProtection="1">
      <alignment vertical="center"/>
      <protection locked="0"/>
    </xf>
    <xf numFmtId="0" fontId="1" fillId="7" borderId="7" xfId="1" applyFont="1" applyFill="1" applyBorder="1" applyAlignment="1" applyProtection="1">
      <alignment vertical="top"/>
      <protection locked="0"/>
    </xf>
    <xf numFmtId="0" fontId="1" fillId="7" borderId="0" xfId="1" applyFont="1" applyFill="1" applyBorder="1" applyAlignment="1" applyProtection="1">
      <alignment vertical="center"/>
      <protection locked="0"/>
    </xf>
    <xf numFmtId="0" fontId="2" fillId="7" borderId="9" xfId="1" applyFont="1" applyFill="1" applyBorder="1" applyAlignment="1" applyProtection="1">
      <alignment vertical="center"/>
      <protection locked="0"/>
    </xf>
    <xf numFmtId="44" fontId="2" fillId="7" borderId="9" xfId="1" applyNumberFormat="1" applyFont="1" applyFill="1" applyBorder="1" applyAlignment="1" applyProtection="1">
      <alignment vertical="center"/>
      <protection locked="0"/>
    </xf>
    <xf numFmtId="10" fontId="2" fillId="7" borderId="7" xfId="3" applyNumberFormat="1" applyFont="1" applyFill="1" applyBorder="1" applyAlignment="1" applyProtection="1">
      <alignment vertical="center"/>
      <protection locked="0"/>
    </xf>
    <xf numFmtId="0" fontId="2" fillId="10" borderId="5" xfId="1" applyFont="1" applyFill="1" applyBorder="1" applyAlignment="1" applyProtection="1">
      <alignment horizontal="left" vertical="center"/>
      <protection locked="0"/>
    </xf>
    <xf numFmtId="0" fontId="1" fillId="10" borderId="1" xfId="1" applyFont="1" applyFill="1" applyBorder="1" applyAlignment="1" applyProtection="1">
      <alignment vertical="center"/>
      <protection locked="0"/>
    </xf>
    <xf numFmtId="44" fontId="2" fillId="10" borderId="5" xfId="1" applyNumberFormat="1" applyFont="1" applyFill="1" applyBorder="1" applyAlignment="1" applyProtection="1">
      <alignment vertical="center"/>
      <protection locked="0"/>
    </xf>
    <xf numFmtId="0" fontId="9" fillId="10" borderId="1" xfId="1" applyFont="1" applyFill="1" applyBorder="1" applyAlignment="1" applyProtection="1">
      <alignment horizontal="left" vertical="center"/>
      <protection locked="0"/>
    </xf>
    <xf numFmtId="0" fontId="1" fillId="10" borderId="5" xfId="1" applyFont="1" applyFill="1" applyBorder="1" applyAlignment="1" applyProtection="1">
      <alignment vertical="center"/>
      <protection locked="0"/>
    </xf>
    <xf numFmtId="44" fontId="2" fillId="10" borderId="1" xfId="1" applyNumberFormat="1" applyFont="1" applyFill="1" applyBorder="1" applyAlignment="1" applyProtection="1">
      <alignment vertical="center"/>
      <protection locked="0"/>
    </xf>
    <xf numFmtId="10" fontId="2" fillId="10" borderId="5" xfId="3" applyNumberFormat="1" applyFont="1" applyFill="1" applyBorder="1" applyAlignment="1" applyProtection="1">
      <alignment vertical="center"/>
      <protection locked="0"/>
    </xf>
    <xf numFmtId="166" fontId="2" fillId="10" borderId="5" xfId="4" applyNumberFormat="1" applyFont="1" applyFill="1" applyBorder="1" applyAlignment="1" applyProtection="1">
      <alignment horizontal="left" vertical="center"/>
      <protection locked="0"/>
    </xf>
    <xf numFmtId="0" fontId="2" fillId="10" borderId="1" xfId="1" applyFont="1" applyFill="1" applyBorder="1" applyAlignment="1" applyProtection="1">
      <alignment vertical="center"/>
      <protection locked="0"/>
    </xf>
    <xf numFmtId="44" fontId="8" fillId="10" borderId="5" xfId="4" applyFont="1" applyFill="1" applyBorder="1" applyAlignment="1" applyProtection="1">
      <alignment vertical="center"/>
      <protection locked="0"/>
    </xf>
    <xf numFmtId="166" fontId="9" fillId="10" borderId="1" xfId="4" applyNumberFormat="1" applyFont="1" applyFill="1" applyBorder="1" applyAlignment="1" applyProtection="1">
      <alignment horizontal="left" vertical="center"/>
      <protection locked="0"/>
    </xf>
    <xf numFmtId="0" fontId="2" fillId="10" borderId="5" xfId="1" applyFont="1" applyFill="1" applyBorder="1" applyAlignment="1" applyProtection="1">
      <alignment vertical="center"/>
      <protection locked="0"/>
    </xf>
    <xf numFmtId="0" fontId="7" fillId="10" borderId="1" xfId="1" applyFont="1" applyFill="1" applyBorder="1" applyAlignment="1" applyProtection="1">
      <alignment horizontal="left" vertical="center"/>
      <protection locked="0"/>
    </xf>
    <xf numFmtId="166" fontId="2" fillId="9" borderId="7" xfId="4" applyNumberFormat="1" applyFont="1" applyFill="1" applyBorder="1" applyAlignment="1" applyProtection="1">
      <alignment horizontal="left" vertical="center"/>
      <protection locked="0"/>
    </xf>
    <xf numFmtId="164" fontId="1" fillId="9" borderId="9" xfId="2" applyNumberFormat="1" applyFont="1" applyFill="1" applyBorder="1" applyAlignment="1" applyProtection="1">
      <alignment vertical="center"/>
      <protection locked="0"/>
    </xf>
    <xf numFmtId="44" fontId="1" fillId="9" borderId="7" xfId="4" applyFont="1" applyFill="1" applyBorder="1" applyAlignment="1" applyProtection="1">
      <alignment vertical="center"/>
      <protection locked="0"/>
    </xf>
    <xf numFmtId="44" fontId="1" fillId="9" borderId="9" xfId="1" applyNumberFormat="1" applyFont="1" applyFill="1" applyBorder="1" applyAlignment="1" applyProtection="1">
      <alignment vertical="center"/>
      <protection locked="0"/>
    </xf>
    <xf numFmtId="10" fontId="6" fillId="9" borderId="7" xfId="3" applyNumberFormat="1" applyFont="1" applyFill="1" applyBorder="1" applyAlignment="1" applyProtection="1">
      <alignment vertical="center"/>
      <protection locked="0"/>
    </xf>
    <xf numFmtId="169" fontId="2" fillId="2" borderId="1" xfId="2" applyNumberFormat="1" applyFont="1" applyFill="1" applyBorder="1" applyAlignment="1" applyProtection="1">
      <alignment horizontal="center" vertical="center"/>
      <protection locked="0"/>
    </xf>
    <xf numFmtId="10" fontId="1" fillId="0" borderId="7" xfId="3" applyNumberFormat="1" applyFont="1" applyBorder="1" applyAlignment="1" applyProtection="1">
      <alignment vertical="center"/>
      <protection locked="0"/>
    </xf>
    <xf numFmtId="167" fontId="9" fillId="2" borderId="9" xfId="4" applyNumberFormat="1" applyFont="1" applyFill="1" applyBorder="1" applyAlignment="1" applyProtection="1">
      <alignment horizontal="left" vertical="center"/>
      <protection locked="0"/>
    </xf>
    <xf numFmtId="166" fontId="9" fillId="4" borderId="9" xfId="4" applyNumberFormat="1" applyFont="1" applyFill="1" applyBorder="1" applyAlignment="1" applyProtection="1">
      <alignment horizontal="left" vertical="center"/>
      <protection locked="0"/>
    </xf>
    <xf numFmtId="166" fontId="9" fillId="9" borderId="9" xfId="4" applyNumberFormat="1" applyFont="1" applyFill="1" applyBorder="1" applyAlignment="1" applyProtection="1">
      <alignment horizontal="left" vertical="center"/>
      <protection locked="0"/>
    </xf>
    <xf numFmtId="166" fontId="9" fillId="0" borderId="9" xfId="4" applyNumberFormat="1" applyFont="1" applyFill="1" applyBorder="1" applyAlignment="1" applyProtection="1">
      <alignment horizontal="left" vertical="center"/>
      <protection locked="0"/>
    </xf>
    <xf numFmtId="44" fontId="1" fillId="0" borderId="7" xfId="4" applyFont="1" applyFill="1" applyBorder="1" applyAlignment="1" applyProtection="1">
      <alignment vertical="center"/>
      <protection locked="0"/>
    </xf>
    <xf numFmtId="10" fontId="6" fillId="0" borderId="7" xfId="3" applyNumberFormat="1" applyFont="1" applyFill="1" applyBorder="1" applyAlignment="1" applyProtection="1">
      <alignment vertical="center"/>
      <protection locked="0"/>
    </xf>
    <xf numFmtId="0" fontId="1" fillId="0" borderId="2" xfId="1" applyFont="1" applyBorder="1" applyProtection="1">
      <protection locked="0"/>
    </xf>
    <xf numFmtId="0" fontId="1" fillId="0" borderId="6" xfId="1" applyBorder="1" applyAlignment="1" applyProtection="1">
      <alignment vertical="top"/>
    </xf>
    <xf numFmtId="0" fontId="1" fillId="0" borderId="9" xfId="1" applyBorder="1" applyAlignment="1" applyProtection="1">
      <alignment vertical="top"/>
    </xf>
    <xf numFmtId="0" fontId="1" fillId="0" borderId="9" xfId="1" applyFill="1" applyBorder="1" applyAlignment="1" applyProtection="1">
      <alignment vertical="top"/>
    </xf>
    <xf numFmtId="0" fontId="2" fillId="10" borderId="1" xfId="1" applyFont="1" applyFill="1" applyBorder="1" applyAlignment="1" applyProtection="1">
      <alignment vertical="top"/>
      <protection locked="0"/>
    </xf>
    <xf numFmtId="0" fontId="1" fillId="0" borderId="6" xfId="1" applyFont="1" applyFill="1" applyBorder="1" applyAlignment="1" applyProtection="1">
      <alignment vertical="top" wrapText="1"/>
    </xf>
    <xf numFmtId="0" fontId="1" fillId="0" borderId="9" xfId="1" applyFont="1" applyFill="1" applyBorder="1" applyAlignment="1" applyProtection="1">
      <alignment vertical="top" wrapText="1"/>
    </xf>
    <xf numFmtId="0" fontId="1" fillId="0" borderId="9" xfId="1" applyFont="1" applyBorder="1" applyAlignment="1" applyProtection="1">
      <alignment vertical="top"/>
    </xf>
    <xf numFmtId="0" fontId="1" fillId="0" borderId="9" xfId="1" applyFont="1" applyBorder="1" applyAlignment="1" applyProtection="1">
      <alignment vertical="top" wrapText="1"/>
    </xf>
    <xf numFmtId="0" fontId="2" fillId="10" borderId="1" xfId="1" applyFont="1" applyFill="1" applyBorder="1" applyAlignment="1" applyProtection="1">
      <alignment vertical="top" wrapText="1"/>
      <protection locked="0"/>
    </xf>
    <xf numFmtId="0" fontId="1" fillId="0" borderId="6" xfId="1" applyBorder="1" applyAlignment="1" applyProtection="1">
      <alignment vertical="center"/>
    </xf>
    <xf numFmtId="0" fontId="1" fillId="0" borderId="2" xfId="1" applyBorder="1" applyAlignment="1" applyProtection="1">
      <alignment vertical="center" wrapText="1"/>
    </xf>
    <xf numFmtId="0" fontId="1" fillId="0" borderId="6" xfId="1" applyBorder="1" applyAlignment="1" applyProtection="1">
      <alignment vertical="top" wrapText="1"/>
      <protection locked="0"/>
    </xf>
    <xf numFmtId="0" fontId="1" fillId="0" borderId="9" xfId="1" applyBorder="1" applyAlignment="1" applyProtection="1">
      <alignment vertical="top" wrapText="1"/>
      <protection locked="0"/>
    </xf>
    <xf numFmtId="0" fontId="1" fillId="0" borderId="9" xfId="1" applyBorder="1" applyAlignment="1" applyProtection="1">
      <alignment vertical="top"/>
      <protection locked="0"/>
    </xf>
    <xf numFmtId="0" fontId="1" fillId="0" borderId="9" xfId="1" applyFill="1" applyBorder="1" applyAlignment="1" applyProtection="1">
      <alignment vertical="top"/>
      <protection locked="0"/>
    </xf>
    <xf numFmtId="0" fontId="1" fillId="9" borderId="9" xfId="1" applyFill="1" applyBorder="1" applyAlignment="1" applyProtection="1">
      <alignment vertical="top" wrapText="1"/>
      <protection locked="0"/>
    </xf>
    <xf numFmtId="0" fontId="1" fillId="0" borderId="9" xfId="1" applyFont="1" applyBorder="1" applyAlignment="1" applyProtection="1">
      <alignment vertical="top"/>
      <protection locked="0"/>
    </xf>
    <xf numFmtId="0" fontId="1" fillId="0" borderId="9" xfId="1" applyFont="1" applyBorder="1" applyProtection="1">
      <protection locked="0"/>
    </xf>
    <xf numFmtId="0" fontId="1" fillId="0" borderId="2" xfId="1" applyFont="1" applyBorder="1" applyAlignment="1" applyProtection="1">
      <alignment vertical="top"/>
      <protection locked="0"/>
    </xf>
    <xf numFmtId="0" fontId="2" fillId="0" borderId="6" xfId="1" applyFont="1" applyFill="1" applyBorder="1" applyAlignment="1" applyProtection="1">
      <alignment vertical="top"/>
      <protection locked="0"/>
    </xf>
    <xf numFmtId="0" fontId="1" fillId="0" borderId="9" xfId="1" applyFont="1" applyFill="1" applyBorder="1" applyAlignment="1" applyProtection="1">
      <alignment horizontal="left" vertical="top" indent="1"/>
      <protection locked="0"/>
    </xf>
    <xf numFmtId="0" fontId="2" fillId="7" borderId="2" xfId="1" applyFont="1" applyFill="1" applyBorder="1" applyAlignment="1" applyProtection="1">
      <alignment horizontal="left" vertical="top" wrapText="1"/>
      <protection locked="0"/>
    </xf>
    <xf numFmtId="0" fontId="1" fillId="9" borderId="9" xfId="1" applyFill="1" applyBorder="1" applyAlignment="1" applyProtection="1">
      <alignment vertical="top"/>
      <protection locked="0"/>
    </xf>
    <xf numFmtId="44" fontId="1" fillId="0" borderId="10" xfId="4" applyFont="1" applyBorder="1" applyAlignment="1" applyProtection="1">
      <alignment vertical="center"/>
      <protection locked="0"/>
    </xf>
    <xf numFmtId="166" fontId="7" fillId="5" borderId="2" xfId="4" applyNumberFormat="1" applyFont="1" applyFill="1" applyBorder="1" applyAlignment="1" applyProtection="1">
      <alignment horizontal="left" vertical="center"/>
      <protection locked="0"/>
    </xf>
    <xf numFmtId="44" fontId="1" fillId="0" borderId="2" xfId="1" applyNumberFormat="1" applyFont="1" applyBorder="1" applyAlignment="1" applyProtection="1">
      <alignment vertical="center"/>
      <protection locked="0"/>
    </xf>
    <xf numFmtId="171" fontId="1" fillId="2" borderId="2" xfId="2" applyNumberFormat="1" applyFont="1" applyFill="1" applyBorder="1" applyAlignment="1" applyProtection="1">
      <alignment vertical="center"/>
      <protection locked="0"/>
    </xf>
    <xf numFmtId="172" fontId="6" fillId="0" borderId="10" xfId="3" applyNumberFormat="1" applyFont="1" applyBorder="1" applyAlignment="1" applyProtection="1">
      <alignment vertical="center"/>
      <protection locked="0"/>
    </xf>
    <xf numFmtId="0" fontId="1" fillId="0" borderId="0" xfId="1" applyFont="1" applyFill="1" applyProtection="1">
      <protection locked="0"/>
    </xf>
    <xf numFmtId="0" fontId="1" fillId="0" borderId="6" xfId="1" applyFont="1" applyBorder="1" applyAlignment="1" applyProtection="1">
      <alignment vertical="top"/>
    </xf>
    <xf numFmtId="0" fontId="1" fillId="0" borderId="9" xfId="1" applyFont="1" applyFill="1" applyBorder="1" applyAlignment="1" applyProtection="1">
      <alignment vertical="top"/>
    </xf>
    <xf numFmtId="0" fontId="1" fillId="0" borderId="6" xfId="1" applyFont="1" applyBorder="1" applyAlignment="1" applyProtection="1">
      <alignment vertical="center"/>
    </xf>
    <xf numFmtId="0" fontId="1" fillId="0" borderId="2" xfId="1" applyFont="1" applyBorder="1" applyAlignment="1" applyProtection="1">
      <alignment vertical="center" wrapText="1"/>
    </xf>
    <xf numFmtId="0" fontId="1" fillId="0" borderId="6" xfId="1" applyFont="1" applyBorder="1" applyAlignment="1" applyProtection="1">
      <alignment vertical="top" wrapText="1"/>
      <protection locked="0"/>
    </xf>
    <xf numFmtId="0" fontId="1" fillId="0" borderId="9" xfId="1" applyFont="1" applyBorder="1" applyAlignment="1" applyProtection="1">
      <alignment vertical="top" wrapText="1"/>
      <protection locked="0"/>
    </xf>
    <xf numFmtId="0" fontId="1" fillId="0" borderId="9" xfId="1" applyFont="1" applyFill="1" applyBorder="1" applyAlignment="1" applyProtection="1">
      <alignment vertical="top"/>
      <protection locked="0"/>
    </xf>
    <xf numFmtId="0" fontId="1" fillId="9" borderId="9" xfId="1" applyFont="1" applyFill="1" applyBorder="1" applyAlignment="1" applyProtection="1">
      <alignment vertical="top" wrapText="1"/>
      <protection locked="0"/>
    </xf>
    <xf numFmtId="0" fontId="6" fillId="0" borderId="0" xfId="0" applyFont="1"/>
    <xf numFmtId="0" fontId="2" fillId="0" borderId="0" xfId="1" applyFont="1" applyFill="1" applyBorder="1" applyAlignment="1" applyProtection="1">
      <alignment vertical="top"/>
      <protection locked="0"/>
    </xf>
    <xf numFmtId="0" fontId="2" fillId="0" borderId="0" xfId="1" applyFont="1" applyFill="1" applyAlignment="1" applyProtection="1">
      <alignment vertical="center"/>
      <protection locked="0"/>
    </xf>
    <xf numFmtId="10" fontId="6" fillId="0" borderId="10" xfId="6" applyNumberFormat="1" applyFont="1" applyBorder="1"/>
    <xf numFmtId="0" fontId="1" fillId="0" borderId="6" xfId="1" applyFont="1" applyFill="1" applyBorder="1" applyAlignment="1" applyProtection="1">
      <alignment vertical="top" wrapText="1"/>
      <protection locked="0"/>
    </xf>
    <xf numFmtId="171" fontId="1" fillId="0" borderId="6" xfId="2" applyNumberFormat="1" applyFont="1" applyFill="1" applyBorder="1" applyAlignment="1" applyProtection="1">
      <alignment vertical="center"/>
      <protection locked="0"/>
    </xf>
    <xf numFmtId="44" fontId="1" fillId="0" borderId="8" xfId="4" applyFont="1" applyFill="1" applyBorder="1" applyAlignment="1" applyProtection="1">
      <alignment vertical="center"/>
      <protection locked="0"/>
    </xf>
    <xf numFmtId="166" fontId="9" fillId="0" borderId="6" xfId="4" applyNumberFormat="1" applyFont="1" applyFill="1" applyBorder="1" applyAlignment="1" applyProtection="1">
      <alignment horizontal="left" vertical="center"/>
      <protection locked="0"/>
    </xf>
    <xf numFmtId="44" fontId="1" fillId="0" borderId="6" xfId="1" applyNumberFormat="1" applyFont="1" applyFill="1" applyBorder="1" applyAlignment="1" applyProtection="1">
      <alignment vertical="center"/>
      <protection locked="0"/>
    </xf>
    <xf numFmtId="172" fontId="6" fillId="0" borderId="8" xfId="3" applyNumberFormat="1" applyFont="1" applyFill="1" applyBorder="1" applyAlignment="1" applyProtection="1">
      <alignment vertical="center"/>
      <protection locked="0"/>
    </xf>
    <xf numFmtId="10" fontId="6" fillId="0" borderId="8" xfId="6" applyNumberFormat="1" applyFont="1" applyFill="1" applyBorder="1"/>
    <xf numFmtId="0" fontId="1" fillId="0" borderId="9" xfId="1" applyFont="1" applyFill="1" applyBorder="1" applyAlignment="1" applyProtection="1">
      <alignment vertical="top" wrapText="1"/>
      <protection locked="0"/>
    </xf>
    <xf numFmtId="171" fontId="1" fillId="0" borderId="9" xfId="2" applyNumberFormat="1" applyFont="1" applyFill="1" applyBorder="1" applyAlignment="1" applyProtection="1">
      <alignment vertical="center"/>
      <protection locked="0"/>
    </xf>
    <xf numFmtId="172" fontId="6" fillId="0" borderId="7" xfId="3" applyNumberFormat="1" applyFont="1" applyFill="1" applyBorder="1" applyAlignment="1" applyProtection="1">
      <alignment vertical="center"/>
      <protection locked="0"/>
    </xf>
    <xf numFmtId="10" fontId="6" fillId="0" borderId="7" xfId="6" applyNumberFormat="1" applyFont="1" applyFill="1" applyBorder="1"/>
    <xf numFmtId="44" fontId="1" fillId="2" borderId="8" xfId="4" applyFont="1" applyFill="1" applyBorder="1" applyAlignment="1" applyProtection="1">
      <alignment vertical="center"/>
      <protection locked="0"/>
    </xf>
    <xf numFmtId="44" fontId="1" fillId="2" borderId="7" xfId="4" applyFont="1" applyFill="1" applyBorder="1" applyAlignment="1" applyProtection="1">
      <alignment vertical="center"/>
      <protection locked="0"/>
    </xf>
    <xf numFmtId="44" fontId="1" fillId="2" borderId="10" xfId="4" applyFont="1" applyFill="1" applyBorder="1" applyAlignment="1" applyProtection="1">
      <alignment vertical="center"/>
      <protection locked="0"/>
    </xf>
    <xf numFmtId="171" fontId="1" fillId="2" borderId="6" xfId="2" applyNumberFormat="1" applyFont="1" applyFill="1" applyBorder="1" applyAlignment="1" applyProtection="1">
      <alignment vertical="center"/>
      <protection locked="0"/>
    </xf>
    <xf numFmtId="171" fontId="1" fillId="2" borderId="9" xfId="2" applyNumberFormat="1" applyFont="1" applyFill="1" applyBorder="1" applyAlignment="1" applyProtection="1">
      <alignment vertical="center"/>
      <protection locked="0"/>
    </xf>
    <xf numFmtId="170" fontId="2" fillId="2" borderId="1" xfId="2" applyNumberFormat="1" applyFont="1" applyFill="1" applyBorder="1" applyAlignment="1" applyProtection="1">
      <alignment horizontal="center" vertical="center"/>
      <protection locked="0"/>
    </xf>
    <xf numFmtId="167" fontId="2" fillId="9" borderId="7" xfId="4" applyNumberFormat="1" applyFont="1" applyFill="1" applyBorder="1" applyAlignment="1" applyProtection="1">
      <alignment horizontal="left" vertical="center"/>
      <protection locked="0"/>
    </xf>
    <xf numFmtId="0" fontId="1" fillId="9" borderId="9" xfId="1" applyFont="1" applyFill="1" applyBorder="1" applyAlignment="1" applyProtection="1">
      <alignment vertical="center"/>
      <protection locked="0"/>
    </xf>
    <xf numFmtId="167" fontId="9" fillId="9" borderId="9" xfId="4" applyNumberFormat="1" applyFont="1" applyFill="1" applyBorder="1" applyAlignment="1" applyProtection="1">
      <alignment horizontal="left" vertical="center"/>
      <protection locked="0"/>
    </xf>
    <xf numFmtId="0" fontId="1" fillId="9" borderId="7" xfId="1" applyFont="1" applyFill="1" applyBorder="1" applyAlignment="1" applyProtection="1">
      <alignment vertical="center"/>
      <protection locked="0"/>
    </xf>
    <xf numFmtId="0" fontId="1" fillId="2" borderId="9" xfId="1" applyFill="1" applyBorder="1" applyAlignment="1" applyProtection="1">
      <alignment vertical="top"/>
      <protection locked="0"/>
    </xf>
    <xf numFmtId="44" fontId="1" fillId="2" borderId="9" xfId="1" applyNumberFormat="1" applyFont="1" applyFill="1" applyBorder="1" applyAlignment="1" applyProtection="1">
      <alignment vertical="center"/>
      <protection locked="0"/>
    </xf>
    <xf numFmtId="10" fontId="6" fillId="2" borderId="7" xfId="3" applyNumberFormat="1" applyFont="1" applyFill="1" applyBorder="1" applyAlignment="1" applyProtection="1">
      <alignment vertical="center"/>
      <protection locked="0"/>
    </xf>
    <xf numFmtId="173" fontId="0" fillId="0" borderId="1" xfId="0" applyNumberFormat="1" applyBorder="1"/>
    <xf numFmtId="0" fontId="0" fillId="0" borderId="9" xfId="0" applyFill="1" applyBorder="1"/>
    <xf numFmtId="174" fontId="0" fillId="0" borderId="1" xfId="5" applyNumberFormat="1" applyFont="1" applyBorder="1"/>
    <xf numFmtId="0" fontId="12" fillId="0" borderId="1" xfId="1" applyFont="1" applyBorder="1" applyAlignment="1" applyProtection="1">
      <alignment horizontal="center" vertical="center"/>
    </xf>
    <xf numFmtId="0" fontId="12" fillId="12" borderId="1" xfId="1" applyFont="1" applyFill="1" applyBorder="1" applyAlignment="1" applyProtection="1">
      <alignment horizontal="center" vertical="center"/>
    </xf>
    <xf numFmtId="0" fontId="13" fillId="0" borderId="1" xfId="1" applyFont="1" applyBorder="1" applyAlignment="1" applyProtection="1">
      <alignment horizontal="center" vertical="center"/>
    </xf>
    <xf numFmtId="3" fontId="13" fillId="0" borderId="1" xfId="1" applyNumberFormat="1" applyFont="1" applyBorder="1" applyAlignment="1" applyProtection="1">
      <alignment horizontal="center" vertical="center"/>
    </xf>
    <xf numFmtId="172" fontId="14" fillId="0" borderId="1" xfId="4" applyNumberFormat="1" applyFont="1" applyBorder="1" applyAlignment="1" applyProtection="1">
      <alignment horizontal="center" vertical="center"/>
    </xf>
    <xf numFmtId="175" fontId="14" fillId="0" borderId="1" xfId="6" applyNumberFormat="1" applyFont="1" applyBorder="1" applyAlignment="1" applyProtection="1">
      <alignment horizontal="center" vertical="center"/>
    </xf>
    <xf numFmtId="176" fontId="13" fillId="0" borderId="1" xfId="1" applyNumberFormat="1" applyFont="1" applyBorder="1" applyAlignment="1" applyProtection="1">
      <alignment horizontal="center" vertical="center"/>
    </xf>
    <xf numFmtId="0" fontId="13" fillId="0" borderId="1" xfId="1" applyFont="1" applyFill="1" applyBorder="1" applyAlignment="1" applyProtection="1">
      <alignment horizontal="center" vertical="center"/>
    </xf>
    <xf numFmtId="3" fontId="13" fillId="0" borderId="1" xfId="1" applyNumberFormat="1" applyFont="1" applyFill="1" applyBorder="1" applyAlignment="1" applyProtection="1">
      <alignment horizontal="center" vertical="center"/>
    </xf>
    <xf numFmtId="172" fontId="14" fillId="0" borderId="1" xfId="4" applyNumberFormat="1" applyFont="1" applyFill="1" applyBorder="1" applyAlignment="1" applyProtection="1">
      <alignment horizontal="center" vertical="center"/>
    </xf>
    <xf numFmtId="175" fontId="14" fillId="0" borderId="1" xfId="6" applyNumberFormat="1" applyFont="1" applyFill="1" applyBorder="1" applyAlignment="1" applyProtection="1">
      <alignment horizontal="center" vertical="center"/>
    </xf>
    <xf numFmtId="0" fontId="15" fillId="0" borderId="0" xfId="0" applyFont="1"/>
    <xf numFmtId="0" fontId="13" fillId="2" borderId="3" xfId="1" applyFont="1" applyFill="1" applyBorder="1" applyAlignment="1" applyProtection="1">
      <alignment horizontal="left" vertical="center"/>
    </xf>
    <xf numFmtId="0" fontId="13" fillId="2" borderId="4" xfId="1" applyFont="1" applyFill="1" applyBorder="1" applyAlignment="1" applyProtection="1">
      <alignment horizontal="left" vertical="center"/>
    </xf>
    <xf numFmtId="0" fontId="13" fillId="2" borderId="5" xfId="1" applyFont="1" applyFill="1" applyBorder="1" applyAlignment="1" applyProtection="1">
      <alignment horizontal="left" vertical="center"/>
    </xf>
    <xf numFmtId="0" fontId="13" fillId="0" borderId="3" xfId="1" applyFont="1" applyFill="1" applyBorder="1" applyAlignment="1" applyProtection="1">
      <alignment horizontal="left" vertical="center"/>
    </xf>
    <xf numFmtId="0" fontId="13" fillId="0" borderId="4" xfId="1" applyFont="1" applyFill="1" applyBorder="1" applyAlignment="1" applyProtection="1">
      <alignment horizontal="left" vertical="center"/>
    </xf>
    <xf numFmtId="0" fontId="13" fillId="0" borderId="5" xfId="1" applyFont="1" applyFill="1" applyBorder="1" applyAlignment="1" applyProtection="1">
      <alignment horizontal="left" vertical="center"/>
    </xf>
    <xf numFmtId="0" fontId="13" fillId="2" borderId="1" xfId="1" applyFont="1" applyFill="1" applyBorder="1" applyAlignment="1" applyProtection="1">
      <alignment horizontal="left" vertical="center"/>
    </xf>
    <xf numFmtId="0" fontId="11" fillId="0" borderId="1" xfId="0" applyFont="1" applyBorder="1" applyAlignment="1">
      <alignment horizontal="center"/>
    </xf>
    <xf numFmtId="0" fontId="12" fillId="0" borderId="13" xfId="1" applyFont="1" applyBorder="1" applyAlignment="1" applyProtection="1">
      <alignment horizontal="center" vertical="center" wrapText="1"/>
    </xf>
    <xf numFmtId="0" fontId="12" fillId="0" borderId="14" xfId="1" applyFont="1" applyBorder="1" applyAlignment="1" applyProtection="1">
      <alignment horizontal="center" vertical="center" wrapText="1"/>
    </xf>
    <xf numFmtId="0" fontId="12" fillId="0" borderId="8" xfId="1" applyFont="1" applyBorder="1" applyAlignment="1" applyProtection="1">
      <alignment horizontal="center" vertical="center" wrapText="1"/>
    </xf>
    <xf numFmtId="0" fontId="12" fillId="0" borderId="11" xfId="1" applyFont="1" applyBorder="1" applyAlignment="1" applyProtection="1">
      <alignment horizontal="center" vertical="center" wrapText="1"/>
    </xf>
    <xf numFmtId="0" fontId="12" fillId="0" borderId="0" xfId="1" applyFont="1" applyBorder="1" applyAlignment="1" applyProtection="1">
      <alignment horizontal="center" vertical="center" wrapText="1"/>
    </xf>
    <xf numFmtId="0" fontId="12" fillId="0" borderId="7" xfId="1" applyFont="1" applyBorder="1" applyAlignment="1" applyProtection="1">
      <alignment horizontal="center" vertical="center" wrapText="1"/>
    </xf>
    <xf numFmtId="0" fontId="12" fillId="0" borderId="12" xfId="1" applyFont="1" applyBorder="1" applyAlignment="1" applyProtection="1">
      <alignment horizontal="center" vertical="center" wrapText="1"/>
    </xf>
    <xf numFmtId="0" fontId="12" fillId="0" borderId="15" xfId="1" applyFont="1" applyBorder="1" applyAlignment="1" applyProtection="1">
      <alignment horizontal="center" vertical="center" wrapText="1"/>
    </xf>
    <xf numFmtId="0" fontId="12" fillId="0" borderId="10" xfId="1" applyFont="1" applyBorder="1" applyAlignment="1" applyProtection="1">
      <alignment horizontal="center" vertical="center" wrapText="1"/>
    </xf>
    <xf numFmtId="0" fontId="12" fillId="0" borderId="1" xfId="1" applyFont="1" applyBorder="1" applyAlignment="1" applyProtection="1">
      <alignment horizontal="center" vertical="center"/>
    </xf>
    <xf numFmtId="0" fontId="12" fillId="0" borderId="13" xfId="1" applyFont="1" applyBorder="1" applyAlignment="1" applyProtection="1">
      <alignment horizontal="center" vertical="center"/>
    </xf>
    <xf numFmtId="0" fontId="12" fillId="0" borderId="8" xfId="1" applyFont="1" applyBorder="1" applyAlignment="1" applyProtection="1">
      <alignment horizontal="center" vertical="center"/>
    </xf>
    <xf numFmtId="0" fontId="12" fillId="0" borderId="12" xfId="1" applyFont="1" applyBorder="1" applyAlignment="1" applyProtection="1">
      <alignment horizontal="center" vertical="center"/>
    </xf>
    <xf numFmtId="0" fontId="12" fillId="0" borderId="10" xfId="1" applyFont="1" applyBorder="1" applyAlignment="1" applyProtection="1">
      <alignment horizontal="center" vertical="center"/>
    </xf>
    <xf numFmtId="0" fontId="12" fillId="11" borderId="1" xfId="1" applyFont="1" applyFill="1" applyBorder="1" applyAlignment="1" applyProtection="1">
      <alignment horizontal="center" vertical="center"/>
    </xf>
    <xf numFmtId="0" fontId="12" fillId="11" borderId="13" xfId="1" applyFont="1" applyFill="1" applyBorder="1" applyAlignment="1" applyProtection="1">
      <alignment horizontal="center" vertical="center"/>
    </xf>
    <xf numFmtId="0" fontId="12" fillId="11" borderId="8" xfId="1" applyFont="1" applyFill="1" applyBorder="1" applyAlignment="1" applyProtection="1">
      <alignment horizontal="center" vertical="center"/>
    </xf>
    <xf numFmtId="0" fontId="12" fillId="11" borderId="12" xfId="1" applyFont="1" applyFill="1" applyBorder="1" applyAlignment="1" applyProtection="1">
      <alignment horizontal="center" vertical="center"/>
    </xf>
    <xf numFmtId="0" fontId="12" fillId="11" borderId="10" xfId="1" applyFont="1" applyFill="1" applyBorder="1" applyAlignment="1" applyProtection="1">
      <alignment horizontal="center" vertical="center"/>
    </xf>
    <xf numFmtId="0" fontId="12" fillId="9" borderId="1" xfId="1" applyFont="1" applyFill="1" applyBorder="1" applyAlignment="1" applyProtection="1">
      <alignment horizontal="center" vertical="center"/>
    </xf>
    <xf numFmtId="0" fontId="3" fillId="2" borderId="3" xfId="1" applyFont="1" applyFill="1" applyBorder="1" applyAlignment="1" applyProtection="1">
      <alignment horizontal="left" vertical="top"/>
      <protection locked="0"/>
    </xf>
    <xf numFmtId="0" fontId="3" fillId="2" borderId="4" xfId="1" applyFont="1" applyFill="1" applyBorder="1" applyAlignment="1" applyProtection="1">
      <alignment horizontal="left" vertical="top"/>
      <protection locked="0"/>
    </xf>
    <xf numFmtId="0" fontId="3" fillId="2" borderId="5" xfId="1" applyFont="1" applyFill="1" applyBorder="1" applyAlignment="1" applyProtection="1">
      <alignment horizontal="left" vertical="top"/>
      <protection locked="0"/>
    </xf>
    <xf numFmtId="0" fontId="2" fillId="2" borderId="3" xfId="1" applyFont="1" applyFill="1" applyBorder="1" applyAlignment="1" applyProtection="1">
      <alignment horizontal="left" vertical="top"/>
      <protection locked="0"/>
    </xf>
    <xf numFmtId="0" fontId="2" fillId="2" borderId="4" xfId="1" applyFont="1" applyFill="1" applyBorder="1" applyAlignment="1" applyProtection="1">
      <alignment horizontal="left" vertical="top"/>
      <protection locked="0"/>
    </xf>
    <xf numFmtId="0" fontId="2" fillId="2" borderId="5" xfId="1" applyFont="1" applyFill="1" applyBorder="1" applyAlignment="1" applyProtection="1">
      <alignment horizontal="left" vertical="top"/>
      <protection locked="0"/>
    </xf>
    <xf numFmtId="0" fontId="1" fillId="0" borderId="6" xfId="1" applyFont="1" applyBorder="1" applyAlignment="1" applyProtection="1">
      <alignment horizontal="center"/>
      <protection locked="0"/>
    </xf>
    <xf numFmtId="0" fontId="1" fillId="0" borderId="9" xfId="1" applyFont="1" applyBorder="1" applyAlignment="1" applyProtection="1">
      <alignment horizontal="center"/>
      <protection locked="0"/>
    </xf>
    <xf numFmtId="0" fontId="1" fillId="0" borderId="2" xfId="1" applyFont="1" applyBorder="1" applyAlignment="1" applyProtection="1">
      <alignment horizontal="center"/>
      <protection locked="0"/>
    </xf>
    <xf numFmtId="0" fontId="2" fillId="0" borderId="4" xfId="1" applyFont="1" applyBorder="1" applyAlignment="1" applyProtection="1">
      <alignment horizontal="center"/>
      <protection locked="0"/>
    </xf>
    <xf numFmtId="0" fontId="2" fillId="0" borderId="5" xfId="1" applyFont="1" applyBorder="1" applyAlignment="1" applyProtection="1">
      <alignment horizontal="center"/>
      <protection locked="0"/>
    </xf>
    <xf numFmtId="0" fontId="2" fillId="0" borderId="3" xfId="1" applyFont="1" applyBorder="1" applyAlignment="1" applyProtection="1">
      <alignment horizontal="center"/>
      <protection locked="0"/>
    </xf>
    <xf numFmtId="0" fontId="2" fillId="0" borderId="6" xfId="1" applyFont="1" applyBorder="1" applyAlignment="1" applyProtection="1">
      <alignment horizontal="center" vertical="center"/>
      <protection locked="0"/>
    </xf>
    <xf numFmtId="0" fontId="2" fillId="0" borderId="2" xfId="1" applyFont="1" applyBorder="1" applyAlignment="1" applyProtection="1">
      <alignment horizontal="center" vertical="center"/>
      <protection locked="0"/>
    </xf>
    <xf numFmtId="0" fontId="2" fillId="0" borderId="9" xfId="1" applyFont="1" applyFill="1" applyBorder="1" applyAlignment="1" applyProtection="1">
      <alignment horizontal="center" wrapText="1"/>
      <protection locked="0"/>
    </xf>
    <xf numFmtId="0" fontId="1" fillId="0" borderId="2" xfId="1" applyBorder="1" applyAlignment="1" applyProtection="1">
      <alignment wrapText="1"/>
      <protection locked="0"/>
    </xf>
    <xf numFmtId="0" fontId="2" fillId="0" borderId="7" xfId="1" applyFont="1" applyFill="1" applyBorder="1" applyAlignment="1" applyProtection="1">
      <alignment horizontal="center" wrapText="1"/>
      <protection locked="0"/>
    </xf>
    <xf numFmtId="0" fontId="1" fillId="0" borderId="10" xfId="1" applyBorder="1" applyAlignment="1" applyProtection="1">
      <alignment wrapText="1"/>
      <protection locked="0"/>
    </xf>
    <xf numFmtId="0" fontId="1" fillId="0" borderId="2" xfId="1" applyFont="1" applyBorder="1" applyAlignment="1" applyProtection="1">
      <alignment wrapText="1"/>
      <protection locked="0"/>
    </xf>
    <xf numFmtId="0" fontId="1" fillId="0" borderId="10" xfId="1" applyFont="1" applyBorder="1" applyAlignment="1" applyProtection="1">
      <alignment wrapText="1"/>
      <protection locked="0"/>
    </xf>
  </cellXfs>
  <cellStyles count="7">
    <cellStyle name="Comma" xfId="5" builtinId="3"/>
    <cellStyle name="Comma 4" xfId="2"/>
    <cellStyle name="Currency 2" xfId="4"/>
    <cellStyle name="Normal" xfId="0" builtinId="0"/>
    <cellStyle name="Normal 2" xfId="1"/>
    <cellStyle name="Percent" xfId="6" builtinId="5"/>
    <cellStyle name="Percent 2" xfId="3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ONI_Norfolk_2018%20IRM_Rate%20Generator%20Model_20171024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ist%20Pric\EB-2017-0050\Update_Dec2017\Updated%20Rider%20Calculations_Haldiman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Updated%20Rider%20Calculations_Haldima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for Tabs 3 to 7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2 1 5 TotalConsumptionData_Dist"/>
      <sheetName val="5. Allocating Def-Var Balances"/>
      <sheetName val="6. Class A Consumption Data"/>
      <sheetName val="6.1 GA"/>
      <sheetName val="6.1a GA Allocation"/>
      <sheetName val="6.2 CBR B"/>
      <sheetName val="6.2a CBR B_Allocation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19. Final Tariff Schedule"/>
      <sheetName val="20. Bill Impacts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3">
          <cell r="D23">
            <v>6.5000000000000002E-2</v>
          </cell>
        </row>
        <row r="24">
          <cell r="D24">
            <v>9.5000000000000001E-2</v>
          </cell>
        </row>
        <row r="25">
          <cell r="D25">
            <v>0.13200000000000001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nce"/>
      <sheetName val="Billing Determinants"/>
      <sheetName val="Allocating Def-Var Balances"/>
      <sheetName val="Final Blanaces by Rate Class"/>
      <sheetName val="Calculation of Def-Var RR"/>
      <sheetName val="GA"/>
    </sheetNames>
    <sheetDataSet>
      <sheetData sheetId="0"/>
      <sheetData sheetId="1"/>
      <sheetData sheetId="2"/>
      <sheetData sheetId="3"/>
      <sheetData sheetId="4">
        <row r="17">
          <cell r="I17">
            <v>5.2710161424042651E-4</v>
          </cell>
        </row>
        <row r="18">
          <cell r="I18">
            <v>5.318541020220192E-4</v>
          </cell>
        </row>
        <row r="19">
          <cell r="I19">
            <v>8.0863682152383307E-2</v>
          </cell>
          <cell r="J19">
            <v>0.11580201194948653</v>
          </cell>
        </row>
        <row r="20">
          <cell r="I20">
            <v>5.34810613782268E-4</v>
          </cell>
        </row>
        <row r="21">
          <cell r="I21">
            <v>0.19316702425063348</v>
          </cell>
        </row>
        <row r="22">
          <cell r="I22">
            <v>0.19171745875268253</v>
          </cell>
        </row>
        <row r="23">
          <cell r="I23">
            <v>-1.5971259033522017E-2</v>
          </cell>
        </row>
      </sheetData>
      <sheetData sheetId="5">
        <row r="46">
          <cell r="E46">
            <v>7.7588470294142455E-3</v>
          </cell>
        </row>
        <row r="47">
          <cell r="E47">
            <v>7.7588470294142464E-3</v>
          </cell>
        </row>
        <row r="48">
          <cell r="E48">
            <v>7.7588470294142455E-3</v>
          </cell>
        </row>
        <row r="49">
          <cell r="E49">
            <v>7.7588470294142464E-3</v>
          </cell>
        </row>
        <row r="50">
          <cell r="E50">
            <v>7.7588470294142464E-3</v>
          </cell>
        </row>
        <row r="51">
          <cell r="E51">
            <v>7.7588470294142455E-3</v>
          </cell>
        </row>
        <row r="52">
          <cell r="E52">
            <v>1.7311284833696242E-3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nce"/>
      <sheetName val="Billing Determinants"/>
      <sheetName val="Allocating Def-Var Balances"/>
      <sheetName val="Final Blanaces by Rate Class"/>
      <sheetName val="Calculation of Def-Var RR"/>
      <sheetName val="GA"/>
    </sheetNames>
    <sheetDataSet>
      <sheetData sheetId="0"/>
      <sheetData sheetId="1"/>
      <sheetData sheetId="2"/>
      <sheetData sheetId="3"/>
      <sheetData sheetId="4">
        <row r="23">
          <cell r="J23">
            <v>-2.3877454271241949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tabSelected="1" topLeftCell="O1" workbookViewId="0">
      <selection activeCell="AA10" sqref="AA10"/>
    </sheetView>
  </sheetViews>
  <sheetFormatPr defaultRowHeight="15" x14ac:dyDescent="0.25"/>
  <cols>
    <col min="1" max="1" width="25" bestFit="1" customWidth="1"/>
    <col min="3" max="3" width="13" customWidth="1"/>
    <col min="4" max="4" width="10.5703125" bestFit="1" customWidth="1"/>
    <col min="5" max="5" width="13" customWidth="1"/>
    <col min="9" max="9" width="10.7109375" customWidth="1"/>
    <col min="10" max="10" width="11.42578125" customWidth="1"/>
    <col min="11" max="11" width="11.7109375" customWidth="1"/>
    <col min="12" max="12" width="11.42578125" customWidth="1"/>
    <col min="13" max="13" width="10.140625" customWidth="1"/>
    <col min="14" max="15" width="11.28515625" customWidth="1"/>
    <col min="16" max="16" width="11.85546875" customWidth="1"/>
    <col min="19" max="19" width="9.85546875" customWidth="1"/>
    <col min="21" max="23" width="11" customWidth="1"/>
    <col min="24" max="24" width="12" customWidth="1"/>
    <col min="25" max="25" width="11" customWidth="1"/>
    <col min="26" max="26" width="13" customWidth="1"/>
    <col min="27" max="27" width="11.140625" customWidth="1"/>
    <col min="28" max="28" width="12.140625" customWidth="1"/>
    <col min="29" max="29" width="9.85546875" customWidth="1"/>
    <col min="30" max="30" width="10.42578125" customWidth="1"/>
  </cols>
  <sheetData>
    <row r="1" spans="1:30" x14ac:dyDescent="0.25">
      <c r="A1" s="47">
        <v>1</v>
      </c>
      <c r="B1" s="47">
        <v>2</v>
      </c>
      <c r="C1" s="47">
        <v>3</v>
      </c>
      <c r="D1" s="47">
        <v>4</v>
      </c>
      <c r="E1" s="47">
        <v>5</v>
      </c>
      <c r="F1" s="47">
        <v>6</v>
      </c>
      <c r="G1" s="47">
        <v>7</v>
      </c>
      <c r="H1" s="47">
        <v>8</v>
      </c>
      <c r="I1" s="47">
        <v>9</v>
      </c>
      <c r="J1" s="47">
        <v>10</v>
      </c>
      <c r="K1" s="47">
        <v>11</v>
      </c>
      <c r="L1" s="47">
        <v>12</v>
      </c>
      <c r="M1" s="47">
        <v>13</v>
      </c>
      <c r="N1" s="47">
        <v>14</v>
      </c>
      <c r="O1" s="47">
        <v>15</v>
      </c>
      <c r="P1" s="47">
        <v>16</v>
      </c>
      <c r="Q1" s="47">
        <v>17</v>
      </c>
      <c r="R1" s="47">
        <v>18</v>
      </c>
      <c r="S1" s="47">
        <v>19</v>
      </c>
      <c r="T1" s="47">
        <v>20</v>
      </c>
      <c r="U1" s="47">
        <v>21</v>
      </c>
      <c r="V1" s="47">
        <v>22</v>
      </c>
      <c r="W1" s="47">
        <v>23</v>
      </c>
      <c r="X1" s="47">
        <v>24</v>
      </c>
      <c r="Y1" s="47">
        <v>25</v>
      </c>
      <c r="Z1" s="47">
        <v>26</v>
      </c>
      <c r="AA1" s="47">
        <v>27</v>
      </c>
      <c r="AB1" s="47">
        <v>28</v>
      </c>
      <c r="AC1" s="47">
        <v>29</v>
      </c>
      <c r="AD1" s="47">
        <v>30</v>
      </c>
    </row>
    <row r="2" spans="1:30" ht="76.5" x14ac:dyDescent="0.25">
      <c r="A2" s="48" t="s">
        <v>49</v>
      </c>
      <c r="B2" s="48" t="s">
        <v>50</v>
      </c>
      <c r="C2" s="48" t="s">
        <v>51</v>
      </c>
      <c r="D2" s="48" t="s">
        <v>52</v>
      </c>
      <c r="E2" s="49" t="s">
        <v>53</v>
      </c>
      <c r="F2" s="49" t="s">
        <v>54</v>
      </c>
      <c r="G2" s="49" t="s">
        <v>55</v>
      </c>
      <c r="H2" s="49" t="s">
        <v>64</v>
      </c>
      <c r="I2" s="49" t="s">
        <v>74</v>
      </c>
      <c r="J2" s="49" t="s">
        <v>56</v>
      </c>
      <c r="K2" s="49" t="s">
        <v>71</v>
      </c>
      <c r="L2" s="49" t="s">
        <v>68</v>
      </c>
      <c r="M2" s="49" t="s">
        <v>57</v>
      </c>
      <c r="N2" s="49" t="s">
        <v>79</v>
      </c>
      <c r="O2" s="49" t="s">
        <v>82</v>
      </c>
      <c r="P2" s="49" t="s">
        <v>78</v>
      </c>
      <c r="Q2" s="49" t="s">
        <v>58</v>
      </c>
      <c r="R2" s="49" t="s">
        <v>59</v>
      </c>
      <c r="S2" s="50" t="s">
        <v>60</v>
      </c>
      <c r="T2" s="50" t="s">
        <v>55</v>
      </c>
      <c r="U2" s="50" t="s">
        <v>61</v>
      </c>
      <c r="V2" s="50" t="s">
        <v>73</v>
      </c>
      <c r="W2" s="50" t="s">
        <v>69</v>
      </c>
      <c r="X2" s="50" t="s">
        <v>72</v>
      </c>
      <c r="Y2" s="50" t="s">
        <v>70</v>
      </c>
      <c r="Z2" s="50" t="s">
        <v>75</v>
      </c>
      <c r="AA2" s="50" t="s">
        <v>76</v>
      </c>
      <c r="AB2" s="50" t="s">
        <v>77</v>
      </c>
      <c r="AC2" s="50" t="s">
        <v>62</v>
      </c>
      <c r="AD2" s="50" t="s">
        <v>63</v>
      </c>
    </row>
    <row r="3" spans="1:30" x14ac:dyDescent="0.25">
      <c r="A3" s="51" t="s">
        <v>47</v>
      </c>
      <c r="B3" s="51">
        <v>1.0654999999999999</v>
      </c>
      <c r="C3" s="54">
        <v>750</v>
      </c>
      <c r="D3" s="51"/>
      <c r="E3" s="52" t="s">
        <v>3</v>
      </c>
      <c r="F3" s="51">
        <v>24.47</v>
      </c>
      <c r="G3" s="51">
        <v>0.79</v>
      </c>
      <c r="H3" s="51">
        <v>1.49E-2</v>
      </c>
      <c r="I3" s="51">
        <v>4.0000000000000002E-4</v>
      </c>
      <c r="J3" s="51">
        <v>-0.24</v>
      </c>
      <c r="K3" s="51">
        <v>-2.0000000000000001E-4</v>
      </c>
      <c r="L3" s="53">
        <v>0</v>
      </c>
      <c r="M3" s="51">
        <v>0</v>
      </c>
      <c r="N3" s="51">
        <v>-1.03E-2</v>
      </c>
      <c r="O3" s="51">
        <v>1.6999999999999999E-3</v>
      </c>
      <c r="P3" s="51">
        <f>-0.0015+0.0002</f>
        <v>-1.2999999999999999E-3</v>
      </c>
      <c r="Q3" s="51">
        <v>6.4999999999999997E-3</v>
      </c>
      <c r="R3" s="51">
        <v>5.4000000000000003E-3</v>
      </c>
      <c r="S3" s="51">
        <v>28.2</v>
      </c>
      <c r="T3" s="51">
        <v>0.79</v>
      </c>
      <c r="U3" s="51">
        <v>9.9000000000000008E-3</v>
      </c>
      <c r="V3" s="51">
        <f>I3</f>
        <v>4.0000000000000002E-4</v>
      </c>
      <c r="W3" s="51">
        <v>-0.28000000000000003</v>
      </c>
      <c r="X3" s="51">
        <v>-1E-4</v>
      </c>
      <c r="Y3" s="53">
        <f>L3</f>
        <v>0</v>
      </c>
      <c r="Z3" s="51">
        <f>ROUND([2]GA!$E46,4)</f>
        <v>7.7999999999999996E-3</v>
      </c>
      <c r="AA3" s="53">
        <f>ROUND('[2]Calculation of Def-Var RR'!$I17,4)</f>
        <v>5.0000000000000001E-4</v>
      </c>
      <c r="AB3" s="51">
        <f>P3</f>
        <v>-1.2999999999999999E-3</v>
      </c>
      <c r="AC3" s="51">
        <v>6.4000000000000003E-3</v>
      </c>
      <c r="AD3" s="51">
        <v>5.4000000000000003E-3</v>
      </c>
    </row>
    <row r="4" spans="1:30" x14ac:dyDescent="0.25">
      <c r="A4" s="51" t="s">
        <v>65</v>
      </c>
      <c r="B4" s="51">
        <v>1.0654999999999999</v>
      </c>
      <c r="C4" s="54">
        <v>2000</v>
      </c>
      <c r="D4" s="51"/>
      <c r="E4" s="52" t="s">
        <v>3</v>
      </c>
      <c r="F4" s="51">
        <v>26.94</v>
      </c>
      <c r="G4" s="51">
        <v>0.79</v>
      </c>
      <c r="H4" s="53">
        <v>1.9E-2</v>
      </c>
      <c r="I4" s="51">
        <v>4.0000000000000002E-4</v>
      </c>
      <c r="J4" s="51">
        <v>-0.27</v>
      </c>
      <c r="K4" s="51">
        <v>-2.0000000000000001E-4</v>
      </c>
      <c r="L4" s="53">
        <v>0</v>
      </c>
      <c r="M4" s="51">
        <v>0</v>
      </c>
      <c r="N4" s="51">
        <v>-1.03E-2</v>
      </c>
      <c r="O4" s="51">
        <v>1.6999999999999999E-3</v>
      </c>
      <c r="P4" s="51">
        <f>-0.001+0.0002</f>
        <v>-8.0000000000000004E-4</v>
      </c>
      <c r="Q4" s="51">
        <v>5.8999999999999999E-3</v>
      </c>
      <c r="R4" s="53">
        <v>5.0000000000000001E-3</v>
      </c>
      <c r="S4" s="51">
        <f>F4</f>
        <v>26.94</v>
      </c>
      <c r="T4" s="51">
        <v>0.79</v>
      </c>
      <c r="U4" s="51">
        <f>H4</f>
        <v>1.9E-2</v>
      </c>
      <c r="V4" s="51">
        <f>I4</f>
        <v>4.0000000000000002E-4</v>
      </c>
      <c r="W4" s="51">
        <f>J4</f>
        <v>-0.27</v>
      </c>
      <c r="X4" s="51">
        <f>K4</f>
        <v>-2.0000000000000001E-4</v>
      </c>
      <c r="Y4" s="53">
        <f>L4</f>
        <v>0</v>
      </c>
      <c r="Z4" s="51">
        <f>ROUND([2]GA!$E47,4)</f>
        <v>7.7999999999999996E-3</v>
      </c>
      <c r="AA4" s="53">
        <f>ROUND('[2]Calculation of Def-Var RR'!$I18,4)</f>
        <v>5.0000000000000001E-4</v>
      </c>
      <c r="AB4" s="51">
        <f t="shared" ref="AB4:AB9" si="0">P4</f>
        <v>-8.0000000000000004E-4</v>
      </c>
      <c r="AC4" s="51">
        <v>5.7999999999999996E-3</v>
      </c>
      <c r="AD4" s="53">
        <v>5.0000000000000001E-3</v>
      </c>
    </row>
    <row r="5" spans="1:30" x14ac:dyDescent="0.25">
      <c r="A5" s="51" t="s">
        <v>66</v>
      </c>
      <c r="B5" s="51">
        <v>1.0654999999999999</v>
      </c>
      <c r="C5" s="55">
        <v>50000</v>
      </c>
      <c r="D5" s="51">
        <v>75</v>
      </c>
      <c r="E5" s="52" t="s">
        <v>5</v>
      </c>
      <c r="F5" s="51">
        <v>83.61</v>
      </c>
      <c r="G5" s="51">
        <v>0</v>
      </c>
      <c r="H5" s="51">
        <v>3.9339</v>
      </c>
      <c r="I5" s="53">
        <v>0.155</v>
      </c>
      <c r="J5" s="51">
        <v>-0.84</v>
      </c>
      <c r="K5" s="174">
        <v>-3.9300000000000002E-2</v>
      </c>
      <c r="L5" s="53">
        <v>0</v>
      </c>
      <c r="M5" s="51">
        <v>0</v>
      </c>
      <c r="N5" s="51">
        <f>-0.144-3.6515</f>
        <v>-3.7955000000000001</v>
      </c>
      <c r="O5" s="51">
        <v>1.6999999999999999E-3</v>
      </c>
      <c r="P5" s="51">
        <f>-0.1394+0.0195</f>
        <v>-0.11989999999999999</v>
      </c>
      <c r="Q5" s="51">
        <v>2.5038</v>
      </c>
      <c r="R5" s="51">
        <v>2.1172</v>
      </c>
      <c r="S5" s="51">
        <f t="shared" ref="S5:S9" si="1">F5</f>
        <v>83.61</v>
      </c>
      <c r="T5" s="51">
        <v>0</v>
      </c>
      <c r="U5" s="51">
        <f t="shared" ref="U5:U9" si="2">H5</f>
        <v>3.9339</v>
      </c>
      <c r="V5" s="53">
        <f t="shared" ref="V5:V9" si="3">I5</f>
        <v>0.155</v>
      </c>
      <c r="W5" s="51">
        <f t="shared" ref="W5:W9" si="4">J5</f>
        <v>-0.84</v>
      </c>
      <c r="X5" s="51">
        <f t="shared" ref="X5:X9" si="5">K5</f>
        <v>-3.9300000000000002E-2</v>
      </c>
      <c r="Y5" s="53">
        <f t="shared" ref="Y5:Y9" si="6">L5</f>
        <v>0</v>
      </c>
      <c r="Z5" s="51">
        <f>ROUND([2]GA!$E48,4)</f>
        <v>7.7999999999999996E-3</v>
      </c>
      <c r="AA5" s="53">
        <f>ROUND('[2]Calculation of Def-Var RR'!$I$19+'[2]Calculation of Def-Var RR'!$J$19,4)</f>
        <v>0.19670000000000001</v>
      </c>
      <c r="AB5" s="51">
        <f t="shared" si="0"/>
        <v>-0.11989999999999999</v>
      </c>
      <c r="AC5" s="51">
        <v>2.4796999999999998</v>
      </c>
      <c r="AD5" s="51">
        <v>2.1133999999999999</v>
      </c>
    </row>
    <row r="6" spans="1:30" x14ac:dyDescent="0.25">
      <c r="A6" s="51" t="s">
        <v>85</v>
      </c>
      <c r="B6" s="51">
        <v>1.0654999999999999</v>
      </c>
      <c r="C6" s="54">
        <v>500</v>
      </c>
      <c r="D6" s="51"/>
      <c r="E6" s="52" t="s">
        <v>3</v>
      </c>
      <c r="F6" s="51">
        <v>19.510000000000002</v>
      </c>
      <c r="G6" s="51">
        <v>0</v>
      </c>
      <c r="H6" s="51">
        <v>2.5000000000000001E-3</v>
      </c>
      <c r="I6" s="51">
        <v>4.0000000000000002E-4</v>
      </c>
      <c r="J6" s="51">
        <v>-0.2</v>
      </c>
      <c r="K6" s="51">
        <v>-3.0000000000000001E-5</v>
      </c>
      <c r="L6" s="53">
        <v>0</v>
      </c>
      <c r="M6" s="51">
        <v>0</v>
      </c>
      <c r="N6" s="51">
        <v>-1.04E-2</v>
      </c>
      <c r="O6" s="51">
        <v>1.6999999999999999E-3</v>
      </c>
      <c r="P6" s="51">
        <f>-0.0015+0.0002</f>
        <v>-1.2999999999999999E-3</v>
      </c>
      <c r="Q6" s="51">
        <v>5.8999999999999999E-3</v>
      </c>
      <c r="R6" s="53">
        <v>5.0000000000000001E-3</v>
      </c>
      <c r="S6" s="51">
        <f t="shared" si="1"/>
        <v>19.510000000000002</v>
      </c>
      <c r="T6" s="51">
        <v>0</v>
      </c>
      <c r="U6" s="51">
        <f t="shared" si="2"/>
        <v>2.5000000000000001E-3</v>
      </c>
      <c r="V6" s="51">
        <f t="shared" si="3"/>
        <v>4.0000000000000002E-4</v>
      </c>
      <c r="W6" s="51">
        <f t="shared" si="4"/>
        <v>-0.2</v>
      </c>
      <c r="X6" s="51">
        <f t="shared" si="5"/>
        <v>-3.0000000000000001E-5</v>
      </c>
      <c r="Y6" s="53">
        <f t="shared" si="6"/>
        <v>0</v>
      </c>
      <c r="Z6" s="51">
        <f>ROUND([2]GA!$E49,4)</f>
        <v>7.7999999999999996E-3</v>
      </c>
      <c r="AA6" s="53">
        <f>ROUND('[2]Calculation of Def-Var RR'!$I20,4)</f>
        <v>5.0000000000000001E-4</v>
      </c>
      <c r="AB6" s="51">
        <f t="shared" si="0"/>
        <v>-1.2999999999999999E-3</v>
      </c>
      <c r="AC6" s="51">
        <v>5.7999999999999996E-3</v>
      </c>
      <c r="AD6" s="53">
        <v>5.0000000000000001E-3</v>
      </c>
    </row>
    <row r="7" spans="1:30" x14ac:dyDescent="0.25">
      <c r="A7" s="51" t="s">
        <v>83</v>
      </c>
      <c r="B7" s="51">
        <v>1.0654999999999999</v>
      </c>
      <c r="C7" s="54">
        <v>77</v>
      </c>
      <c r="D7" s="51">
        <v>0.21</v>
      </c>
      <c r="E7" s="52" t="s">
        <v>5</v>
      </c>
      <c r="F7" s="51">
        <v>14.23</v>
      </c>
      <c r="G7" s="51">
        <v>0</v>
      </c>
      <c r="H7" s="51">
        <v>36.726100000000002</v>
      </c>
      <c r="I7" s="51">
        <v>0.1099</v>
      </c>
      <c r="J7" s="51">
        <v>-0.14000000000000001</v>
      </c>
      <c r="K7" s="51">
        <v>-0.36730000000000002</v>
      </c>
      <c r="L7" s="53">
        <v>0</v>
      </c>
      <c r="M7" s="51">
        <v>0</v>
      </c>
      <c r="N7" s="175">
        <v>-3.7412000000000001</v>
      </c>
      <c r="O7" s="51">
        <v>1.6999999999999999E-3</v>
      </c>
      <c r="P7" s="51">
        <f>-4.1655+0.6224</f>
        <v>-3.5430999999999999</v>
      </c>
      <c r="Q7" s="51">
        <v>1.8176000000000001</v>
      </c>
      <c r="R7" s="51">
        <v>1.5528</v>
      </c>
      <c r="S7" s="51">
        <f t="shared" si="1"/>
        <v>14.23</v>
      </c>
      <c r="T7" s="51">
        <v>0</v>
      </c>
      <c r="U7" s="51">
        <f t="shared" si="2"/>
        <v>36.726100000000002</v>
      </c>
      <c r="V7" s="51">
        <f t="shared" si="3"/>
        <v>0.1099</v>
      </c>
      <c r="W7" s="51">
        <f t="shared" si="4"/>
        <v>-0.14000000000000001</v>
      </c>
      <c r="X7" s="51">
        <f t="shared" si="5"/>
        <v>-0.36730000000000002</v>
      </c>
      <c r="Y7" s="53">
        <f t="shared" si="6"/>
        <v>0</v>
      </c>
      <c r="Z7" s="51">
        <f>ROUND([2]GA!$E50,4)</f>
        <v>7.7999999999999996E-3</v>
      </c>
      <c r="AA7" s="53">
        <f>ROUND('[2]Calculation of Def-Var RR'!$I21,4)</f>
        <v>0.19320000000000001</v>
      </c>
      <c r="AB7" s="51">
        <f t="shared" si="0"/>
        <v>-3.5430999999999999</v>
      </c>
      <c r="AC7" s="51">
        <v>1.8001</v>
      </c>
      <c r="AD7" s="53">
        <v>1.55</v>
      </c>
    </row>
    <row r="8" spans="1:30" x14ac:dyDescent="0.25">
      <c r="A8" s="51" t="s">
        <v>84</v>
      </c>
      <c r="B8" s="51">
        <v>1.0654999999999999</v>
      </c>
      <c r="C8" s="54">
        <v>170000</v>
      </c>
      <c r="D8" s="51">
        <v>550</v>
      </c>
      <c r="E8" s="52" t="s">
        <v>5</v>
      </c>
      <c r="F8" s="51">
        <v>5.7</v>
      </c>
      <c r="G8" s="51">
        <v>0</v>
      </c>
      <c r="H8" s="51">
        <v>14.588200000000001</v>
      </c>
      <c r="I8" s="53">
        <v>0.113</v>
      </c>
      <c r="J8" s="51">
        <v>-0.06</v>
      </c>
      <c r="K8" s="51">
        <v>-0.1459</v>
      </c>
      <c r="L8" s="53">
        <v>0</v>
      </c>
      <c r="M8" s="51">
        <v>0</v>
      </c>
      <c r="N8" s="51">
        <v>-3.7130999999999998</v>
      </c>
      <c r="O8" s="51">
        <v>1.6999999999999999E-3</v>
      </c>
      <c r="P8" s="51">
        <f>-1.443+0.2152</f>
        <v>-1.2278</v>
      </c>
      <c r="Q8" s="51">
        <v>1.8085</v>
      </c>
      <c r="R8" s="53">
        <v>1.5209999999999999</v>
      </c>
      <c r="S8" s="51">
        <f t="shared" si="1"/>
        <v>5.7</v>
      </c>
      <c r="T8" s="51">
        <v>0</v>
      </c>
      <c r="U8" s="51">
        <f t="shared" si="2"/>
        <v>14.588200000000001</v>
      </c>
      <c r="V8" s="51">
        <f t="shared" si="3"/>
        <v>0.113</v>
      </c>
      <c r="W8" s="51">
        <f t="shared" si="4"/>
        <v>-0.06</v>
      </c>
      <c r="X8" s="51">
        <f t="shared" si="5"/>
        <v>-0.1459</v>
      </c>
      <c r="Y8" s="53">
        <f t="shared" si="6"/>
        <v>0</v>
      </c>
      <c r="Z8" s="51">
        <f>ROUND([2]GA!$E51,4)</f>
        <v>7.7999999999999996E-3</v>
      </c>
      <c r="AA8" s="51">
        <f>ROUND('[2]Calculation of Def-Var RR'!$I22,4)</f>
        <v>0.19170000000000001</v>
      </c>
      <c r="AB8" s="51">
        <f t="shared" si="0"/>
        <v>-1.2278</v>
      </c>
      <c r="AC8" s="51">
        <v>1.7910999999999999</v>
      </c>
      <c r="AD8" s="51">
        <v>1.5183</v>
      </c>
    </row>
    <row r="9" spans="1:30" x14ac:dyDescent="0.25">
      <c r="A9" s="51" t="s">
        <v>67</v>
      </c>
      <c r="B9" s="51">
        <v>1.0287999999999999</v>
      </c>
      <c r="C9" s="54">
        <v>6055000</v>
      </c>
      <c r="D9" s="176">
        <v>18970</v>
      </c>
      <c r="E9" s="52" t="s">
        <v>5</v>
      </c>
      <c r="F9" s="51">
        <v>464.17</v>
      </c>
      <c r="G9" s="51">
        <v>0</v>
      </c>
      <c r="H9" s="51">
        <v>1.4303999999999999</v>
      </c>
      <c r="I9" s="53">
        <v>0</v>
      </c>
      <c r="J9" s="51">
        <v>-4.6399999999999997</v>
      </c>
      <c r="K9" s="51">
        <v>-1.43E-2</v>
      </c>
      <c r="L9" s="53">
        <v>0</v>
      </c>
      <c r="M9" s="51">
        <v>0</v>
      </c>
      <c r="N9" s="51">
        <f>1.3644-1.7307</f>
        <v>-0.36629999999999985</v>
      </c>
      <c r="O9" s="51">
        <v>3.3E-3</v>
      </c>
      <c r="P9" s="53">
        <v>0</v>
      </c>
      <c r="Q9" s="51">
        <v>2.9981</v>
      </c>
      <c r="R9" s="51">
        <v>2.6509</v>
      </c>
      <c r="S9" s="51">
        <f t="shared" si="1"/>
        <v>464.17</v>
      </c>
      <c r="T9" s="51">
        <v>0</v>
      </c>
      <c r="U9" s="51">
        <f t="shared" si="2"/>
        <v>1.4303999999999999</v>
      </c>
      <c r="V9" s="51">
        <f t="shared" si="3"/>
        <v>0</v>
      </c>
      <c r="W9" s="51">
        <f t="shared" si="4"/>
        <v>-4.6399999999999997</v>
      </c>
      <c r="X9" s="51">
        <f t="shared" si="5"/>
        <v>-1.43E-2</v>
      </c>
      <c r="Y9" s="53">
        <f t="shared" si="6"/>
        <v>0</v>
      </c>
      <c r="Z9" s="51">
        <f>ROUND([2]GA!$E52,4)</f>
        <v>1.6999999999999999E-3</v>
      </c>
      <c r="AA9" s="51">
        <f>ROUND('[2]Calculation of Def-Var RR'!$I23,4)+ROUND('[3]Calculation of Def-Var RR'!$J$23,4)</f>
        <v>-2.4037000000000002</v>
      </c>
      <c r="AB9" s="51">
        <f t="shared" si="0"/>
        <v>0</v>
      </c>
      <c r="AC9" s="51">
        <v>2.9691999999999998</v>
      </c>
      <c r="AD9" s="51">
        <v>2.6461000000000001</v>
      </c>
    </row>
    <row r="12" spans="1:30" x14ac:dyDescent="0.25">
      <c r="A12" s="188" t="s">
        <v>48</v>
      </c>
    </row>
    <row r="13" spans="1:30" x14ac:dyDescent="0.25">
      <c r="A13" s="188" t="s">
        <v>80</v>
      </c>
    </row>
    <row r="14" spans="1:30" x14ac:dyDescent="0.25">
      <c r="A14" s="188" t="s">
        <v>81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40"/>
  <sheetViews>
    <sheetView topLeftCell="A7" workbookViewId="0">
      <selection activeCell="C29" sqref="C29"/>
    </sheetView>
  </sheetViews>
  <sheetFormatPr defaultRowHeight="12.75" x14ac:dyDescent="0.2"/>
  <cols>
    <col min="1" max="1" width="9.140625" style="146"/>
    <col min="2" max="2" width="39" style="146" bestFit="1" customWidth="1"/>
    <col min="3" max="3" width="9.7109375" style="146" bestFit="1" customWidth="1"/>
    <col min="4" max="5" width="12.28515625" style="146" bestFit="1" customWidth="1"/>
    <col min="6" max="6" width="9.7109375" style="146" bestFit="1" customWidth="1"/>
    <col min="7" max="7" width="12.28515625" style="146" bestFit="1" customWidth="1"/>
    <col min="8" max="8" width="11.28515625" style="146" bestFit="1" customWidth="1"/>
    <col min="9" max="9" width="10.28515625" style="146" bestFit="1" customWidth="1"/>
    <col min="10" max="16384" width="9.140625" style="146"/>
  </cols>
  <sheetData>
    <row r="2" spans="2:10" x14ac:dyDescent="0.2">
      <c r="B2" s="1" t="s">
        <v>0</v>
      </c>
      <c r="C2" s="217" t="s">
        <v>84</v>
      </c>
      <c r="D2" s="218"/>
      <c r="E2" s="218"/>
      <c r="F2" s="218"/>
      <c r="G2" s="218"/>
      <c r="H2" s="219"/>
      <c r="I2" s="5"/>
      <c r="J2" s="5"/>
    </row>
    <row r="3" spans="2:10" x14ac:dyDescent="0.2">
      <c r="B3" s="1" t="s">
        <v>1</v>
      </c>
      <c r="C3" s="220" t="s">
        <v>48</v>
      </c>
      <c r="D3" s="221"/>
      <c r="E3" s="222"/>
      <c r="F3" s="147"/>
      <c r="G3" s="147"/>
      <c r="H3" s="137"/>
      <c r="I3" s="137"/>
      <c r="J3" s="137"/>
    </row>
    <row r="4" spans="2:10" x14ac:dyDescent="0.2">
      <c r="B4" s="1" t="s">
        <v>2</v>
      </c>
      <c r="C4" s="3">
        <f>VLOOKUP($C$2,'Data for Bill Impacts'!$A$3:$AD$9,3,0)</f>
        <v>170000</v>
      </c>
      <c r="D4" s="4" t="s">
        <v>3</v>
      </c>
      <c r="E4" s="5"/>
      <c r="F4" s="137"/>
      <c r="G4" s="137"/>
      <c r="H4" s="148"/>
      <c r="I4" s="148"/>
      <c r="J4" s="148"/>
    </row>
    <row r="5" spans="2:10" x14ac:dyDescent="0.2">
      <c r="B5" s="1" t="s">
        <v>4</v>
      </c>
      <c r="C5" s="166">
        <f>VLOOKUP($C$2,'Data for Bill Impacts'!$A$3:$AD$9,4,0)</f>
        <v>550</v>
      </c>
      <c r="D5" s="6" t="s">
        <v>5</v>
      </c>
      <c r="E5" s="7"/>
      <c r="F5" s="7"/>
      <c r="G5" s="7"/>
      <c r="H5" s="7"/>
      <c r="I5" s="5"/>
      <c r="J5" s="5"/>
    </row>
    <row r="6" spans="2:10" x14ac:dyDescent="0.2">
      <c r="B6" s="1" t="s">
        <v>6</v>
      </c>
      <c r="C6" s="100">
        <f>VLOOKUP($C$2,'Data for Bill Impacts'!$A$3:$AD$9,2,0)</f>
        <v>1.0654999999999999</v>
      </c>
      <c r="D6" s="5"/>
      <c r="E6" s="5"/>
      <c r="F6" s="5"/>
      <c r="G6" s="5"/>
      <c r="H6" s="5"/>
      <c r="I6" s="5"/>
      <c r="J6" s="5"/>
    </row>
    <row r="7" spans="2:10" x14ac:dyDescent="0.2">
      <c r="B7" s="1" t="s">
        <v>7</v>
      </c>
      <c r="C7" s="9">
        <f>C6</f>
        <v>1.0654999999999999</v>
      </c>
      <c r="D7" s="5"/>
      <c r="E7" s="5"/>
      <c r="F7" s="5"/>
      <c r="G7" s="5"/>
      <c r="H7" s="5"/>
      <c r="I7" s="5"/>
      <c r="J7" s="5"/>
    </row>
    <row r="8" spans="2:10" x14ac:dyDescent="0.2">
      <c r="B8" s="5"/>
      <c r="C8" s="5"/>
      <c r="D8" s="5"/>
      <c r="E8" s="5"/>
      <c r="F8" s="5"/>
      <c r="G8" s="5"/>
      <c r="H8" s="5"/>
      <c r="I8" s="5"/>
      <c r="J8" s="5"/>
    </row>
    <row r="9" spans="2:10" x14ac:dyDescent="0.2">
      <c r="B9" s="223"/>
      <c r="C9" s="228" t="s">
        <v>8</v>
      </c>
      <c r="D9" s="226"/>
      <c r="E9" s="227"/>
      <c r="F9" s="228" t="s">
        <v>9</v>
      </c>
      <c r="G9" s="226"/>
      <c r="H9" s="227"/>
      <c r="I9" s="228" t="s">
        <v>10</v>
      </c>
      <c r="J9" s="227"/>
    </row>
    <row r="10" spans="2:10" x14ac:dyDescent="0.2">
      <c r="B10" s="224"/>
      <c r="C10" s="12" t="s">
        <v>11</v>
      </c>
      <c r="D10" s="229" t="s">
        <v>12</v>
      </c>
      <c r="E10" s="11" t="s">
        <v>13</v>
      </c>
      <c r="F10" s="10" t="s">
        <v>11</v>
      </c>
      <c r="G10" s="229" t="s">
        <v>12</v>
      </c>
      <c r="H10" s="11" t="s">
        <v>13</v>
      </c>
      <c r="I10" s="231" t="s">
        <v>14</v>
      </c>
      <c r="J10" s="233" t="s">
        <v>15</v>
      </c>
    </row>
    <row r="11" spans="2:10" x14ac:dyDescent="0.2">
      <c r="B11" s="225"/>
      <c r="C11" s="14" t="s">
        <v>16</v>
      </c>
      <c r="D11" s="230"/>
      <c r="E11" s="14" t="s">
        <v>16</v>
      </c>
      <c r="F11" s="13" t="s">
        <v>16</v>
      </c>
      <c r="G11" s="230"/>
      <c r="H11" s="14" t="s">
        <v>16</v>
      </c>
      <c r="I11" s="235"/>
      <c r="J11" s="236"/>
    </row>
    <row r="12" spans="2:10" x14ac:dyDescent="0.2">
      <c r="B12" s="138" t="s">
        <v>17</v>
      </c>
      <c r="C12" s="39">
        <f>VLOOKUP($C$2,'Data for Bill Impacts'!$A$3:$AD$9,6,0)</f>
        <v>5.7</v>
      </c>
      <c r="D12" s="15">
        <v>2973</v>
      </c>
      <c r="E12" s="16">
        <f>D12*C12</f>
        <v>16946.100000000002</v>
      </c>
      <c r="F12" s="60">
        <f>VLOOKUP($C$2,'Data for Bill Impacts'!$A$3:$AD$9,19,0)</f>
        <v>5.7</v>
      </c>
      <c r="G12" s="17">
        <f>D12</f>
        <v>2973</v>
      </c>
      <c r="H12" s="16">
        <f>G12*F12</f>
        <v>16946.100000000002</v>
      </c>
      <c r="I12" s="18">
        <f t="shared" ref="I12:I31" si="0">H12-E12</f>
        <v>0</v>
      </c>
      <c r="J12" s="19">
        <f>IF(ISERROR(I12/E12), "", I12/E12)</f>
        <v>0</v>
      </c>
    </row>
    <row r="13" spans="2:10" x14ac:dyDescent="0.2">
      <c r="B13" s="115" t="s">
        <v>18</v>
      </c>
      <c r="C13" s="56">
        <f>VLOOKUP($C$2,'Data for Bill Impacts'!$A$3:$AD$9,8,0)</f>
        <v>14.588200000000001</v>
      </c>
      <c r="D13" s="15">
        <f>IF($C5&gt;0, $C5, $C4)</f>
        <v>550</v>
      </c>
      <c r="E13" s="16">
        <f t="shared" ref="E13:E21" si="1">D13*C13</f>
        <v>8023.51</v>
      </c>
      <c r="F13" s="59">
        <f>VLOOKUP($C$2,'Data for Bill Impacts'!$A$3:$AD$9,21,0)</f>
        <v>14.588200000000001</v>
      </c>
      <c r="G13" s="15">
        <f>D13</f>
        <v>550</v>
      </c>
      <c r="H13" s="16">
        <f>G13*F13</f>
        <v>8023.51</v>
      </c>
      <c r="I13" s="18">
        <f t="shared" si="0"/>
        <v>0</v>
      </c>
      <c r="J13" s="19">
        <f t="shared" ref="J13:J21" si="2">IF(ISERROR(I13/E13), "", I13/E13)</f>
        <v>0</v>
      </c>
    </row>
    <row r="14" spans="2:10" x14ac:dyDescent="0.2">
      <c r="B14" s="139" t="s">
        <v>19</v>
      </c>
      <c r="C14" s="39">
        <f>VLOOKUP($C$2,'Data for Bill Impacts'!$A$3:$AD$9,10,0)</f>
        <v>-0.06</v>
      </c>
      <c r="D14" s="15">
        <f>D12</f>
        <v>2973</v>
      </c>
      <c r="E14" s="16">
        <f t="shared" si="1"/>
        <v>-178.38</v>
      </c>
      <c r="F14" s="60">
        <f>VLOOKUP($C$2,'Data for Bill Impacts'!$A$3:$AD$9,23,0)</f>
        <v>-0.06</v>
      </c>
      <c r="G14" s="17">
        <f>D14</f>
        <v>2973</v>
      </c>
      <c r="H14" s="16">
        <f t="shared" ref="H14:H21" si="3">G14*F14</f>
        <v>-178.38</v>
      </c>
      <c r="I14" s="18">
        <f t="shared" si="0"/>
        <v>0</v>
      </c>
      <c r="J14" s="19">
        <f t="shared" si="2"/>
        <v>0</v>
      </c>
    </row>
    <row r="15" spans="2:10" x14ac:dyDescent="0.2">
      <c r="B15" s="115" t="s">
        <v>20</v>
      </c>
      <c r="C15" s="40">
        <f>VLOOKUP($C$2,'Data for Bill Impacts'!$A$3:$AD$9,11,0)+VLOOKUP($C$2,'Data for Bill Impacts'!$A$3:$AD$9,16,0)</f>
        <v>-1.3736999999999999</v>
      </c>
      <c r="D15" s="15">
        <f>D13</f>
        <v>550</v>
      </c>
      <c r="E15" s="16">
        <f t="shared" si="1"/>
        <v>-755.53499999999997</v>
      </c>
      <c r="F15" s="58">
        <f>VLOOKUP($C$2,'Data for Bill Impacts'!$A$3:$AD$9,24,0)+VLOOKUP($C$2,'Data for Bill Impacts'!$A$3:$AD$9,28,0)</f>
        <v>-1.3736999999999999</v>
      </c>
      <c r="G15" s="17">
        <f>D15</f>
        <v>550</v>
      </c>
      <c r="H15" s="16">
        <f t="shared" si="3"/>
        <v>-755.53499999999997</v>
      </c>
      <c r="I15" s="18">
        <f t="shared" si="0"/>
        <v>0</v>
      </c>
      <c r="J15" s="101">
        <f t="shared" si="2"/>
        <v>0</v>
      </c>
    </row>
    <row r="16" spans="2:10" x14ac:dyDescent="0.2">
      <c r="B16" s="112" t="s">
        <v>21</v>
      </c>
      <c r="C16" s="89"/>
      <c r="D16" s="90"/>
      <c r="E16" s="91">
        <f>SUM(E12:E15)</f>
        <v>24035.695</v>
      </c>
      <c r="F16" s="92"/>
      <c r="G16" s="93"/>
      <c r="H16" s="91">
        <f>SUM(H12:H15)</f>
        <v>24035.695</v>
      </c>
      <c r="I16" s="87">
        <f t="shared" si="0"/>
        <v>0</v>
      </c>
      <c r="J16" s="88">
        <f>IF((E16)=0,"",(I16/E16))</f>
        <v>0</v>
      </c>
    </row>
    <row r="17" spans="2:10" x14ac:dyDescent="0.2">
      <c r="B17" s="113" t="s">
        <v>22</v>
      </c>
      <c r="C17" s="40">
        <f>IF((C4*12&gt;=150000), 0, IF(C3="RPP",(C33*0.65+C34*0.17+C35*0.18),IF(C3="Non-RPP (Retailer)",C36,C37)))</f>
        <v>0</v>
      </c>
      <c r="D17" s="20">
        <f>IF(C17=0, 0, $C4*C6-C4)</f>
        <v>0</v>
      </c>
      <c r="E17" s="16">
        <f>D17*C17</f>
        <v>0</v>
      </c>
      <c r="F17" s="58">
        <f>IF((C4*12&gt;=150000), 0, IF(C3="RPP",(F33*0.65+F34*0.17+F35*0.18),IF(C3="Non-RPP (Retailer)",F36,F37)))</f>
        <v>0</v>
      </c>
      <c r="G17" s="20">
        <f>IF(F17=0, 0, C4*C7-C4)</f>
        <v>0</v>
      </c>
      <c r="H17" s="16">
        <f>G17*F17</f>
        <v>0</v>
      </c>
      <c r="I17" s="18">
        <f>H17-E17</f>
        <v>0</v>
      </c>
      <c r="J17" s="19" t="str">
        <f>IF(ISERROR(I17/E17), "", I17/E17)</f>
        <v/>
      </c>
    </row>
    <row r="18" spans="2:10" x14ac:dyDescent="0.2">
      <c r="B18" s="114" t="s">
        <v>23</v>
      </c>
      <c r="C18" s="39">
        <f>VLOOKUP($C$2,'Data for Bill Impacts'!$A$3:$AD$9,14,0)</f>
        <v>-3.7130999999999998</v>
      </c>
      <c r="D18" s="21">
        <f>D13</f>
        <v>550</v>
      </c>
      <c r="E18" s="16">
        <f t="shared" si="1"/>
        <v>-2042.2049999999999</v>
      </c>
      <c r="F18" s="59">
        <f>VLOOKUP($C$2,'Data for Bill Impacts'!$A$3:$AD$9,27,0)</f>
        <v>0.19170000000000001</v>
      </c>
      <c r="G18" s="21">
        <f t="shared" ref="G18:G23" si="4">D18</f>
        <v>550</v>
      </c>
      <c r="H18" s="16">
        <f t="shared" si="3"/>
        <v>105.435</v>
      </c>
      <c r="I18" s="18">
        <f t="shared" si="0"/>
        <v>2147.64</v>
      </c>
      <c r="J18" s="19">
        <f t="shared" si="2"/>
        <v>-1.0516280197139856</v>
      </c>
    </row>
    <row r="19" spans="2:10" x14ac:dyDescent="0.2">
      <c r="B19" s="114" t="s">
        <v>24</v>
      </c>
      <c r="C19" s="40">
        <v>0</v>
      </c>
      <c r="D19" s="21">
        <f>D13</f>
        <v>550</v>
      </c>
      <c r="E19" s="16">
        <f>D19*C19</f>
        <v>0</v>
      </c>
      <c r="F19" s="59">
        <v>0</v>
      </c>
      <c r="G19" s="21">
        <f t="shared" si="4"/>
        <v>550</v>
      </c>
      <c r="H19" s="16">
        <f>G19*F19</f>
        <v>0</v>
      </c>
      <c r="I19" s="18">
        <f t="shared" si="0"/>
        <v>0</v>
      </c>
      <c r="J19" s="19" t="str">
        <f t="shared" si="2"/>
        <v/>
      </c>
    </row>
    <row r="20" spans="2:10" x14ac:dyDescent="0.2">
      <c r="B20" s="114" t="s">
        <v>25</v>
      </c>
      <c r="C20" s="39">
        <f>IF(C3="RPP",0,VLOOKUP($C$2,'Data for Bill Impacts'!$A$3:$AD$9,15,0))</f>
        <v>0</v>
      </c>
      <c r="D20" s="21">
        <f>C4</f>
        <v>170000</v>
      </c>
      <c r="E20" s="16">
        <f>D20*C20</f>
        <v>0</v>
      </c>
      <c r="F20" s="59">
        <f>IF(C3="RPP",0,VLOOKUP($C$2,'Data for Bill Impacts'!$A$3:$AD$9,26,0))</f>
        <v>0</v>
      </c>
      <c r="G20" s="21">
        <f t="shared" si="4"/>
        <v>170000</v>
      </c>
      <c r="H20" s="16">
        <f t="shared" si="3"/>
        <v>0</v>
      </c>
      <c r="I20" s="18">
        <f t="shared" si="0"/>
        <v>0</v>
      </c>
      <c r="J20" s="19" t="str">
        <f t="shared" si="2"/>
        <v/>
      </c>
    </row>
    <row r="21" spans="2:10" x14ac:dyDescent="0.2">
      <c r="B21" s="115" t="s">
        <v>26</v>
      </c>
      <c r="C21" s="56">
        <f>VLOOKUP($C$2,'Data for Bill Impacts'!$A$3:$AD$9,9,0)+VLOOKUP($C$2,'Data for Bill Impacts'!$A$3:$AD$9,12,0)</f>
        <v>0.113</v>
      </c>
      <c r="D21" s="21">
        <f>D13</f>
        <v>550</v>
      </c>
      <c r="E21" s="16">
        <f t="shared" si="1"/>
        <v>62.15</v>
      </c>
      <c r="F21" s="59">
        <f>VLOOKUP($C$2,'Data for Bill Impacts'!$A$3:$AD$9,22,0)+VLOOKUP($C$2,'Data for Bill Impacts'!$A$3:$AD$9,25,0)</f>
        <v>0.113</v>
      </c>
      <c r="G21" s="21">
        <f t="shared" si="4"/>
        <v>550</v>
      </c>
      <c r="H21" s="16">
        <f t="shared" si="3"/>
        <v>62.15</v>
      </c>
      <c r="I21" s="18">
        <f t="shared" si="0"/>
        <v>0</v>
      </c>
      <c r="J21" s="19">
        <f t="shared" si="2"/>
        <v>0</v>
      </c>
    </row>
    <row r="22" spans="2:10" ht="51" x14ac:dyDescent="0.2">
      <c r="B22" s="116" t="s">
        <v>27</v>
      </c>
      <c r="C22" s="39">
        <f>VLOOKUP($C$2,'Data for Bill Impacts'!$A$3:$AD$9,7,0)</f>
        <v>0</v>
      </c>
      <c r="D22" s="15">
        <v>1</v>
      </c>
      <c r="E22" s="16">
        <f>D22*C22</f>
        <v>0</v>
      </c>
      <c r="F22" s="60">
        <f>VLOOKUP($C$2,'Data for Bill Impacts'!$A$3:$AD$9,20,0)</f>
        <v>0</v>
      </c>
      <c r="G22" s="15">
        <f t="shared" si="4"/>
        <v>1</v>
      </c>
      <c r="H22" s="16">
        <f>G22*F22</f>
        <v>0</v>
      </c>
      <c r="I22" s="18">
        <f t="shared" si="0"/>
        <v>0</v>
      </c>
      <c r="J22" s="19" t="str">
        <f>IF(ISERROR(I22/E22), "", I22/E22)</f>
        <v/>
      </c>
    </row>
    <row r="23" spans="2:10" x14ac:dyDescent="0.2">
      <c r="B23" s="115" t="s">
        <v>28</v>
      </c>
      <c r="C23" s="40">
        <v>0</v>
      </c>
      <c r="D23" s="21">
        <f>D13</f>
        <v>550</v>
      </c>
      <c r="E23" s="16">
        <f>D23*C23</f>
        <v>0</v>
      </c>
      <c r="F23" s="57">
        <v>0</v>
      </c>
      <c r="G23" s="21">
        <f t="shared" si="4"/>
        <v>550</v>
      </c>
      <c r="H23" s="16">
        <f>G23*F23</f>
        <v>0</v>
      </c>
      <c r="I23" s="18">
        <f t="shared" si="0"/>
        <v>0</v>
      </c>
      <c r="J23" s="19" t="str">
        <f>IF(ISERROR(I23/E23), "", I23/E23)</f>
        <v/>
      </c>
    </row>
    <row r="24" spans="2:10" ht="25.5" x14ac:dyDescent="0.2">
      <c r="B24" s="117" t="s">
        <v>29</v>
      </c>
      <c r="C24" s="82"/>
      <c r="D24" s="83"/>
      <c r="E24" s="84">
        <f>SUM(E16:E23)</f>
        <v>22055.64</v>
      </c>
      <c r="F24" s="85"/>
      <c r="G24" s="86"/>
      <c r="H24" s="84">
        <f>SUM(H16:H23)</f>
        <v>24203.280000000002</v>
      </c>
      <c r="I24" s="87">
        <f t="shared" si="0"/>
        <v>2147.6400000000031</v>
      </c>
      <c r="J24" s="88">
        <f>IF((E24)=0,"",(I24/E24))</f>
        <v>9.7373732977143398E-2</v>
      </c>
    </row>
    <row r="25" spans="2:10" x14ac:dyDescent="0.2">
      <c r="B25" s="140" t="s">
        <v>30</v>
      </c>
      <c r="C25" s="61">
        <f>VLOOKUP($C$2,'Data for Bill Impacts'!$A$3:$AD$9,17,0)</f>
        <v>1.8085</v>
      </c>
      <c r="D25" s="20">
        <f>IF($C5&gt;0, $C5, $C4*$C6)</f>
        <v>550</v>
      </c>
      <c r="E25" s="16">
        <f>D25*C25</f>
        <v>994.67499999999995</v>
      </c>
      <c r="F25" s="59">
        <f>VLOOKUP($C$2,'Data for Bill Impacts'!$A$3:$AD$9,29,0)</f>
        <v>1.7910999999999999</v>
      </c>
      <c r="G25" s="20">
        <f>D25</f>
        <v>550</v>
      </c>
      <c r="H25" s="16">
        <f>G25*F25</f>
        <v>985.1049999999999</v>
      </c>
      <c r="I25" s="18">
        <f t="shared" si="0"/>
        <v>-9.57000000000005</v>
      </c>
      <c r="J25" s="19">
        <f>IF(ISERROR(I25/E25), "", I25/E25)</f>
        <v>-9.6212330660769094E-3</v>
      </c>
    </row>
    <row r="26" spans="2:10" ht="25.5" x14ac:dyDescent="0.2">
      <c r="B26" s="141" t="s">
        <v>31</v>
      </c>
      <c r="C26" s="62">
        <f>VLOOKUP($C$2,'Data for Bill Impacts'!$A$3:$AD$9,18,0)</f>
        <v>1.5209999999999999</v>
      </c>
      <c r="D26" s="20">
        <f>D25</f>
        <v>550</v>
      </c>
      <c r="E26" s="16">
        <f>D26*C26</f>
        <v>836.55</v>
      </c>
      <c r="F26" s="59">
        <f>VLOOKUP($C$2,'Data for Bill Impacts'!$A$3:$AD$9,30,0)</f>
        <v>1.5183</v>
      </c>
      <c r="G26" s="20">
        <f>D26</f>
        <v>550</v>
      </c>
      <c r="H26" s="16">
        <f>G26*F26</f>
        <v>835.06499999999994</v>
      </c>
      <c r="I26" s="18">
        <f t="shared" si="0"/>
        <v>-1.4850000000000136</v>
      </c>
      <c r="J26" s="19">
        <f>IF(ISERROR(I26/E26), "", I26/E26)</f>
        <v>-1.7751479289940992E-3</v>
      </c>
    </row>
    <row r="27" spans="2:10" ht="25.5" x14ac:dyDescent="0.2">
      <c r="B27" s="117" t="s">
        <v>32</v>
      </c>
      <c r="C27" s="82"/>
      <c r="D27" s="83"/>
      <c r="E27" s="84">
        <f>SUM(E24:E26)</f>
        <v>23886.864999999998</v>
      </c>
      <c r="F27" s="94"/>
      <c r="G27" s="93"/>
      <c r="H27" s="84">
        <f>SUM(H24:H26)</f>
        <v>26023.45</v>
      </c>
      <c r="I27" s="87">
        <f t="shared" si="0"/>
        <v>2136.5850000000028</v>
      </c>
      <c r="J27" s="88">
        <f>IF((E27)=0,"",(I27/E27))</f>
        <v>8.9446019810469179E-2</v>
      </c>
    </row>
    <row r="28" spans="2:10" x14ac:dyDescent="0.2">
      <c r="B28" s="142" t="s">
        <v>33</v>
      </c>
      <c r="C28" s="63">
        <v>3.6000000000000003E-3</v>
      </c>
      <c r="D28" s="20">
        <f>C4*C6</f>
        <v>181134.99999999997</v>
      </c>
      <c r="E28" s="22">
        <f t="shared" ref="E28:E31" si="5">D28*C28</f>
        <v>652.08600000000001</v>
      </c>
      <c r="F28" s="57">
        <v>3.6000000000000003E-3</v>
      </c>
      <c r="G28" s="20">
        <f>C4*C7</f>
        <v>181134.99999999997</v>
      </c>
      <c r="H28" s="22">
        <f t="shared" ref="H28:H31" si="6">G28*F28</f>
        <v>652.08600000000001</v>
      </c>
      <c r="I28" s="18">
        <f t="shared" si="0"/>
        <v>0</v>
      </c>
      <c r="J28" s="19">
        <f t="shared" ref="J28:J31" si="7">IF(ISERROR(I28/E28), "", I28/E28)</f>
        <v>0</v>
      </c>
    </row>
    <row r="29" spans="2:10" x14ac:dyDescent="0.2">
      <c r="B29" s="143" t="s">
        <v>34</v>
      </c>
      <c r="C29" s="40">
        <v>2.9999999999999997E-4</v>
      </c>
      <c r="D29" s="20">
        <f>C4*C6</f>
        <v>181134.99999999997</v>
      </c>
      <c r="E29" s="22">
        <f t="shared" si="5"/>
        <v>54.340499999999984</v>
      </c>
      <c r="F29" s="57">
        <v>2.9999999999999997E-4</v>
      </c>
      <c r="G29" s="20">
        <f>C4*C7</f>
        <v>181134.99999999997</v>
      </c>
      <c r="H29" s="22">
        <f t="shared" si="6"/>
        <v>54.340499999999984</v>
      </c>
      <c r="I29" s="18">
        <f t="shared" si="0"/>
        <v>0</v>
      </c>
      <c r="J29" s="19">
        <f t="shared" si="7"/>
        <v>0</v>
      </c>
    </row>
    <row r="30" spans="2:10" x14ac:dyDescent="0.2">
      <c r="B30" s="125" t="s">
        <v>35</v>
      </c>
      <c r="C30" s="41">
        <v>0.25</v>
      </c>
      <c r="D30" s="15">
        <v>1</v>
      </c>
      <c r="E30" s="22">
        <f t="shared" si="5"/>
        <v>0.25</v>
      </c>
      <c r="F30" s="102">
        <v>0.25</v>
      </c>
      <c r="G30" s="17">
        <v>1</v>
      </c>
      <c r="H30" s="22">
        <f t="shared" si="6"/>
        <v>0.25</v>
      </c>
      <c r="I30" s="18">
        <f t="shared" si="0"/>
        <v>0</v>
      </c>
      <c r="J30" s="19">
        <f t="shared" si="7"/>
        <v>0</v>
      </c>
    </row>
    <row r="31" spans="2:10" x14ac:dyDescent="0.2">
      <c r="B31" s="144" t="s">
        <v>36</v>
      </c>
      <c r="C31" s="43">
        <v>7.0000000000000001E-3</v>
      </c>
      <c r="D31" s="21">
        <f>C4</f>
        <v>170000</v>
      </c>
      <c r="E31" s="106">
        <f t="shared" si="5"/>
        <v>1190</v>
      </c>
      <c r="F31" s="105">
        <f>C31</f>
        <v>7.0000000000000001E-3</v>
      </c>
      <c r="G31" s="21">
        <f>D31</f>
        <v>170000</v>
      </c>
      <c r="H31" s="106">
        <f t="shared" si="6"/>
        <v>1190</v>
      </c>
      <c r="I31" s="33">
        <f t="shared" si="0"/>
        <v>0</v>
      </c>
      <c r="J31" s="107">
        <f t="shared" si="7"/>
        <v>0</v>
      </c>
    </row>
    <row r="32" spans="2:10" ht="25.5" x14ac:dyDescent="0.2">
      <c r="B32" s="145" t="s">
        <v>37</v>
      </c>
      <c r="C32" s="95"/>
      <c r="D32" s="96"/>
      <c r="E32" s="97"/>
      <c r="F32" s="104"/>
      <c r="G32" s="96"/>
      <c r="H32" s="97"/>
      <c r="I32" s="98"/>
      <c r="J32" s="99"/>
    </row>
    <row r="33" spans="2:10" x14ac:dyDescent="0.2">
      <c r="B33" s="150" t="s">
        <v>38</v>
      </c>
      <c r="C33" s="151">
        <v>6.5000000000000002E-2</v>
      </c>
      <c r="D33" s="161">
        <f>IF(AND(C4*12&gt;=150000),0.65*C4*C6,0.65*C4)</f>
        <v>117737.74999999999</v>
      </c>
      <c r="E33" s="153">
        <f t="shared" ref="E33:E35" si="8">D33*C33</f>
        <v>7652.9537499999997</v>
      </c>
      <c r="F33" s="164">
        <v>6.5000000000000002E-2</v>
      </c>
      <c r="G33" s="152">
        <f>IF(AND(C4*12&gt;=150000),0.65*C4*C7,0.65*C4)</f>
        <v>117737.74999999999</v>
      </c>
      <c r="H33" s="154">
        <f t="shared" ref="H33:H35" si="9">G33*F33</f>
        <v>7652.9537499999997</v>
      </c>
      <c r="I33" s="155">
        <f>H33-E33</f>
        <v>0</v>
      </c>
      <c r="J33" s="156">
        <f t="shared" ref="J33:J35" si="10">IF(ISERROR(I33/E33), "", I33/E33)</f>
        <v>0</v>
      </c>
    </row>
    <row r="34" spans="2:10" x14ac:dyDescent="0.2">
      <c r="B34" s="157" t="s">
        <v>39</v>
      </c>
      <c r="C34" s="158">
        <v>9.5000000000000001E-2</v>
      </c>
      <c r="D34" s="162">
        <f>IF(AND(C4*12&gt;=150000),0.17*C4*C6,0.17*C4)</f>
        <v>30792.95</v>
      </c>
      <c r="E34" s="105">
        <f t="shared" si="8"/>
        <v>2925.33025</v>
      </c>
      <c r="F34" s="165">
        <v>9.5000000000000001E-2</v>
      </c>
      <c r="G34" s="106">
        <f>IF(AND(C4*12&gt;=150000),0.17*C4*C7,0.17*C4)</f>
        <v>30792.95</v>
      </c>
      <c r="H34" s="33">
        <f t="shared" si="9"/>
        <v>2925.33025</v>
      </c>
      <c r="I34" s="159">
        <f>H34-E34</f>
        <v>0</v>
      </c>
      <c r="J34" s="160">
        <f t="shared" si="10"/>
        <v>0</v>
      </c>
    </row>
    <row r="35" spans="2:10" x14ac:dyDescent="0.2">
      <c r="B35" s="127" t="s">
        <v>40</v>
      </c>
      <c r="C35" s="135">
        <v>0.13200000000000001</v>
      </c>
      <c r="D35" s="163">
        <f>IF(AND(C4*12&gt;=150000),0.18*C4*C6,0.18*C4)</f>
        <v>32604.299999999996</v>
      </c>
      <c r="E35" s="133">
        <f t="shared" si="8"/>
        <v>4303.7675999999992</v>
      </c>
      <c r="F35" s="135">
        <v>0.13200000000000001</v>
      </c>
      <c r="G35" s="132">
        <f>IF(AND(C4*12&gt;=150000),0.18*C4*C7,0.18*C4)</f>
        <v>32604.299999999996</v>
      </c>
      <c r="H35" s="134">
        <f t="shared" si="9"/>
        <v>4303.7675999999992</v>
      </c>
      <c r="I35" s="136">
        <f>H35-E35</f>
        <v>0</v>
      </c>
      <c r="J35" s="149">
        <f t="shared" si="10"/>
        <v>0</v>
      </c>
    </row>
    <row r="36" spans="2:10" x14ac:dyDescent="0.2">
      <c r="B36" s="46"/>
      <c r="C36" s="66"/>
      <c r="D36" s="67"/>
      <c r="E36" s="68"/>
      <c r="F36" s="66"/>
      <c r="G36" s="67"/>
      <c r="H36" s="68"/>
      <c r="I36" s="69"/>
      <c r="J36" s="70"/>
    </row>
    <row r="37" spans="2:10" x14ac:dyDescent="0.2">
      <c r="B37" s="128" t="s">
        <v>43</v>
      </c>
      <c r="C37" s="71"/>
      <c r="D37" s="72"/>
      <c r="E37" s="73">
        <f>SUM(E28:E35,E27)</f>
        <v>40665.593099999998</v>
      </c>
      <c r="F37" s="74"/>
      <c r="G37" s="74"/>
      <c r="H37" s="73">
        <f>SUM(H28:H35,H27)</f>
        <v>42802.178100000005</v>
      </c>
      <c r="I37" s="75">
        <f>H37-E37</f>
        <v>2136.5850000000064</v>
      </c>
      <c r="J37" s="76">
        <f>IF((E37)=0,"",(I37/E37))</f>
        <v>5.2540362432338568E-2</v>
      </c>
    </row>
    <row r="38" spans="2:10" x14ac:dyDescent="0.2">
      <c r="B38" s="129" t="s">
        <v>44</v>
      </c>
      <c r="C38" s="45">
        <v>0.13</v>
      </c>
      <c r="D38" s="30"/>
      <c r="E38" s="31">
        <f>E37*C38</f>
        <v>5286.5271030000004</v>
      </c>
      <c r="F38" s="32">
        <v>0.13</v>
      </c>
      <c r="G38" s="15"/>
      <c r="H38" s="31">
        <f>H37*F38</f>
        <v>5564.2831530000012</v>
      </c>
      <c r="I38" s="33">
        <f>H38-E38</f>
        <v>277.75605000000087</v>
      </c>
      <c r="J38" s="34">
        <f>IF((E38)=0,"",(I38/E38))</f>
        <v>5.2540362432338568E-2</v>
      </c>
    </row>
    <row r="39" spans="2:10" x14ac:dyDescent="0.2">
      <c r="B39" s="130" t="s">
        <v>46</v>
      </c>
      <c r="C39" s="77"/>
      <c r="D39" s="78"/>
      <c r="E39" s="35">
        <f>E37+E38</f>
        <v>45952.120202999999</v>
      </c>
      <c r="F39" s="79"/>
      <c r="G39" s="79"/>
      <c r="H39" s="35">
        <f>H37+H38</f>
        <v>48366.461253000009</v>
      </c>
      <c r="I39" s="80">
        <f>H39-E39</f>
        <v>2414.34105000001</v>
      </c>
      <c r="J39" s="81">
        <f>IF((E39)=0,"",(I39/E39))</f>
        <v>5.254036243233863E-2</v>
      </c>
    </row>
    <row r="40" spans="2:10" x14ac:dyDescent="0.2">
      <c r="B40" s="46"/>
      <c r="C40" s="66"/>
      <c r="D40" s="67"/>
      <c r="E40" s="68"/>
      <c r="F40" s="66"/>
      <c r="G40" s="67"/>
      <c r="H40" s="68"/>
      <c r="I40" s="69"/>
      <c r="J40" s="70"/>
    </row>
  </sheetData>
  <dataConsolidate/>
  <mergeCells count="10">
    <mergeCell ref="I9:J9"/>
    <mergeCell ref="D10:D11"/>
    <mergeCell ref="G10:G11"/>
    <mergeCell ref="I10:I11"/>
    <mergeCell ref="J10:J11"/>
    <mergeCell ref="C2:H2"/>
    <mergeCell ref="C3:E3"/>
    <mergeCell ref="B9:B11"/>
    <mergeCell ref="C9:E9"/>
    <mergeCell ref="F9:H9"/>
  </mergeCells>
  <pageMargins left="0.7" right="0.7" top="0.75" bottom="0.75" header="0.3" footer="0.3"/>
  <pageSetup scale="72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'Data for Bill Impacts'!$A$3:$A$9</xm:f>
          </x14:formula1>
          <xm:sqref>C2</xm:sqref>
        </x14:dataValidation>
        <x14:dataValidation type="list" allowBlank="1" showInputMessage="1" showErrorMessage="1">
          <x14:formula1>
            <xm:f>'Data for Bill Impacts'!$A$12:$A$14</xm:f>
          </x14:formula1>
          <xm:sqref>C3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38"/>
  <sheetViews>
    <sheetView topLeftCell="A10" workbookViewId="0">
      <selection activeCell="C29" sqref="C29"/>
    </sheetView>
  </sheetViews>
  <sheetFormatPr defaultRowHeight="15" x14ac:dyDescent="0.25"/>
  <cols>
    <col min="2" max="2" width="39" bestFit="1" customWidth="1"/>
    <col min="3" max="4" width="10.28515625" bestFit="1" customWidth="1"/>
    <col min="5" max="5" width="14" bestFit="1" customWidth="1"/>
    <col min="6" max="6" width="9.28515625" bestFit="1" customWidth="1"/>
    <col min="7" max="7" width="10.28515625" bestFit="1" customWidth="1"/>
    <col min="8" max="8" width="14" bestFit="1" customWidth="1"/>
    <col min="9" max="9" width="11.85546875" bestFit="1" customWidth="1"/>
  </cols>
  <sheetData>
    <row r="2" spans="2:10" x14ac:dyDescent="0.25">
      <c r="B2" s="1" t="s">
        <v>0</v>
      </c>
      <c r="C2" s="217" t="s">
        <v>67</v>
      </c>
      <c r="D2" s="218"/>
      <c r="E2" s="218"/>
      <c r="F2" s="218"/>
      <c r="G2" s="218"/>
      <c r="H2" s="219"/>
      <c r="I2" s="2"/>
      <c r="J2" s="2"/>
    </row>
    <row r="3" spans="2:10" x14ac:dyDescent="0.25">
      <c r="B3" s="1" t="s">
        <v>1</v>
      </c>
      <c r="C3" s="220" t="s">
        <v>81</v>
      </c>
      <c r="D3" s="221"/>
      <c r="E3" s="222"/>
      <c r="F3" s="36"/>
      <c r="G3" s="36"/>
      <c r="H3" s="37"/>
      <c r="I3" s="37"/>
      <c r="J3" s="37"/>
    </row>
    <row r="4" spans="2:10" ht="15.75" x14ac:dyDescent="0.25">
      <c r="B4" s="1" t="s">
        <v>2</v>
      </c>
      <c r="C4" s="3">
        <f>VLOOKUP($C$2,'Data for Bill Impacts'!$A$3:$AD$9,3,0)</f>
        <v>6055000</v>
      </c>
      <c r="D4" s="4" t="s">
        <v>3</v>
      </c>
      <c r="E4" s="5"/>
      <c r="F4" s="37"/>
      <c r="G4" s="37"/>
      <c r="H4" s="38"/>
      <c r="I4" s="38"/>
      <c r="J4" s="38"/>
    </row>
    <row r="5" spans="2:10" ht="15.75" x14ac:dyDescent="0.25">
      <c r="B5" s="1" t="s">
        <v>4</v>
      </c>
      <c r="C5" s="3">
        <f>VLOOKUP($C$2,'Data for Bill Impacts'!$A$3:$AD$9,4,0)</f>
        <v>18970</v>
      </c>
      <c r="D5" s="6" t="s">
        <v>5</v>
      </c>
      <c r="E5" s="7"/>
      <c r="F5" s="8"/>
      <c r="G5" s="8"/>
      <c r="H5" s="8"/>
      <c r="I5" s="2"/>
      <c r="J5" s="2"/>
    </row>
    <row r="6" spans="2:10" x14ac:dyDescent="0.25">
      <c r="B6" s="1" t="s">
        <v>6</v>
      </c>
      <c r="C6" s="100">
        <f>VLOOKUP($C$2,'Data for Bill Impacts'!$A$3:$AD$9,2,0)</f>
        <v>1.0287999999999999</v>
      </c>
      <c r="D6" s="2"/>
      <c r="E6" s="2"/>
      <c r="F6" s="2"/>
      <c r="G6" s="2"/>
      <c r="H6" s="2"/>
      <c r="I6" s="2"/>
      <c r="J6" s="2"/>
    </row>
    <row r="7" spans="2:10" x14ac:dyDescent="0.25">
      <c r="B7" s="1" t="s">
        <v>7</v>
      </c>
      <c r="C7" s="9">
        <f>C6</f>
        <v>1.0287999999999999</v>
      </c>
      <c r="D7" s="2"/>
      <c r="E7" s="2"/>
      <c r="F7" s="2"/>
      <c r="G7" s="2"/>
      <c r="H7" s="2"/>
      <c r="I7" s="2"/>
      <c r="J7" s="2"/>
    </row>
    <row r="8" spans="2:10" x14ac:dyDescent="0.25">
      <c r="B8" s="5"/>
      <c r="C8" s="2"/>
      <c r="D8" s="2"/>
      <c r="E8" s="2"/>
      <c r="F8" s="2"/>
      <c r="G8" s="2"/>
      <c r="H8" s="2"/>
      <c r="I8" s="2"/>
      <c r="J8" s="2"/>
    </row>
    <row r="9" spans="2:10" x14ac:dyDescent="0.25">
      <c r="B9" s="223"/>
      <c r="C9" s="228" t="s">
        <v>8</v>
      </c>
      <c r="D9" s="226"/>
      <c r="E9" s="227"/>
      <c r="F9" s="228" t="s">
        <v>9</v>
      </c>
      <c r="G9" s="226"/>
      <c r="H9" s="227"/>
      <c r="I9" s="228" t="s">
        <v>10</v>
      </c>
      <c r="J9" s="227"/>
    </row>
    <row r="10" spans="2:10" x14ac:dyDescent="0.25">
      <c r="B10" s="224"/>
      <c r="C10" s="12" t="s">
        <v>11</v>
      </c>
      <c r="D10" s="229" t="s">
        <v>12</v>
      </c>
      <c r="E10" s="11" t="s">
        <v>13</v>
      </c>
      <c r="F10" s="10" t="s">
        <v>11</v>
      </c>
      <c r="G10" s="229" t="s">
        <v>12</v>
      </c>
      <c r="H10" s="11" t="s">
        <v>13</v>
      </c>
      <c r="I10" s="231" t="s">
        <v>14</v>
      </c>
      <c r="J10" s="233" t="s">
        <v>15</v>
      </c>
    </row>
    <row r="11" spans="2:10" x14ac:dyDescent="0.25">
      <c r="B11" s="225"/>
      <c r="C11" s="14" t="s">
        <v>16</v>
      </c>
      <c r="D11" s="230"/>
      <c r="E11" s="14" t="s">
        <v>16</v>
      </c>
      <c r="F11" s="13" t="s">
        <v>16</v>
      </c>
      <c r="G11" s="230"/>
      <c r="H11" s="14" t="s">
        <v>16</v>
      </c>
      <c r="I11" s="232"/>
      <c r="J11" s="234"/>
    </row>
    <row r="12" spans="2:10" x14ac:dyDescent="0.25">
      <c r="B12" s="109" t="s">
        <v>17</v>
      </c>
      <c r="C12" s="39">
        <f>VLOOKUP($C$2,'Data for Bill Impacts'!$A$3:$AD$9,6,0)</f>
        <v>464.17</v>
      </c>
      <c r="D12" s="15">
        <v>1</v>
      </c>
      <c r="E12" s="16">
        <f>D12*C12</f>
        <v>464.17</v>
      </c>
      <c r="F12" s="60">
        <f>VLOOKUP($C$2,'Data for Bill Impacts'!$A$3:$AD$9,19,0)</f>
        <v>464.17</v>
      </c>
      <c r="G12" s="17">
        <f>D12</f>
        <v>1</v>
      </c>
      <c r="H12" s="16">
        <f>G12*F12</f>
        <v>464.17</v>
      </c>
      <c r="I12" s="18">
        <f t="shared" ref="I12:I31" si="0">H12-E12</f>
        <v>0</v>
      </c>
      <c r="J12" s="19">
        <f>IF(ISERROR(I12/E12), "", I12/E12)</f>
        <v>0</v>
      </c>
    </row>
    <row r="13" spans="2:10" x14ac:dyDescent="0.25">
      <c r="B13" s="110" t="s">
        <v>18</v>
      </c>
      <c r="C13" s="56">
        <f>VLOOKUP($C$2,'Data for Bill Impacts'!$A$3:$AD$9,8,0)</f>
        <v>1.4303999999999999</v>
      </c>
      <c r="D13" s="15">
        <f>IF($C5&gt;0, $C5, $C4)</f>
        <v>18970</v>
      </c>
      <c r="E13" s="16">
        <f t="shared" ref="E13:E21" si="1">D13*C13</f>
        <v>27134.687999999998</v>
      </c>
      <c r="F13" s="59">
        <f>VLOOKUP($C$2,'Data for Bill Impacts'!$A$3:$AD$9,21,0)</f>
        <v>1.4303999999999999</v>
      </c>
      <c r="G13" s="15">
        <f>D13</f>
        <v>18970</v>
      </c>
      <c r="H13" s="16">
        <f>G13*F13</f>
        <v>27134.687999999998</v>
      </c>
      <c r="I13" s="18">
        <f t="shared" si="0"/>
        <v>0</v>
      </c>
      <c r="J13" s="19">
        <f t="shared" ref="J13:J21" si="2">IF(ISERROR(I13/E13), "", I13/E13)</f>
        <v>0</v>
      </c>
    </row>
    <row r="14" spans="2:10" x14ac:dyDescent="0.25">
      <c r="B14" s="111" t="s">
        <v>19</v>
      </c>
      <c r="C14" s="39">
        <f>VLOOKUP($C$2,'Data for Bill Impacts'!$A$3:$AD$9,10,0)</f>
        <v>-4.6399999999999997</v>
      </c>
      <c r="D14" s="15">
        <v>1</v>
      </c>
      <c r="E14" s="16">
        <f t="shared" si="1"/>
        <v>-4.6399999999999997</v>
      </c>
      <c r="F14" s="60">
        <f>VLOOKUP($C$2,'Data for Bill Impacts'!$A$3:$AD$9,23,0)</f>
        <v>-4.6399999999999997</v>
      </c>
      <c r="G14" s="17">
        <f>D14</f>
        <v>1</v>
      </c>
      <c r="H14" s="16">
        <f t="shared" ref="H14:H21" si="3">G14*F14</f>
        <v>-4.6399999999999997</v>
      </c>
      <c r="I14" s="18">
        <f t="shared" si="0"/>
        <v>0</v>
      </c>
      <c r="J14" s="19">
        <f t="shared" si="2"/>
        <v>0</v>
      </c>
    </row>
    <row r="15" spans="2:10" x14ac:dyDescent="0.25">
      <c r="B15" s="110" t="s">
        <v>20</v>
      </c>
      <c r="C15" s="40">
        <f>VLOOKUP($C$2,'Data for Bill Impacts'!$A$3:$AD$9,11,0)+VLOOKUP($C$2,'Data for Bill Impacts'!$A$3:$AD$9,16,0)</f>
        <v>-1.43E-2</v>
      </c>
      <c r="D15" s="15">
        <f>D13</f>
        <v>18970</v>
      </c>
      <c r="E15" s="16">
        <f t="shared" si="1"/>
        <v>-271.27100000000002</v>
      </c>
      <c r="F15" s="58">
        <f>VLOOKUP($C$2,'Data for Bill Impacts'!$A$3:$AD$9,24,0)+VLOOKUP($C$2,'Data for Bill Impacts'!$A$3:$AD$9,28,0)</f>
        <v>-1.43E-2</v>
      </c>
      <c r="G15" s="17">
        <f>D15</f>
        <v>18970</v>
      </c>
      <c r="H15" s="16">
        <f t="shared" si="3"/>
        <v>-271.27100000000002</v>
      </c>
      <c r="I15" s="18">
        <f t="shared" si="0"/>
        <v>0</v>
      </c>
      <c r="J15" s="101">
        <f t="shared" si="2"/>
        <v>0</v>
      </c>
    </row>
    <row r="16" spans="2:10" x14ac:dyDescent="0.25">
      <c r="B16" s="112" t="s">
        <v>21</v>
      </c>
      <c r="C16" s="89"/>
      <c r="D16" s="90"/>
      <c r="E16" s="91">
        <f>SUM(E12:E15)</f>
        <v>27322.946999999996</v>
      </c>
      <c r="F16" s="92"/>
      <c r="G16" s="93"/>
      <c r="H16" s="91">
        <f>SUM(H12:H15)</f>
        <v>27322.946999999996</v>
      </c>
      <c r="I16" s="87">
        <f t="shared" si="0"/>
        <v>0</v>
      </c>
      <c r="J16" s="88">
        <f>IF((E16)=0,"",(I16/E16))</f>
        <v>0</v>
      </c>
    </row>
    <row r="17" spans="2:10" x14ac:dyDescent="0.25">
      <c r="B17" s="113" t="s">
        <v>22</v>
      </c>
      <c r="C17" s="40">
        <f>IF((C4*12&gt;=150000), 0, IF(C3="RPP",(#REF!*0.65+#REF!*0.17+#REF!*0.18),IF(C3="Non-RPP (Retailer)",#REF!,C33)))</f>
        <v>0</v>
      </c>
      <c r="D17" s="20">
        <f>IF(C17=0, 0, $C4*C6-C4)</f>
        <v>0</v>
      </c>
      <c r="E17" s="16">
        <f>D17*C17</f>
        <v>0</v>
      </c>
      <c r="F17" s="57">
        <f>IF((C4*12&gt;=150000), 0, IF(C3="RPP",(#REF!*0.65+#REF!*0.17+#REF!*0.18),IF(C3="Non-RPP (Retailer)",#REF!,F33)))</f>
        <v>0</v>
      </c>
      <c r="G17" s="20">
        <f>IF(F17=0, 0, C4*C7-C4)</f>
        <v>0</v>
      </c>
      <c r="H17" s="16">
        <f>G17*F17</f>
        <v>0</v>
      </c>
      <c r="I17" s="18">
        <f>H17-E17</f>
        <v>0</v>
      </c>
      <c r="J17" s="19" t="str">
        <f>IF(ISERROR(I17/E17), "", I17/E17)</f>
        <v/>
      </c>
    </row>
    <row r="18" spans="2:10" x14ac:dyDescent="0.25">
      <c r="B18" s="114" t="s">
        <v>23</v>
      </c>
      <c r="C18" s="39">
        <f>VLOOKUP($C$2,'Data for Bill Impacts'!$A$3:$AD$9,14,0)</f>
        <v>-0.36629999999999985</v>
      </c>
      <c r="D18" s="21">
        <f>D13</f>
        <v>18970</v>
      </c>
      <c r="E18" s="16">
        <f t="shared" si="1"/>
        <v>-6948.7109999999975</v>
      </c>
      <c r="F18" s="59">
        <f>VLOOKUP($C$2,'Data for Bill Impacts'!$A$3:$AD$9,27,0)</f>
        <v>-2.4037000000000002</v>
      </c>
      <c r="G18" s="21">
        <f t="shared" ref="G18:G23" si="4">D18</f>
        <v>18970</v>
      </c>
      <c r="H18" s="16">
        <f t="shared" si="3"/>
        <v>-45598.189000000006</v>
      </c>
      <c r="I18" s="18">
        <f t="shared" si="0"/>
        <v>-38649.47800000001</v>
      </c>
      <c r="J18" s="19">
        <f t="shared" si="2"/>
        <v>5.562107562107566</v>
      </c>
    </row>
    <row r="19" spans="2:10" x14ac:dyDescent="0.25">
      <c r="B19" s="114" t="s">
        <v>24</v>
      </c>
      <c r="C19" s="40">
        <v>0</v>
      </c>
      <c r="D19" s="21">
        <f>D13</f>
        <v>18970</v>
      </c>
      <c r="E19" s="16">
        <f>D19*C19</f>
        <v>0</v>
      </c>
      <c r="F19" s="59">
        <v>0</v>
      </c>
      <c r="G19" s="21">
        <f t="shared" si="4"/>
        <v>18970</v>
      </c>
      <c r="H19" s="16">
        <f>G19*F19</f>
        <v>0</v>
      </c>
      <c r="I19" s="18">
        <f t="shared" si="0"/>
        <v>0</v>
      </c>
      <c r="J19" s="19" t="str">
        <f t="shared" si="2"/>
        <v/>
      </c>
    </row>
    <row r="20" spans="2:10" x14ac:dyDescent="0.25">
      <c r="B20" s="114" t="s">
        <v>25</v>
      </c>
      <c r="C20" s="56">
        <f>IF(C3="RPP",0,VLOOKUP($C$2,'Data for Bill Impacts'!$A$3:$AD$9,15,0))</f>
        <v>3.3E-3</v>
      </c>
      <c r="D20" s="21">
        <f>C4</f>
        <v>6055000</v>
      </c>
      <c r="E20" s="16">
        <f>D20*C20</f>
        <v>19981.5</v>
      </c>
      <c r="F20" s="59">
        <f>IF(C3="RPP",0,VLOOKUP($C$2,'Data for Bill Impacts'!$A$3:$AD$9,26,0))</f>
        <v>1.6999999999999999E-3</v>
      </c>
      <c r="G20" s="21">
        <f t="shared" si="4"/>
        <v>6055000</v>
      </c>
      <c r="H20" s="16">
        <f t="shared" si="3"/>
        <v>10293.5</v>
      </c>
      <c r="I20" s="18">
        <f t="shared" si="0"/>
        <v>-9688</v>
      </c>
      <c r="J20" s="19">
        <f t="shared" si="2"/>
        <v>-0.48484848484848486</v>
      </c>
    </row>
    <row r="21" spans="2:10" x14ac:dyDescent="0.25">
      <c r="B21" s="115" t="s">
        <v>26</v>
      </c>
      <c r="C21" s="56">
        <f>VLOOKUP($C$2,'Data for Bill Impacts'!$A$3:$AD$9,9,0)+VLOOKUP($C$2,'Data for Bill Impacts'!$A$3:$AD$9,12,0)</f>
        <v>0</v>
      </c>
      <c r="D21" s="21">
        <f>D13</f>
        <v>18970</v>
      </c>
      <c r="E21" s="16">
        <f t="shared" si="1"/>
        <v>0</v>
      </c>
      <c r="F21" s="59">
        <f>VLOOKUP($C$2,'Data for Bill Impacts'!$A$3:$AD$9,22,0)+VLOOKUP($C$2,'Data for Bill Impacts'!$A$3:$AD$9,25,0)</f>
        <v>0</v>
      </c>
      <c r="G21" s="21">
        <f t="shared" si="4"/>
        <v>18970</v>
      </c>
      <c r="H21" s="16">
        <f t="shared" si="3"/>
        <v>0</v>
      </c>
      <c r="I21" s="18">
        <f t="shared" si="0"/>
        <v>0</v>
      </c>
      <c r="J21" s="19" t="str">
        <f t="shared" si="2"/>
        <v/>
      </c>
    </row>
    <row r="22" spans="2:10" ht="51" x14ac:dyDescent="0.25">
      <c r="B22" s="116" t="s">
        <v>27</v>
      </c>
      <c r="C22" s="39">
        <f>VLOOKUP($C$2,'Data for Bill Impacts'!$A$3:$AD$9,7,0)</f>
        <v>0</v>
      </c>
      <c r="D22" s="15">
        <v>1</v>
      </c>
      <c r="E22" s="16">
        <f>D22*C22</f>
        <v>0</v>
      </c>
      <c r="F22" s="60">
        <f>VLOOKUP($C$2,'Data for Bill Impacts'!$A$3:$AD$9,20,0)</f>
        <v>0</v>
      </c>
      <c r="G22" s="15">
        <f t="shared" si="4"/>
        <v>1</v>
      </c>
      <c r="H22" s="16">
        <f>G22*F22</f>
        <v>0</v>
      </c>
      <c r="I22" s="18">
        <f t="shared" si="0"/>
        <v>0</v>
      </c>
      <c r="J22" s="19" t="str">
        <f>IF(ISERROR(I22/E22), "", I22/E22)</f>
        <v/>
      </c>
    </row>
    <row r="23" spans="2:10" x14ac:dyDescent="0.25">
      <c r="B23" s="115" t="s">
        <v>28</v>
      </c>
      <c r="C23" s="40">
        <v>0</v>
      </c>
      <c r="D23" s="21">
        <f>D13</f>
        <v>18970</v>
      </c>
      <c r="E23" s="16">
        <f>D23*C23</f>
        <v>0</v>
      </c>
      <c r="F23" s="57">
        <v>0</v>
      </c>
      <c r="G23" s="21">
        <f t="shared" si="4"/>
        <v>18970</v>
      </c>
      <c r="H23" s="16">
        <f>G23*F23</f>
        <v>0</v>
      </c>
      <c r="I23" s="18">
        <f t="shared" si="0"/>
        <v>0</v>
      </c>
      <c r="J23" s="19" t="str">
        <f>IF(ISERROR(I23/E23), "", I23/E23)</f>
        <v/>
      </c>
    </row>
    <row r="24" spans="2:10" ht="25.5" x14ac:dyDescent="0.25">
      <c r="B24" s="117" t="s">
        <v>29</v>
      </c>
      <c r="C24" s="82"/>
      <c r="D24" s="83"/>
      <c r="E24" s="84">
        <f>SUM(E16:E23)</f>
        <v>40355.735999999997</v>
      </c>
      <c r="F24" s="85"/>
      <c r="G24" s="86"/>
      <c r="H24" s="84">
        <f>SUM(H16:H23)</f>
        <v>-7981.7420000000093</v>
      </c>
      <c r="I24" s="87">
        <f t="shared" si="0"/>
        <v>-48337.478000000003</v>
      </c>
      <c r="J24" s="88">
        <f>IF((E24)=0,"",(I24/E24))</f>
        <v>-1.1977845726813161</v>
      </c>
    </row>
    <row r="25" spans="2:10" x14ac:dyDescent="0.25">
      <c r="B25" s="118" t="s">
        <v>30</v>
      </c>
      <c r="C25" s="61">
        <f>VLOOKUP($C$2,'Data for Bill Impacts'!$A$3:$AD$9,17,0)</f>
        <v>2.9981</v>
      </c>
      <c r="D25" s="20">
        <f>IF($C5&gt;0, $C5, $C4*$C6)</f>
        <v>18970</v>
      </c>
      <c r="E25" s="16">
        <f>D25*C25</f>
        <v>56873.957000000002</v>
      </c>
      <c r="F25" s="59">
        <f>VLOOKUP($C$2,'Data for Bill Impacts'!$A$3:$AD$9,29,0)</f>
        <v>2.9691999999999998</v>
      </c>
      <c r="G25" s="20">
        <f>D25</f>
        <v>18970</v>
      </c>
      <c r="H25" s="16">
        <f>G25*F25</f>
        <v>56325.723999999995</v>
      </c>
      <c r="I25" s="18">
        <f t="shared" si="0"/>
        <v>-548.23300000000745</v>
      </c>
      <c r="J25" s="19">
        <f>IF(ISERROR(I25/E25), "", I25/E25)</f>
        <v>-9.6394383109303858E-3</v>
      </c>
    </row>
    <row r="26" spans="2:10" ht="25.5" x14ac:dyDescent="0.25">
      <c r="B26" s="119" t="s">
        <v>31</v>
      </c>
      <c r="C26" s="62">
        <f>VLOOKUP($C$2,'Data for Bill Impacts'!$A$3:$AD$9,18,0)</f>
        <v>2.6509</v>
      </c>
      <c r="D26" s="20">
        <f>D25</f>
        <v>18970</v>
      </c>
      <c r="E26" s="16">
        <f>D26*C26</f>
        <v>50287.573000000004</v>
      </c>
      <c r="F26" s="59">
        <f>VLOOKUP($C$2,'Data for Bill Impacts'!$A$3:$AD$9,30,0)</f>
        <v>2.6461000000000001</v>
      </c>
      <c r="G26" s="20">
        <f>D26</f>
        <v>18970</v>
      </c>
      <c r="H26" s="16">
        <f>G26*F26</f>
        <v>50196.517</v>
      </c>
      <c r="I26" s="18">
        <f t="shared" si="0"/>
        <v>-91.056000000004133</v>
      </c>
      <c r="J26" s="19">
        <f>IF(ISERROR(I26/E26), "", I26/E26)</f>
        <v>-1.8107057980309394E-3</v>
      </c>
    </row>
    <row r="27" spans="2:10" ht="25.5" x14ac:dyDescent="0.25">
      <c r="B27" s="117" t="s">
        <v>32</v>
      </c>
      <c r="C27" s="82"/>
      <c r="D27" s="83"/>
      <c r="E27" s="84">
        <f>SUM(E24:E26)</f>
        <v>147517.266</v>
      </c>
      <c r="F27" s="94"/>
      <c r="G27" s="93"/>
      <c r="H27" s="84">
        <f>SUM(H24:H26)</f>
        <v>98540.498999999982</v>
      </c>
      <c r="I27" s="87">
        <f t="shared" si="0"/>
        <v>-48976.767000000022</v>
      </c>
      <c r="J27" s="88">
        <f>IF((E27)=0,"",(I27/E27))</f>
        <v>-0.33200701401285476</v>
      </c>
    </row>
    <row r="28" spans="2:10" x14ac:dyDescent="0.25">
      <c r="B28" s="120" t="s">
        <v>33</v>
      </c>
      <c r="C28" s="63">
        <v>3.6000000000000003E-3</v>
      </c>
      <c r="D28" s="20">
        <f>C4*C6</f>
        <v>6229384</v>
      </c>
      <c r="E28" s="22">
        <f t="shared" ref="E28:E31" si="5">D28*C28</f>
        <v>22425.782400000004</v>
      </c>
      <c r="F28" s="57">
        <v>3.6000000000000003E-3</v>
      </c>
      <c r="G28" s="20">
        <f>C4*C7</f>
        <v>6229384</v>
      </c>
      <c r="H28" s="22">
        <f t="shared" ref="H28:H31" si="6">G28*F28</f>
        <v>22425.782400000004</v>
      </c>
      <c r="I28" s="18">
        <f t="shared" si="0"/>
        <v>0</v>
      </c>
      <c r="J28" s="19">
        <f t="shared" ref="J28:J33" si="7">IF(ISERROR(I28/E28), "", I28/E28)</f>
        <v>0</v>
      </c>
    </row>
    <row r="29" spans="2:10" x14ac:dyDescent="0.25">
      <c r="B29" s="121" t="s">
        <v>34</v>
      </c>
      <c r="C29" s="40">
        <v>2.9999999999999997E-4</v>
      </c>
      <c r="D29" s="20">
        <f>C4*C6</f>
        <v>6229384</v>
      </c>
      <c r="E29" s="22">
        <f t="shared" si="5"/>
        <v>1868.8151999999998</v>
      </c>
      <c r="F29" s="57">
        <v>2.9999999999999997E-4</v>
      </c>
      <c r="G29" s="20">
        <f>C4*C7</f>
        <v>6229384</v>
      </c>
      <c r="H29" s="22">
        <f t="shared" si="6"/>
        <v>1868.8151999999998</v>
      </c>
      <c r="I29" s="18">
        <f t="shared" si="0"/>
        <v>0</v>
      </c>
      <c r="J29" s="19">
        <f t="shared" si="7"/>
        <v>0</v>
      </c>
    </row>
    <row r="30" spans="2:10" x14ac:dyDescent="0.25">
      <c r="B30" s="122" t="s">
        <v>35</v>
      </c>
      <c r="C30" s="41">
        <v>0.25</v>
      </c>
      <c r="D30" s="15">
        <v>1</v>
      </c>
      <c r="E30" s="22">
        <f t="shared" si="5"/>
        <v>0.25</v>
      </c>
      <c r="F30" s="102">
        <v>0.25</v>
      </c>
      <c r="G30" s="17">
        <v>1</v>
      </c>
      <c r="H30" s="22">
        <f t="shared" si="6"/>
        <v>0.25</v>
      </c>
      <c r="I30" s="18">
        <f t="shared" si="0"/>
        <v>0</v>
      </c>
      <c r="J30" s="19">
        <f t="shared" si="7"/>
        <v>0</v>
      </c>
    </row>
    <row r="31" spans="2:10" x14ac:dyDescent="0.25">
      <c r="B31" s="123" t="s">
        <v>36</v>
      </c>
      <c r="C31" s="43">
        <v>7.0000000000000001E-3</v>
      </c>
      <c r="D31" s="21">
        <f>C4</f>
        <v>6055000</v>
      </c>
      <c r="E31" s="106">
        <f t="shared" si="5"/>
        <v>42385</v>
      </c>
      <c r="F31" s="105">
        <f>C31</f>
        <v>7.0000000000000001E-3</v>
      </c>
      <c r="G31" s="21">
        <f>D31</f>
        <v>6055000</v>
      </c>
      <c r="H31" s="106">
        <f t="shared" si="6"/>
        <v>42385</v>
      </c>
      <c r="I31" s="33">
        <f t="shared" si="0"/>
        <v>0</v>
      </c>
      <c r="J31" s="107">
        <f t="shared" si="7"/>
        <v>0</v>
      </c>
    </row>
    <row r="32" spans="2:10" ht="25.5" x14ac:dyDescent="0.25">
      <c r="B32" s="124" t="s">
        <v>37</v>
      </c>
      <c r="C32" s="95"/>
      <c r="D32" s="96"/>
      <c r="E32" s="97"/>
      <c r="F32" s="104"/>
      <c r="G32" s="96"/>
      <c r="H32" s="97"/>
      <c r="I32" s="98"/>
      <c r="J32" s="99"/>
    </row>
    <row r="33" spans="2:10" x14ac:dyDescent="0.25">
      <c r="B33" s="127" t="s">
        <v>42</v>
      </c>
      <c r="C33" s="44">
        <v>0.1101</v>
      </c>
      <c r="D33" s="27">
        <f>IF(AND(C4*12&gt;=150000),C4*C6,C4)</f>
        <v>6229384</v>
      </c>
      <c r="E33" s="22">
        <f>D33*C33</f>
        <v>685855.17839999998</v>
      </c>
      <c r="F33" s="28">
        <f>C33</f>
        <v>0.1101</v>
      </c>
      <c r="G33" s="27">
        <f>IF(AND(C4*12&gt;=150000),C4*C7,C4)</f>
        <v>6229384</v>
      </c>
      <c r="H33" s="22">
        <f>G33*F33</f>
        <v>685855.17839999998</v>
      </c>
      <c r="I33" s="18">
        <f>H33-E33</f>
        <v>0</v>
      </c>
      <c r="J33" s="19">
        <f t="shared" si="7"/>
        <v>0</v>
      </c>
    </row>
    <row r="34" spans="2:10" x14ac:dyDescent="0.25">
      <c r="B34" s="46"/>
      <c r="C34" s="66"/>
      <c r="D34" s="67"/>
      <c r="E34" s="68"/>
      <c r="F34" s="66"/>
      <c r="G34" s="67"/>
      <c r="H34" s="68"/>
      <c r="I34" s="69"/>
      <c r="J34" s="70"/>
    </row>
    <row r="35" spans="2:10" x14ac:dyDescent="0.25">
      <c r="B35" s="128" t="s">
        <v>43</v>
      </c>
      <c r="C35" s="71"/>
      <c r="D35" s="72"/>
      <c r="E35" s="73">
        <f>SUM(E28:E33,E27)</f>
        <v>900052.2919999999</v>
      </c>
      <c r="F35" s="74"/>
      <c r="G35" s="74"/>
      <c r="H35" s="73">
        <f>SUM(H28:H33,H27)</f>
        <v>851075.52499999991</v>
      </c>
      <c r="I35" s="75">
        <f>H35-E35</f>
        <v>-48976.766999999993</v>
      </c>
      <c r="J35" s="76">
        <f>IF((E35)=0,"",(I35/E35))</f>
        <v>-5.441546834036616E-2</v>
      </c>
    </row>
    <row r="36" spans="2:10" x14ac:dyDescent="0.25">
      <c r="B36" s="129" t="s">
        <v>44</v>
      </c>
      <c r="C36" s="45">
        <v>0.13</v>
      </c>
      <c r="D36" s="30"/>
      <c r="E36" s="31">
        <f>E35*C36</f>
        <v>117006.79796</v>
      </c>
      <c r="F36" s="32">
        <v>0.13</v>
      </c>
      <c r="G36" s="15"/>
      <c r="H36" s="31">
        <f>H35*F36</f>
        <v>110639.81825</v>
      </c>
      <c r="I36" s="33">
        <f>H36-E36</f>
        <v>-6366.9797099999996</v>
      </c>
      <c r="J36" s="34">
        <f>IF((E36)=0,"",(I36/E36))</f>
        <v>-5.441546834036616E-2</v>
      </c>
    </row>
    <row r="37" spans="2:10" x14ac:dyDescent="0.25">
      <c r="B37" s="130" t="s">
        <v>46</v>
      </c>
      <c r="C37" s="77"/>
      <c r="D37" s="78"/>
      <c r="E37" s="35">
        <f>E35+E36</f>
        <v>1017059.0899599999</v>
      </c>
      <c r="F37" s="79"/>
      <c r="G37" s="79"/>
      <c r="H37" s="35">
        <f>H35+H36</f>
        <v>961715.34324999992</v>
      </c>
      <c r="I37" s="80">
        <f>H37-E37</f>
        <v>-55343.746709999978</v>
      </c>
      <c r="J37" s="81">
        <f>IF((E37)=0,"",(I37/E37))</f>
        <v>-5.4415468340366147E-2</v>
      </c>
    </row>
    <row r="38" spans="2:10" x14ac:dyDescent="0.25">
      <c r="B38" s="46"/>
      <c r="C38" s="66"/>
      <c r="D38" s="67"/>
      <c r="E38" s="68"/>
      <c r="F38" s="66"/>
      <c r="G38" s="67"/>
      <c r="H38" s="68"/>
      <c r="I38" s="69"/>
      <c r="J38" s="70"/>
    </row>
  </sheetData>
  <dataConsolidate/>
  <mergeCells count="10">
    <mergeCell ref="I9:J9"/>
    <mergeCell ref="D10:D11"/>
    <mergeCell ref="G10:G11"/>
    <mergeCell ref="I10:I11"/>
    <mergeCell ref="J10:J11"/>
    <mergeCell ref="C2:H2"/>
    <mergeCell ref="C3:E3"/>
    <mergeCell ref="B9:B11"/>
    <mergeCell ref="C9:E9"/>
    <mergeCell ref="F9:H9"/>
  </mergeCells>
  <pageMargins left="0.7" right="0.7" top="0.75" bottom="0.75" header="0.3" footer="0.3"/>
  <pageSetup scale="72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'Data for Bill Impacts'!$A$12:$A$14</xm:f>
          </x14:formula1>
          <xm:sqref>C3</xm:sqref>
        </x14:dataValidation>
        <x14:dataValidation type="list" allowBlank="1" showInputMessage="1" showErrorMessage="1">
          <x14:formula1>
            <xm:f>'Data for Bill Impacts'!$A$3:$A$9</xm:f>
          </x14:formula1>
          <xm:sqref>C2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41"/>
  <sheetViews>
    <sheetView topLeftCell="A11" workbookViewId="0">
      <selection activeCell="C29" sqref="C29"/>
    </sheetView>
  </sheetViews>
  <sheetFormatPr defaultRowHeight="15" x14ac:dyDescent="0.25"/>
  <cols>
    <col min="2" max="2" width="39" bestFit="1" customWidth="1"/>
    <col min="6" max="6" width="9.85546875" bestFit="1" customWidth="1"/>
  </cols>
  <sheetData>
    <row r="2" spans="2:10" x14ac:dyDescent="0.25">
      <c r="B2" s="1" t="s">
        <v>0</v>
      </c>
      <c r="C2" s="217" t="s">
        <v>47</v>
      </c>
      <c r="D2" s="218"/>
      <c r="E2" s="218"/>
      <c r="F2" s="218"/>
      <c r="G2" s="218"/>
      <c r="H2" s="219"/>
      <c r="I2" s="2"/>
      <c r="J2" s="2"/>
    </row>
    <row r="3" spans="2:10" x14ac:dyDescent="0.25">
      <c r="B3" s="1" t="s">
        <v>1</v>
      </c>
      <c r="C3" s="220" t="s">
        <v>80</v>
      </c>
      <c r="D3" s="221"/>
      <c r="E3" s="222"/>
      <c r="F3" s="36"/>
      <c r="G3" s="36"/>
      <c r="H3" s="37"/>
      <c r="I3" s="37"/>
      <c r="J3" s="37"/>
    </row>
    <row r="4" spans="2:10" ht="15.75" x14ac:dyDescent="0.25">
      <c r="B4" s="1" t="s">
        <v>2</v>
      </c>
      <c r="C4" s="3">
        <f>VLOOKUP($C$2,'Data for Bill Impacts'!$A$3:$AD$9,3,0)</f>
        <v>750</v>
      </c>
      <c r="D4" s="4" t="s">
        <v>3</v>
      </c>
      <c r="E4" s="5"/>
      <c r="F4" s="37"/>
      <c r="G4" s="37"/>
      <c r="H4" s="38"/>
      <c r="I4" s="38"/>
      <c r="J4" s="38"/>
    </row>
    <row r="5" spans="2:10" ht="15.75" x14ac:dyDescent="0.25">
      <c r="B5" s="1" t="s">
        <v>4</v>
      </c>
      <c r="C5" s="3">
        <f>VLOOKUP($C$2,'Data for Bill Impacts'!$A$3:$AD$9,4,0)</f>
        <v>0</v>
      </c>
      <c r="D5" s="6" t="s">
        <v>5</v>
      </c>
      <c r="E5" s="7"/>
      <c r="F5" s="8"/>
      <c r="G5" s="8"/>
      <c r="H5" s="8"/>
      <c r="I5" s="2"/>
      <c r="J5" s="2"/>
    </row>
    <row r="6" spans="2:10" x14ac:dyDescent="0.25">
      <c r="B6" s="1" t="s">
        <v>6</v>
      </c>
      <c r="C6" s="100">
        <f>VLOOKUP($C$2,'Data for Bill Impacts'!$A$3:$AD$9,2,0)</f>
        <v>1.0654999999999999</v>
      </c>
      <c r="D6" s="2"/>
      <c r="E6" s="2"/>
      <c r="F6" s="2"/>
      <c r="G6" s="2"/>
      <c r="H6" s="2"/>
      <c r="I6" s="2"/>
      <c r="J6" s="2"/>
    </row>
    <row r="7" spans="2:10" x14ac:dyDescent="0.25">
      <c r="B7" s="1" t="s">
        <v>7</v>
      </c>
      <c r="C7" s="9">
        <f>C6</f>
        <v>1.0654999999999999</v>
      </c>
      <c r="D7" s="2"/>
      <c r="E7" s="2"/>
      <c r="F7" s="2"/>
      <c r="G7" s="2"/>
      <c r="H7" s="2"/>
      <c r="I7" s="2"/>
      <c r="J7" s="2"/>
    </row>
    <row r="8" spans="2:10" x14ac:dyDescent="0.25">
      <c r="B8" s="5"/>
      <c r="C8" s="2"/>
      <c r="D8" s="2"/>
      <c r="E8" s="2"/>
      <c r="F8" s="2"/>
      <c r="G8" s="2"/>
      <c r="H8" s="2"/>
      <c r="I8" s="2"/>
      <c r="J8" s="2"/>
    </row>
    <row r="9" spans="2:10" x14ac:dyDescent="0.25">
      <c r="B9" s="223"/>
      <c r="C9" s="226" t="s">
        <v>8</v>
      </c>
      <c r="D9" s="226"/>
      <c r="E9" s="227"/>
      <c r="F9" s="228" t="s">
        <v>9</v>
      </c>
      <c r="G9" s="226"/>
      <c r="H9" s="227"/>
      <c r="I9" s="228" t="s">
        <v>10</v>
      </c>
      <c r="J9" s="227"/>
    </row>
    <row r="10" spans="2:10" x14ac:dyDescent="0.25">
      <c r="B10" s="224"/>
      <c r="C10" s="12" t="s">
        <v>11</v>
      </c>
      <c r="D10" s="229" t="s">
        <v>12</v>
      </c>
      <c r="E10" s="11" t="s">
        <v>13</v>
      </c>
      <c r="F10" s="10" t="s">
        <v>11</v>
      </c>
      <c r="G10" s="229" t="s">
        <v>12</v>
      </c>
      <c r="H10" s="11" t="s">
        <v>13</v>
      </c>
      <c r="I10" s="231" t="s">
        <v>14</v>
      </c>
      <c r="J10" s="233" t="s">
        <v>15</v>
      </c>
    </row>
    <row r="11" spans="2:10" x14ac:dyDescent="0.25">
      <c r="B11" s="225"/>
      <c r="C11" s="14" t="s">
        <v>16</v>
      </c>
      <c r="D11" s="230"/>
      <c r="E11" s="14" t="s">
        <v>16</v>
      </c>
      <c r="F11" s="13" t="s">
        <v>16</v>
      </c>
      <c r="G11" s="230"/>
      <c r="H11" s="14" t="s">
        <v>16</v>
      </c>
      <c r="I11" s="232"/>
      <c r="J11" s="234"/>
    </row>
    <row r="12" spans="2:10" x14ac:dyDescent="0.25">
      <c r="B12" s="109" t="s">
        <v>17</v>
      </c>
      <c r="C12" s="39">
        <f>VLOOKUP($C$2,'Data for Bill Impacts'!$A$3:$AD$9,6,0)</f>
        <v>24.47</v>
      </c>
      <c r="D12" s="15">
        <v>1</v>
      </c>
      <c r="E12" s="16">
        <f>D12*C12</f>
        <v>24.47</v>
      </c>
      <c r="F12" s="60">
        <f>VLOOKUP($C$2,'Data for Bill Impacts'!$A$3:$AD$9,19,0)</f>
        <v>28.2</v>
      </c>
      <c r="G12" s="17">
        <f>D12</f>
        <v>1</v>
      </c>
      <c r="H12" s="16">
        <f>G12*F12</f>
        <v>28.2</v>
      </c>
      <c r="I12" s="18">
        <f t="shared" ref="I12:I29" si="0">H12-E12</f>
        <v>3.7300000000000004</v>
      </c>
      <c r="J12" s="19">
        <f>IF(ISERROR(I12/E12), "", I12/E12)</f>
        <v>0.15243154883530857</v>
      </c>
    </row>
    <row r="13" spans="2:10" x14ac:dyDescent="0.25">
      <c r="B13" s="110" t="s">
        <v>18</v>
      </c>
      <c r="C13" s="56">
        <f>VLOOKUP($C$2,'Data for Bill Impacts'!$A$3:$AD$9,8,0)</f>
        <v>1.49E-2</v>
      </c>
      <c r="D13" s="15">
        <f>IF($C5&gt;0, $C5, $C4)</f>
        <v>750</v>
      </c>
      <c r="E13" s="16">
        <f t="shared" ref="E13:E18" si="1">D13*C13</f>
        <v>11.175000000000001</v>
      </c>
      <c r="F13" s="59">
        <f>VLOOKUP($C$2,'Data for Bill Impacts'!$A$3:$AD$9,21,0)</f>
        <v>9.9000000000000008E-3</v>
      </c>
      <c r="G13" s="15">
        <f>D13</f>
        <v>750</v>
      </c>
      <c r="H13" s="16">
        <f>G13*F13</f>
        <v>7.4250000000000007</v>
      </c>
      <c r="I13" s="18">
        <f t="shared" si="0"/>
        <v>-3.75</v>
      </c>
      <c r="J13" s="19">
        <f t="shared" ref="J13:J21" si="2">IF(ISERROR(I13/E13), "", I13/E13)</f>
        <v>-0.33557046979865768</v>
      </c>
    </row>
    <row r="14" spans="2:10" x14ac:dyDescent="0.25">
      <c r="B14" s="111" t="s">
        <v>19</v>
      </c>
      <c r="C14" s="39">
        <f>VLOOKUP($C$2,'Data for Bill Impacts'!$A$3:$AD$9,10,0)</f>
        <v>-0.24</v>
      </c>
      <c r="D14" s="15">
        <v>1</v>
      </c>
      <c r="E14" s="16">
        <f t="shared" si="1"/>
        <v>-0.24</v>
      </c>
      <c r="F14" s="60">
        <f>VLOOKUP($C$2,'Data for Bill Impacts'!$A$3:$AD$9,23,0)</f>
        <v>-0.28000000000000003</v>
      </c>
      <c r="G14" s="17">
        <f>D14</f>
        <v>1</v>
      </c>
      <c r="H14" s="16">
        <f t="shared" ref="H14:H21" si="3">G14*F14</f>
        <v>-0.28000000000000003</v>
      </c>
      <c r="I14" s="18">
        <f t="shared" si="0"/>
        <v>-4.0000000000000036E-2</v>
      </c>
      <c r="J14" s="19">
        <f t="shared" si="2"/>
        <v>0.16666666666666682</v>
      </c>
    </row>
    <row r="15" spans="2:10" x14ac:dyDescent="0.25">
      <c r="B15" s="110" t="s">
        <v>20</v>
      </c>
      <c r="C15" s="40">
        <f>VLOOKUP($C$2,'Data for Bill Impacts'!$A$3:$AD$9,11,0)+VLOOKUP($C$2,'Data for Bill Impacts'!$A$3:$AD$9,16,0)</f>
        <v>-1.5E-3</v>
      </c>
      <c r="D15" s="15">
        <f>D13</f>
        <v>750</v>
      </c>
      <c r="E15" s="16">
        <f t="shared" si="1"/>
        <v>-1.125</v>
      </c>
      <c r="F15" s="58">
        <f>VLOOKUP($C$2,'Data for Bill Impacts'!$A$3:$AD$9,24,0)+VLOOKUP($C$2,'Data for Bill Impacts'!$A$3:$AD$9,28,0)</f>
        <v>-1.4E-3</v>
      </c>
      <c r="G15" s="17">
        <f>D15</f>
        <v>750</v>
      </c>
      <c r="H15" s="16">
        <f t="shared" si="3"/>
        <v>-1.05</v>
      </c>
      <c r="I15" s="18">
        <f t="shared" si="0"/>
        <v>7.4999999999999956E-2</v>
      </c>
      <c r="J15" s="101">
        <f t="shared" si="2"/>
        <v>-6.6666666666666624E-2</v>
      </c>
    </row>
    <row r="16" spans="2:10" x14ac:dyDescent="0.25">
      <c r="B16" s="112" t="s">
        <v>21</v>
      </c>
      <c r="C16" s="89"/>
      <c r="D16" s="90"/>
      <c r="E16" s="91">
        <f>SUM(E12:E15)</f>
        <v>34.279999999999994</v>
      </c>
      <c r="F16" s="92"/>
      <c r="G16" s="93"/>
      <c r="H16" s="91">
        <f>SUM(H12:H15)</f>
        <v>34.295000000000002</v>
      </c>
      <c r="I16" s="87">
        <f t="shared" si="0"/>
        <v>1.5000000000007674E-2</v>
      </c>
      <c r="J16" s="88">
        <f>IF((E16)=0,"",(I16/E16))</f>
        <v>4.375729288216942E-4</v>
      </c>
    </row>
    <row r="17" spans="2:10" x14ac:dyDescent="0.25">
      <c r="B17" s="113" t="s">
        <v>22</v>
      </c>
      <c r="C17" s="40">
        <f>IF((C4*12&gt;=150000), 0, IF(C3="RPP",(C33*0.65+#REF!*0.17+#REF!*0.18),IF(C3="Non-RPP (Retailer)",C34,C35)))</f>
        <v>0.1101</v>
      </c>
      <c r="D17" s="20">
        <f>IF(C17=0, 0, $C4*C6-C4)</f>
        <v>49.124999999999886</v>
      </c>
      <c r="E17" s="16">
        <f>D17*C17</f>
        <v>5.4086624999999877</v>
      </c>
      <c r="F17" s="57">
        <f>IF((C4*12&gt;=150000), 0, IF(C3="RPP",(F33*0.65+#REF!*0.17+#REF!*0.18),IF(C3="Non-RPP (Retailer)",F34,F35)))</f>
        <v>0.1101</v>
      </c>
      <c r="G17" s="20">
        <f>IF(F17=0, 0, C4*C7-C4)</f>
        <v>49.124999999999886</v>
      </c>
      <c r="H17" s="16">
        <f>G17*F17</f>
        <v>5.4086624999999877</v>
      </c>
      <c r="I17" s="18">
        <f>H17-E17</f>
        <v>0</v>
      </c>
      <c r="J17" s="19">
        <f>IF(ISERROR(I17/E17), "", I17/E17)</f>
        <v>0</v>
      </c>
    </row>
    <row r="18" spans="2:10" x14ac:dyDescent="0.25">
      <c r="B18" s="114" t="s">
        <v>23</v>
      </c>
      <c r="C18" s="39">
        <f>VLOOKUP($C$2,'Data for Bill Impacts'!$A$3:$AD$9,14,0)</f>
        <v>-1.03E-2</v>
      </c>
      <c r="D18" s="21">
        <f>D13</f>
        <v>750</v>
      </c>
      <c r="E18" s="16">
        <f t="shared" si="1"/>
        <v>-7.7250000000000005</v>
      </c>
      <c r="F18" s="59">
        <f>VLOOKUP($C$2,'Data for Bill Impacts'!$A$3:$AD$9,27,0)</f>
        <v>5.0000000000000001E-4</v>
      </c>
      <c r="G18" s="21">
        <f t="shared" ref="G18:G23" si="4">D18</f>
        <v>750</v>
      </c>
      <c r="H18" s="16">
        <f t="shared" si="3"/>
        <v>0.375</v>
      </c>
      <c r="I18" s="18">
        <f t="shared" si="0"/>
        <v>8.1000000000000014</v>
      </c>
      <c r="J18" s="19">
        <f t="shared" si="2"/>
        <v>-1.0485436893203886</v>
      </c>
    </row>
    <row r="19" spans="2:10" x14ac:dyDescent="0.25">
      <c r="B19" s="114" t="s">
        <v>24</v>
      </c>
      <c r="C19" s="40">
        <v>0</v>
      </c>
      <c r="D19" s="21">
        <f>D13</f>
        <v>750</v>
      </c>
      <c r="E19" s="16">
        <f>D19*C19</f>
        <v>0</v>
      </c>
      <c r="F19" s="59">
        <v>0</v>
      </c>
      <c r="G19" s="21">
        <f t="shared" si="4"/>
        <v>750</v>
      </c>
      <c r="H19" s="16">
        <f>G19*F19</f>
        <v>0</v>
      </c>
      <c r="I19" s="18">
        <f t="shared" si="0"/>
        <v>0</v>
      </c>
      <c r="J19" s="19" t="str">
        <f t="shared" si="2"/>
        <v/>
      </c>
    </row>
    <row r="20" spans="2:10" x14ac:dyDescent="0.25">
      <c r="B20" s="114" t="s">
        <v>25</v>
      </c>
      <c r="C20" s="39">
        <f>IF(C3="RPP",0,VLOOKUP($C$2,'Data for Bill Impacts'!$A$3:$AD$9,15,0))</f>
        <v>1.6999999999999999E-3</v>
      </c>
      <c r="D20" s="21">
        <f>D13</f>
        <v>750</v>
      </c>
      <c r="E20" s="16">
        <f>D20*C20</f>
        <v>1.2749999999999999</v>
      </c>
      <c r="F20" s="59">
        <f>IF(C3="RPP",0,VLOOKUP($C$2,'Data for Bill Impacts'!$A$3:$AD$9,26,0))</f>
        <v>7.7999999999999996E-3</v>
      </c>
      <c r="G20" s="21">
        <f t="shared" si="4"/>
        <v>750</v>
      </c>
      <c r="H20" s="16">
        <f t="shared" si="3"/>
        <v>5.85</v>
      </c>
      <c r="I20" s="18">
        <f t="shared" si="0"/>
        <v>4.5749999999999993</v>
      </c>
      <c r="J20" s="19">
        <f t="shared" si="2"/>
        <v>3.5882352941176467</v>
      </c>
    </row>
    <row r="21" spans="2:10" x14ac:dyDescent="0.25">
      <c r="B21" s="115" t="s">
        <v>26</v>
      </c>
      <c r="C21" s="56">
        <f>VLOOKUP($C$2,'Data for Bill Impacts'!$A$3:$AD$9,9,0)+VLOOKUP($C$2,'Data for Bill Impacts'!$A$3:$AD$9,12,0)</f>
        <v>4.0000000000000002E-4</v>
      </c>
      <c r="D21" s="21">
        <f>D13</f>
        <v>750</v>
      </c>
      <c r="E21" s="16">
        <f t="shared" ref="E21" si="5">D21*C21</f>
        <v>0.3</v>
      </c>
      <c r="F21" s="59">
        <f>VLOOKUP($C$2,'Data for Bill Impacts'!$A$3:$AD$9,22,0)+VLOOKUP($C$2,'Data for Bill Impacts'!$A$3:$AD$9,25,0)</f>
        <v>4.0000000000000002E-4</v>
      </c>
      <c r="G21" s="21">
        <f t="shared" si="4"/>
        <v>750</v>
      </c>
      <c r="H21" s="16">
        <f t="shared" si="3"/>
        <v>0.3</v>
      </c>
      <c r="I21" s="18">
        <f t="shared" si="0"/>
        <v>0</v>
      </c>
      <c r="J21" s="19">
        <f t="shared" si="2"/>
        <v>0</v>
      </c>
    </row>
    <row r="22" spans="2:10" ht="51" x14ac:dyDescent="0.25">
      <c r="B22" s="116" t="s">
        <v>27</v>
      </c>
      <c r="C22" s="39">
        <f>VLOOKUP($C$2,'Data for Bill Impacts'!$A$3:$AD$9,7,0)</f>
        <v>0.79</v>
      </c>
      <c r="D22" s="15">
        <v>1</v>
      </c>
      <c r="E22" s="16">
        <f>D22*C22</f>
        <v>0.79</v>
      </c>
      <c r="F22" s="60">
        <f>VLOOKUP($C$2,'Data for Bill Impacts'!$A$3:$AD$9,20,0)</f>
        <v>0.79</v>
      </c>
      <c r="G22" s="15">
        <f t="shared" si="4"/>
        <v>1</v>
      </c>
      <c r="H22" s="16">
        <f>G22*F22</f>
        <v>0.79</v>
      </c>
      <c r="I22" s="18">
        <f t="shared" si="0"/>
        <v>0</v>
      </c>
      <c r="J22" s="19">
        <f>IF(ISERROR(I22/E22), "", I22/E22)</f>
        <v>0</v>
      </c>
    </row>
    <row r="23" spans="2:10" x14ac:dyDescent="0.25">
      <c r="B23" s="115" t="s">
        <v>28</v>
      </c>
      <c r="C23" s="40">
        <v>0</v>
      </c>
      <c r="D23" s="21">
        <f>D13</f>
        <v>750</v>
      </c>
      <c r="E23" s="16">
        <f>D23*C23</f>
        <v>0</v>
      </c>
      <c r="F23" s="57">
        <v>0</v>
      </c>
      <c r="G23" s="21">
        <f t="shared" si="4"/>
        <v>750</v>
      </c>
      <c r="H23" s="16">
        <f>G23*F23</f>
        <v>0</v>
      </c>
      <c r="I23" s="18">
        <f t="shared" si="0"/>
        <v>0</v>
      </c>
      <c r="J23" s="19" t="str">
        <f>IF(ISERROR(I23/E23), "", I23/E23)</f>
        <v/>
      </c>
    </row>
    <row r="24" spans="2:10" ht="25.5" x14ac:dyDescent="0.25">
      <c r="B24" s="117" t="s">
        <v>29</v>
      </c>
      <c r="C24" s="82"/>
      <c r="D24" s="83"/>
      <c r="E24" s="84">
        <f>SUM(E16:E23)</f>
        <v>34.328662499999972</v>
      </c>
      <c r="F24" s="85"/>
      <c r="G24" s="86"/>
      <c r="H24" s="84">
        <f>SUM(H16:H23)</f>
        <v>47.018662499999991</v>
      </c>
      <c r="I24" s="87">
        <f t="shared" si="0"/>
        <v>12.690000000000019</v>
      </c>
      <c r="J24" s="88">
        <f>IF((E24)=0,"",(I24/E24))</f>
        <v>0.36966194065964642</v>
      </c>
    </row>
    <row r="25" spans="2:10" x14ac:dyDescent="0.25">
      <c r="B25" s="118" t="s">
        <v>30</v>
      </c>
      <c r="C25" s="61">
        <f>VLOOKUP($C$2,'Data for Bill Impacts'!$A$3:$AD$9,17,0)</f>
        <v>6.4999999999999997E-3</v>
      </c>
      <c r="D25" s="20">
        <f>IF($C5&gt;0, $C5, $C4*$C6)</f>
        <v>799.12499999999989</v>
      </c>
      <c r="E25" s="16">
        <f>D25*C25</f>
        <v>5.1943124999999988</v>
      </c>
      <c r="F25" s="59">
        <f>VLOOKUP($C$2,'Data for Bill Impacts'!$A$3:$AD$9,29,0)</f>
        <v>6.4000000000000003E-3</v>
      </c>
      <c r="G25" s="20">
        <f>D25</f>
        <v>799.12499999999989</v>
      </c>
      <c r="H25" s="16">
        <f>G25*F25</f>
        <v>5.1143999999999998</v>
      </c>
      <c r="I25" s="18">
        <f t="shared" si="0"/>
        <v>-7.9912499999998943E-2</v>
      </c>
      <c r="J25" s="19">
        <f>IF(ISERROR(I25/E25), "", I25/E25)</f>
        <v>-1.5384615384615184E-2</v>
      </c>
    </row>
    <row r="26" spans="2:10" ht="25.5" x14ac:dyDescent="0.25">
      <c r="B26" s="119" t="s">
        <v>31</v>
      </c>
      <c r="C26" s="62">
        <f>VLOOKUP($C$2,'Data for Bill Impacts'!$A$3:$AD$9,18,0)</f>
        <v>5.4000000000000003E-3</v>
      </c>
      <c r="D26" s="20">
        <f>D25</f>
        <v>799.12499999999989</v>
      </c>
      <c r="E26" s="16">
        <f>D26*C26</f>
        <v>4.3152749999999997</v>
      </c>
      <c r="F26" s="59">
        <f>VLOOKUP($C$2,'Data for Bill Impacts'!$A$3:$AD$9,30,0)</f>
        <v>5.4000000000000003E-3</v>
      </c>
      <c r="G26" s="20">
        <f>D26</f>
        <v>799.12499999999989</v>
      </c>
      <c r="H26" s="16">
        <f>G26*F26</f>
        <v>4.3152749999999997</v>
      </c>
      <c r="I26" s="18">
        <f t="shared" si="0"/>
        <v>0</v>
      </c>
      <c r="J26" s="19">
        <f>IF(ISERROR(I26/E26), "", I26/E26)</f>
        <v>0</v>
      </c>
    </row>
    <row r="27" spans="2:10" ht="25.5" x14ac:dyDescent="0.25">
      <c r="B27" s="117" t="s">
        <v>32</v>
      </c>
      <c r="C27" s="82"/>
      <c r="D27" s="83"/>
      <c r="E27" s="84">
        <f>SUM(E24:E26)</f>
        <v>43.838249999999974</v>
      </c>
      <c r="F27" s="94"/>
      <c r="G27" s="93"/>
      <c r="H27" s="84">
        <f>SUM(H24:H26)</f>
        <v>56.448337499999994</v>
      </c>
      <c r="I27" s="87">
        <f t="shared" si="0"/>
        <v>12.61008750000002</v>
      </c>
      <c r="J27" s="88">
        <f>IF((E27)=0,"",(I27/E27))</f>
        <v>0.28765033960069181</v>
      </c>
    </row>
    <row r="28" spans="2:10" x14ac:dyDescent="0.25">
      <c r="B28" s="120" t="s">
        <v>33</v>
      </c>
      <c r="C28" s="63">
        <v>3.6000000000000003E-3</v>
      </c>
      <c r="D28" s="20">
        <f>C4*C6</f>
        <v>799.12499999999989</v>
      </c>
      <c r="E28" s="22">
        <f t="shared" ref="E28:E33" si="6">D28*C28</f>
        <v>2.8768499999999997</v>
      </c>
      <c r="F28" s="57">
        <v>3.6000000000000003E-3</v>
      </c>
      <c r="G28" s="20">
        <f>C4*C7</f>
        <v>799.12499999999989</v>
      </c>
      <c r="H28" s="22">
        <f t="shared" ref="H28:H33" si="7">G28*F28</f>
        <v>2.8768499999999997</v>
      </c>
      <c r="I28" s="18">
        <f t="shared" si="0"/>
        <v>0</v>
      </c>
      <c r="J28" s="19">
        <f t="shared" ref="J28:J35" si="8">IF(ISERROR(I28/E28), "", I28/E28)</f>
        <v>0</v>
      </c>
    </row>
    <row r="29" spans="2:10" x14ac:dyDescent="0.25">
      <c r="B29" s="121" t="s">
        <v>34</v>
      </c>
      <c r="C29" s="40">
        <v>2.9999999999999997E-4</v>
      </c>
      <c r="D29" s="20">
        <f>C4*C6</f>
        <v>799.12499999999989</v>
      </c>
      <c r="E29" s="22">
        <f t="shared" si="6"/>
        <v>0.23973749999999994</v>
      </c>
      <c r="F29" s="57">
        <v>2.9999999999999997E-4</v>
      </c>
      <c r="G29" s="20">
        <f>C4*C7</f>
        <v>799.12499999999989</v>
      </c>
      <c r="H29" s="22">
        <f t="shared" si="7"/>
        <v>0.23973749999999994</v>
      </c>
      <c r="I29" s="18">
        <f t="shared" si="0"/>
        <v>0</v>
      </c>
      <c r="J29" s="19">
        <f t="shared" si="8"/>
        <v>0</v>
      </c>
    </row>
    <row r="30" spans="2:10" x14ac:dyDescent="0.25">
      <c r="B30" s="131" t="s">
        <v>35</v>
      </c>
      <c r="C30" s="167"/>
      <c r="D30" s="168"/>
      <c r="E30" s="97"/>
      <c r="F30" s="169"/>
      <c r="G30" s="170"/>
      <c r="H30" s="97"/>
      <c r="I30" s="98"/>
      <c r="J30" s="99"/>
    </row>
    <row r="31" spans="2:10" x14ac:dyDescent="0.25">
      <c r="B31" s="131" t="s">
        <v>36</v>
      </c>
      <c r="C31" s="42"/>
      <c r="D31" s="23"/>
      <c r="E31" s="24"/>
      <c r="F31" s="103"/>
      <c r="G31" s="23"/>
      <c r="H31" s="24"/>
      <c r="I31" s="25"/>
      <c r="J31" s="26"/>
    </row>
    <row r="32" spans="2:10" ht="25.5" x14ac:dyDescent="0.25">
      <c r="B32" s="124" t="s">
        <v>37</v>
      </c>
      <c r="C32" s="95"/>
      <c r="D32" s="96"/>
      <c r="E32" s="97"/>
      <c r="F32" s="104"/>
      <c r="G32" s="96"/>
      <c r="H32" s="97"/>
      <c r="I32" s="98"/>
      <c r="J32" s="99"/>
    </row>
    <row r="33" spans="2:10" x14ac:dyDescent="0.25">
      <c r="B33" s="125" t="s">
        <v>41</v>
      </c>
      <c r="C33" s="43">
        <v>0.1101</v>
      </c>
      <c r="D33" s="27">
        <f>C4</f>
        <v>750</v>
      </c>
      <c r="E33" s="22">
        <f t="shared" si="6"/>
        <v>82.575000000000003</v>
      </c>
      <c r="F33" s="105">
        <v>0.1101</v>
      </c>
      <c r="G33" s="27">
        <f>D33</f>
        <v>750</v>
      </c>
      <c r="H33" s="22">
        <f t="shared" si="7"/>
        <v>82.575000000000003</v>
      </c>
      <c r="I33" s="18">
        <f>H33-E33</f>
        <v>0</v>
      </c>
      <c r="J33" s="19">
        <f t="shared" si="8"/>
        <v>0</v>
      </c>
    </row>
    <row r="34" spans="2:10" hidden="1" x14ac:dyDescent="0.25">
      <c r="B34" s="64" t="s">
        <v>41</v>
      </c>
      <c r="C34" s="44">
        <v>0.1101</v>
      </c>
      <c r="D34" s="27">
        <f>IF(AND(C4*12&gt;=150000),C4*C6,C4)</f>
        <v>750</v>
      </c>
      <c r="E34" s="22">
        <f>D34*C34</f>
        <v>82.575000000000003</v>
      </c>
      <c r="F34" s="28">
        <f>C34</f>
        <v>0.1101</v>
      </c>
      <c r="G34" s="27">
        <f>IF(AND(C4*12&gt;=150000),C4*C7,C4)</f>
        <v>750</v>
      </c>
      <c r="H34" s="22">
        <f>G34*F34</f>
        <v>82.575000000000003</v>
      </c>
      <c r="I34" s="18">
        <f>H34-E34</f>
        <v>0</v>
      </c>
      <c r="J34" s="19">
        <f t="shared" si="8"/>
        <v>0</v>
      </c>
    </row>
    <row r="35" spans="2:10" hidden="1" x14ac:dyDescent="0.25">
      <c r="B35" s="65" t="s">
        <v>42</v>
      </c>
      <c r="C35" s="44">
        <v>0.1101</v>
      </c>
      <c r="D35" s="27">
        <f>IF(AND(C4*12&gt;=150000),C4*C6,C4)</f>
        <v>750</v>
      </c>
      <c r="E35" s="22">
        <f>D35*C35</f>
        <v>82.575000000000003</v>
      </c>
      <c r="F35" s="28">
        <f>C35</f>
        <v>0.1101</v>
      </c>
      <c r="G35" s="27">
        <f>IF(AND(C4*12&gt;=150000),C4*C7,C4)</f>
        <v>750</v>
      </c>
      <c r="H35" s="22">
        <f>G35*F35</f>
        <v>82.575000000000003</v>
      </c>
      <c r="I35" s="18">
        <f>H35-E35</f>
        <v>0</v>
      </c>
      <c r="J35" s="19">
        <f t="shared" si="8"/>
        <v>0</v>
      </c>
    </row>
    <row r="36" spans="2:10" x14ac:dyDescent="0.25">
      <c r="B36" s="46"/>
      <c r="C36" s="66"/>
      <c r="D36" s="67"/>
      <c r="E36" s="68"/>
      <c r="F36" s="66"/>
      <c r="G36" s="67"/>
      <c r="H36" s="68"/>
      <c r="I36" s="69"/>
      <c r="J36" s="70"/>
    </row>
    <row r="37" spans="2:10" x14ac:dyDescent="0.25">
      <c r="B37" s="128" t="s">
        <v>43</v>
      </c>
      <c r="C37" s="71"/>
      <c r="D37" s="72"/>
      <c r="E37" s="73">
        <f>SUM(E28:E33,E27)</f>
        <v>129.52983749999999</v>
      </c>
      <c r="F37" s="74"/>
      <c r="G37" s="74"/>
      <c r="H37" s="73">
        <f>SUM(H28:H33,H27)</f>
        <v>142.13992500000001</v>
      </c>
      <c r="I37" s="75">
        <f>H37-E37</f>
        <v>12.61008750000002</v>
      </c>
      <c r="J37" s="76">
        <f>IF((E37)=0,"",(I37/E37))</f>
        <v>9.7352762447494162E-2</v>
      </c>
    </row>
    <row r="38" spans="2:10" x14ac:dyDescent="0.25">
      <c r="B38" s="129" t="s">
        <v>44</v>
      </c>
      <c r="C38" s="45">
        <v>0.13</v>
      </c>
      <c r="D38" s="30"/>
      <c r="E38" s="31">
        <f>E37*C38</f>
        <v>16.838878874999999</v>
      </c>
      <c r="F38" s="32">
        <v>0.13</v>
      </c>
      <c r="G38" s="15"/>
      <c r="H38" s="31">
        <f>H37*F38</f>
        <v>18.478190250000001</v>
      </c>
      <c r="I38" s="33">
        <f>H38-E38</f>
        <v>1.6393113750000019</v>
      </c>
      <c r="J38" s="34">
        <f>IF((E38)=0,"",(I38/E38))</f>
        <v>9.7352762447494121E-2</v>
      </c>
    </row>
    <row r="39" spans="2:10" x14ac:dyDescent="0.25">
      <c r="B39" s="129" t="s">
        <v>45</v>
      </c>
      <c r="C39" s="45">
        <v>0.08</v>
      </c>
      <c r="D39" s="30"/>
      <c r="E39" s="31"/>
      <c r="F39" s="29">
        <f>C39</f>
        <v>0.08</v>
      </c>
      <c r="G39" s="15"/>
      <c r="H39" s="31"/>
      <c r="I39" s="33"/>
      <c r="J39" s="34"/>
    </row>
    <row r="40" spans="2:10" x14ac:dyDescent="0.25">
      <c r="B40" s="130" t="s">
        <v>46</v>
      </c>
      <c r="C40" s="77"/>
      <c r="D40" s="78"/>
      <c r="E40" s="35">
        <f>E37+E38</f>
        <v>146.36871637499999</v>
      </c>
      <c r="F40" s="79"/>
      <c r="G40" s="79"/>
      <c r="H40" s="35">
        <f>H37+H38</f>
        <v>160.61811525000002</v>
      </c>
      <c r="I40" s="80">
        <f>H40-E40</f>
        <v>14.249398875000026</v>
      </c>
      <c r="J40" s="81">
        <f>IF((E40)=0,"",(I40/E40))</f>
        <v>9.7352762447494176E-2</v>
      </c>
    </row>
    <row r="41" spans="2:10" x14ac:dyDescent="0.25">
      <c r="B41" s="46"/>
      <c r="C41" s="66"/>
      <c r="D41" s="67"/>
      <c r="E41" s="68"/>
      <c r="F41" s="66"/>
      <c r="G41" s="67"/>
      <c r="H41" s="68"/>
      <c r="I41" s="69"/>
      <c r="J41" s="70"/>
    </row>
  </sheetData>
  <dataConsolidate/>
  <mergeCells count="10">
    <mergeCell ref="I9:J9"/>
    <mergeCell ref="D10:D11"/>
    <mergeCell ref="G10:G11"/>
    <mergeCell ref="I10:I11"/>
    <mergeCell ref="J10:J11"/>
    <mergeCell ref="C2:H2"/>
    <mergeCell ref="C3:E3"/>
    <mergeCell ref="B9:B11"/>
    <mergeCell ref="C9:E9"/>
    <mergeCell ref="F9:H9"/>
  </mergeCells>
  <pageMargins left="0.7" right="0.7" top="0.75" bottom="0.75" header="0.3" footer="0.3"/>
  <pageSetup scale="74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'Data for Bill Impacts'!$A$12:$A$14</xm:f>
          </x14:formula1>
          <xm:sqref>C3</xm:sqref>
        </x14:dataValidation>
        <x14:dataValidation type="list" allowBlank="1" showInputMessage="1" showErrorMessage="1">
          <x14:formula1>
            <xm:f>'Data for Bill Impacts'!$A$3:$A$9</xm:f>
          </x14:formula1>
          <xm:sqref>C2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41"/>
  <sheetViews>
    <sheetView workbookViewId="0">
      <selection activeCell="C29" sqref="C29"/>
    </sheetView>
  </sheetViews>
  <sheetFormatPr defaultRowHeight="15" x14ac:dyDescent="0.25"/>
  <cols>
    <col min="2" max="2" width="39" bestFit="1" customWidth="1"/>
    <col min="6" max="6" width="9.85546875" bestFit="1" customWidth="1"/>
  </cols>
  <sheetData>
    <row r="2" spans="2:10" x14ac:dyDescent="0.25">
      <c r="B2" s="1" t="s">
        <v>0</v>
      </c>
      <c r="C2" s="217" t="s">
        <v>65</v>
      </c>
      <c r="D2" s="218"/>
      <c r="E2" s="218"/>
      <c r="F2" s="218"/>
      <c r="G2" s="218"/>
      <c r="H2" s="219"/>
      <c r="I2" s="2"/>
      <c r="J2" s="2"/>
    </row>
    <row r="3" spans="2:10" x14ac:dyDescent="0.25">
      <c r="B3" s="1" t="s">
        <v>1</v>
      </c>
      <c r="C3" s="220" t="s">
        <v>80</v>
      </c>
      <c r="D3" s="221"/>
      <c r="E3" s="222"/>
      <c r="F3" s="36"/>
      <c r="G3" s="36"/>
      <c r="H3" s="37"/>
      <c r="I3" s="37"/>
      <c r="J3" s="37"/>
    </row>
    <row r="4" spans="2:10" ht="15.75" x14ac:dyDescent="0.25">
      <c r="B4" s="1" t="s">
        <v>2</v>
      </c>
      <c r="C4" s="3">
        <f>VLOOKUP($C$2,'Data for Bill Impacts'!$A$3:$AD$9,3,0)</f>
        <v>2000</v>
      </c>
      <c r="D4" s="4" t="s">
        <v>3</v>
      </c>
      <c r="E4" s="5"/>
      <c r="F4" s="37"/>
      <c r="G4" s="37"/>
      <c r="H4" s="38"/>
      <c r="I4" s="38"/>
      <c r="J4" s="38"/>
    </row>
    <row r="5" spans="2:10" ht="15.75" x14ac:dyDescent="0.25">
      <c r="B5" s="1" t="s">
        <v>4</v>
      </c>
      <c r="C5" s="3">
        <f>VLOOKUP($C$2,'Data for Bill Impacts'!$A$3:$AD$9,4,0)</f>
        <v>0</v>
      </c>
      <c r="D5" s="6" t="s">
        <v>5</v>
      </c>
      <c r="E5" s="7"/>
      <c r="F5" s="8"/>
      <c r="G5" s="8"/>
      <c r="H5" s="8"/>
      <c r="I5" s="2"/>
      <c r="J5" s="2"/>
    </row>
    <row r="6" spans="2:10" x14ac:dyDescent="0.25">
      <c r="B6" s="1" t="s">
        <v>6</v>
      </c>
      <c r="C6" s="100">
        <f>VLOOKUP($C$2,'Data for Bill Impacts'!$A$3:$AD$9,2,0)</f>
        <v>1.0654999999999999</v>
      </c>
      <c r="D6" s="2"/>
      <c r="E6" s="2"/>
      <c r="F6" s="2"/>
      <c r="G6" s="2"/>
      <c r="H6" s="2"/>
      <c r="I6" s="2"/>
      <c r="J6" s="2"/>
    </row>
    <row r="7" spans="2:10" x14ac:dyDescent="0.25">
      <c r="B7" s="1" t="s">
        <v>7</v>
      </c>
      <c r="C7" s="9">
        <f>C6</f>
        <v>1.0654999999999999</v>
      </c>
      <c r="D7" s="2"/>
      <c r="E7" s="2"/>
      <c r="F7" s="2"/>
      <c r="G7" s="2"/>
      <c r="H7" s="2"/>
      <c r="I7" s="2"/>
      <c r="J7" s="2"/>
    </row>
    <row r="8" spans="2:10" x14ac:dyDescent="0.25">
      <c r="B8" s="5"/>
      <c r="C8" s="2"/>
      <c r="D8" s="2"/>
      <c r="E8" s="2"/>
      <c r="F8" s="2"/>
      <c r="G8" s="2"/>
      <c r="H8" s="2"/>
      <c r="I8" s="2"/>
      <c r="J8" s="2"/>
    </row>
    <row r="9" spans="2:10" x14ac:dyDescent="0.25">
      <c r="B9" s="223"/>
      <c r="C9" s="226" t="s">
        <v>8</v>
      </c>
      <c r="D9" s="226"/>
      <c r="E9" s="227"/>
      <c r="F9" s="228" t="s">
        <v>9</v>
      </c>
      <c r="G9" s="226"/>
      <c r="H9" s="227"/>
      <c r="I9" s="228" t="s">
        <v>10</v>
      </c>
      <c r="J9" s="227"/>
    </row>
    <row r="10" spans="2:10" x14ac:dyDescent="0.25">
      <c r="B10" s="224"/>
      <c r="C10" s="12" t="s">
        <v>11</v>
      </c>
      <c r="D10" s="229" t="s">
        <v>12</v>
      </c>
      <c r="E10" s="11" t="s">
        <v>13</v>
      </c>
      <c r="F10" s="10" t="s">
        <v>11</v>
      </c>
      <c r="G10" s="229" t="s">
        <v>12</v>
      </c>
      <c r="H10" s="11" t="s">
        <v>13</v>
      </c>
      <c r="I10" s="231" t="s">
        <v>14</v>
      </c>
      <c r="J10" s="233" t="s">
        <v>15</v>
      </c>
    </row>
    <row r="11" spans="2:10" x14ac:dyDescent="0.25">
      <c r="B11" s="225"/>
      <c r="C11" s="14" t="s">
        <v>16</v>
      </c>
      <c r="D11" s="230"/>
      <c r="E11" s="14" t="s">
        <v>16</v>
      </c>
      <c r="F11" s="13" t="s">
        <v>16</v>
      </c>
      <c r="G11" s="230"/>
      <c r="H11" s="14" t="s">
        <v>16</v>
      </c>
      <c r="I11" s="232"/>
      <c r="J11" s="234"/>
    </row>
    <row r="12" spans="2:10" x14ac:dyDescent="0.25">
      <c r="B12" s="109" t="s">
        <v>17</v>
      </c>
      <c r="C12" s="39">
        <f>VLOOKUP($C$2,'Data for Bill Impacts'!$A$3:$AD$9,6,0)</f>
        <v>26.94</v>
      </c>
      <c r="D12" s="15">
        <v>1</v>
      </c>
      <c r="E12" s="16">
        <f>D12*C12</f>
        <v>26.94</v>
      </c>
      <c r="F12" s="60">
        <f>VLOOKUP($C$2,'Data for Bill Impacts'!$A$3:$AD$9,19,0)</f>
        <v>26.94</v>
      </c>
      <c r="G12" s="17">
        <f>D12</f>
        <v>1</v>
      </c>
      <c r="H12" s="16">
        <f>G12*F12</f>
        <v>26.94</v>
      </c>
      <c r="I12" s="18">
        <f t="shared" ref="I12:I29" si="0">H12-E12</f>
        <v>0</v>
      </c>
      <c r="J12" s="19">
        <f>IF(ISERROR(I12/E12), "", I12/E12)</f>
        <v>0</v>
      </c>
    </row>
    <row r="13" spans="2:10" x14ac:dyDescent="0.25">
      <c r="B13" s="110" t="s">
        <v>18</v>
      </c>
      <c r="C13" s="56">
        <f>VLOOKUP($C$2,'Data for Bill Impacts'!$A$3:$AD$9,8,0)</f>
        <v>1.9E-2</v>
      </c>
      <c r="D13" s="15">
        <f>IF($C5&gt;0, $C5, $C4)</f>
        <v>2000</v>
      </c>
      <c r="E13" s="16">
        <f t="shared" ref="E13:E18" si="1">D13*C13</f>
        <v>38</v>
      </c>
      <c r="F13" s="59">
        <f>VLOOKUP($C$2,'Data for Bill Impacts'!$A$3:$AD$9,21,0)</f>
        <v>1.9E-2</v>
      </c>
      <c r="G13" s="15">
        <f>D13</f>
        <v>2000</v>
      </c>
      <c r="H13" s="16">
        <f>G13*F13</f>
        <v>38</v>
      </c>
      <c r="I13" s="18">
        <f t="shared" si="0"/>
        <v>0</v>
      </c>
      <c r="J13" s="19">
        <f t="shared" ref="J13:J21" si="2">IF(ISERROR(I13/E13), "", I13/E13)</f>
        <v>0</v>
      </c>
    </row>
    <row r="14" spans="2:10" x14ac:dyDescent="0.25">
      <c r="B14" s="111" t="s">
        <v>19</v>
      </c>
      <c r="C14" s="39">
        <f>VLOOKUP($C$2,'Data for Bill Impacts'!$A$3:$AD$9,10,0)</f>
        <v>-0.27</v>
      </c>
      <c r="D14" s="15">
        <v>1</v>
      </c>
      <c r="E14" s="16">
        <f t="shared" si="1"/>
        <v>-0.27</v>
      </c>
      <c r="F14" s="60">
        <f>VLOOKUP($C$2,'Data for Bill Impacts'!$A$3:$AD$9,23,0)</f>
        <v>-0.27</v>
      </c>
      <c r="G14" s="17">
        <f>D14</f>
        <v>1</v>
      </c>
      <c r="H14" s="16">
        <f t="shared" ref="H14:H21" si="3">G14*F14</f>
        <v>-0.27</v>
      </c>
      <c r="I14" s="18">
        <f t="shared" si="0"/>
        <v>0</v>
      </c>
      <c r="J14" s="19">
        <f t="shared" si="2"/>
        <v>0</v>
      </c>
    </row>
    <row r="15" spans="2:10" x14ac:dyDescent="0.25">
      <c r="B15" s="110" t="s">
        <v>20</v>
      </c>
      <c r="C15" s="40">
        <f>VLOOKUP($C$2,'Data for Bill Impacts'!$A$3:$AD$9,11,0)+VLOOKUP($C$2,'Data for Bill Impacts'!$A$3:$AD$9,16,0)</f>
        <v>-1E-3</v>
      </c>
      <c r="D15" s="15">
        <f>D13</f>
        <v>2000</v>
      </c>
      <c r="E15" s="16">
        <f t="shared" si="1"/>
        <v>-2</v>
      </c>
      <c r="F15" s="58">
        <f>VLOOKUP($C$2,'Data for Bill Impacts'!$A$3:$AD$9,24,0)+VLOOKUP($C$2,'Data for Bill Impacts'!$A$3:$AD$9,28,0)</f>
        <v>-1E-3</v>
      </c>
      <c r="G15" s="17">
        <f>D15</f>
        <v>2000</v>
      </c>
      <c r="H15" s="16">
        <f t="shared" si="3"/>
        <v>-2</v>
      </c>
      <c r="I15" s="18">
        <f t="shared" si="0"/>
        <v>0</v>
      </c>
      <c r="J15" s="101">
        <f t="shared" si="2"/>
        <v>0</v>
      </c>
    </row>
    <row r="16" spans="2:10" x14ac:dyDescent="0.25">
      <c r="B16" s="112" t="s">
        <v>21</v>
      </c>
      <c r="C16" s="89"/>
      <c r="D16" s="90"/>
      <c r="E16" s="91">
        <f>SUM(E12:E15)</f>
        <v>62.67</v>
      </c>
      <c r="F16" s="92"/>
      <c r="G16" s="93"/>
      <c r="H16" s="91">
        <f>SUM(H12:H15)</f>
        <v>62.67</v>
      </c>
      <c r="I16" s="87">
        <f t="shared" si="0"/>
        <v>0</v>
      </c>
      <c r="J16" s="88">
        <f>IF((E16)=0,"",(I16/E16))</f>
        <v>0</v>
      </c>
    </row>
    <row r="17" spans="2:10" x14ac:dyDescent="0.25">
      <c r="B17" s="113" t="s">
        <v>22</v>
      </c>
      <c r="C17" s="40">
        <f>IF((C4*12&gt;=150000), 0, IF(C3="RPP",(C33*0.65+#REF!*0.17+#REF!*0.18),IF(C3="Non-RPP (Retailer)",C34,C35)))</f>
        <v>0.1101</v>
      </c>
      <c r="D17" s="20">
        <f>IF(C17=0, 0, $C4*C6-C4)</f>
        <v>131</v>
      </c>
      <c r="E17" s="16">
        <f>D17*C17</f>
        <v>14.4231</v>
      </c>
      <c r="F17" s="57">
        <f>IF((C4*12&gt;=150000), 0, IF(C3="RPP",(F33*0.65+#REF!*0.17+#REF!*0.18),IF(C3="Non-RPP (Retailer)",F34,F35)))</f>
        <v>0.1101</v>
      </c>
      <c r="G17" s="20">
        <f>IF(F17=0, 0, C4*C7-C4)</f>
        <v>131</v>
      </c>
      <c r="H17" s="16">
        <f>G17*F17</f>
        <v>14.4231</v>
      </c>
      <c r="I17" s="18">
        <f>H17-E17</f>
        <v>0</v>
      </c>
      <c r="J17" s="19">
        <f>IF(ISERROR(I17/E17), "", I17/E17)</f>
        <v>0</v>
      </c>
    </row>
    <row r="18" spans="2:10" x14ac:dyDescent="0.25">
      <c r="B18" s="114" t="s">
        <v>23</v>
      </c>
      <c r="C18" s="39">
        <f>VLOOKUP($C$2,'Data for Bill Impacts'!$A$3:$AD$9,14,0)</f>
        <v>-1.03E-2</v>
      </c>
      <c r="D18" s="21">
        <f>D13</f>
        <v>2000</v>
      </c>
      <c r="E18" s="16">
        <f t="shared" si="1"/>
        <v>-20.6</v>
      </c>
      <c r="F18" s="59">
        <f>VLOOKUP($C$2,'Data for Bill Impacts'!$A$3:$AD$9,27,0)</f>
        <v>5.0000000000000001E-4</v>
      </c>
      <c r="G18" s="21">
        <f t="shared" ref="G18:G23" si="4">D18</f>
        <v>2000</v>
      </c>
      <c r="H18" s="16">
        <f t="shared" si="3"/>
        <v>1</v>
      </c>
      <c r="I18" s="18">
        <f t="shared" si="0"/>
        <v>21.6</v>
      </c>
      <c r="J18" s="19">
        <f t="shared" si="2"/>
        <v>-1.0485436893203883</v>
      </c>
    </row>
    <row r="19" spans="2:10" x14ac:dyDescent="0.25">
      <c r="B19" s="114" t="s">
        <v>24</v>
      </c>
      <c r="C19" s="40">
        <v>0</v>
      </c>
      <c r="D19" s="21">
        <f>D13</f>
        <v>2000</v>
      </c>
      <c r="E19" s="16">
        <f>D19*C19</f>
        <v>0</v>
      </c>
      <c r="F19" s="59">
        <v>0</v>
      </c>
      <c r="G19" s="21">
        <f t="shared" si="4"/>
        <v>2000</v>
      </c>
      <c r="H19" s="16">
        <f>G19*F19</f>
        <v>0</v>
      </c>
      <c r="I19" s="18">
        <f t="shared" si="0"/>
        <v>0</v>
      </c>
      <c r="J19" s="19" t="str">
        <f t="shared" si="2"/>
        <v/>
      </c>
    </row>
    <row r="20" spans="2:10" x14ac:dyDescent="0.25">
      <c r="B20" s="114" t="s">
        <v>25</v>
      </c>
      <c r="C20" s="39">
        <f>IF(C3="RPP",0,VLOOKUP($C$2,'Data for Bill Impacts'!$A$3:$AD$9,15,0))</f>
        <v>1.6999999999999999E-3</v>
      </c>
      <c r="D20" s="21">
        <f>D13</f>
        <v>2000</v>
      </c>
      <c r="E20" s="16">
        <f>D20*C20</f>
        <v>3.4</v>
      </c>
      <c r="F20" s="59">
        <f>IF(C3="RPP",0,VLOOKUP($C$2,'Data for Bill Impacts'!$A$3:$AD$9,26,0))</f>
        <v>7.7999999999999996E-3</v>
      </c>
      <c r="G20" s="21">
        <f t="shared" si="4"/>
        <v>2000</v>
      </c>
      <c r="H20" s="16">
        <f t="shared" si="3"/>
        <v>15.6</v>
      </c>
      <c r="I20" s="18">
        <f t="shared" si="0"/>
        <v>12.2</v>
      </c>
      <c r="J20" s="19">
        <f t="shared" si="2"/>
        <v>3.5882352941176467</v>
      </c>
    </row>
    <row r="21" spans="2:10" x14ac:dyDescent="0.25">
      <c r="B21" s="115" t="s">
        <v>26</v>
      </c>
      <c r="C21" s="56">
        <f>VLOOKUP($C$2,'Data for Bill Impacts'!$A$3:$AD$9,9,0)+VLOOKUP($C$2,'Data for Bill Impacts'!$A$3:$AD$9,12,0)</f>
        <v>4.0000000000000002E-4</v>
      </c>
      <c r="D21" s="21">
        <f>D13</f>
        <v>2000</v>
      </c>
      <c r="E21" s="16">
        <f t="shared" ref="E21" si="5">D21*C21</f>
        <v>0.8</v>
      </c>
      <c r="F21" s="59">
        <f>VLOOKUP($C$2,'Data for Bill Impacts'!$A$3:$AD$9,22,0)+VLOOKUP($C$2,'Data for Bill Impacts'!$A$3:$AD$9,25,0)</f>
        <v>4.0000000000000002E-4</v>
      </c>
      <c r="G21" s="21">
        <f t="shared" si="4"/>
        <v>2000</v>
      </c>
      <c r="H21" s="16">
        <f t="shared" si="3"/>
        <v>0.8</v>
      </c>
      <c r="I21" s="18">
        <f t="shared" si="0"/>
        <v>0</v>
      </c>
      <c r="J21" s="19">
        <f t="shared" si="2"/>
        <v>0</v>
      </c>
    </row>
    <row r="22" spans="2:10" ht="51" x14ac:dyDescent="0.25">
      <c r="B22" s="116" t="s">
        <v>27</v>
      </c>
      <c r="C22" s="39">
        <f>VLOOKUP($C$2,'Data for Bill Impacts'!$A$3:$AD$9,7,0)</f>
        <v>0.79</v>
      </c>
      <c r="D22" s="15">
        <v>1</v>
      </c>
      <c r="E22" s="16">
        <f>D22*C22</f>
        <v>0.79</v>
      </c>
      <c r="F22" s="60">
        <f>VLOOKUP($C$2,'Data for Bill Impacts'!$A$3:$AD$9,20,0)</f>
        <v>0.79</v>
      </c>
      <c r="G22" s="15">
        <f t="shared" si="4"/>
        <v>1</v>
      </c>
      <c r="H22" s="16">
        <f>G22*F22</f>
        <v>0.79</v>
      </c>
      <c r="I22" s="18">
        <f t="shared" si="0"/>
        <v>0</v>
      </c>
      <c r="J22" s="19">
        <f>IF(ISERROR(I22/E22), "", I22/E22)</f>
        <v>0</v>
      </c>
    </row>
    <row r="23" spans="2:10" x14ac:dyDescent="0.25">
      <c r="B23" s="115" t="s">
        <v>28</v>
      </c>
      <c r="C23" s="40">
        <v>0</v>
      </c>
      <c r="D23" s="21">
        <f>D13</f>
        <v>2000</v>
      </c>
      <c r="E23" s="16">
        <f>D23*C23</f>
        <v>0</v>
      </c>
      <c r="F23" s="57">
        <v>0</v>
      </c>
      <c r="G23" s="21">
        <f t="shared" si="4"/>
        <v>2000</v>
      </c>
      <c r="H23" s="16">
        <f>G23*F23</f>
        <v>0</v>
      </c>
      <c r="I23" s="18">
        <f t="shared" si="0"/>
        <v>0</v>
      </c>
      <c r="J23" s="19" t="str">
        <f>IF(ISERROR(I23/E23), "", I23/E23)</f>
        <v/>
      </c>
    </row>
    <row r="24" spans="2:10" ht="25.5" x14ac:dyDescent="0.25">
      <c r="B24" s="117" t="s">
        <v>29</v>
      </c>
      <c r="C24" s="82"/>
      <c r="D24" s="83"/>
      <c r="E24" s="84">
        <f>SUM(E16:E23)</f>
        <v>61.4831</v>
      </c>
      <c r="F24" s="85"/>
      <c r="G24" s="86"/>
      <c r="H24" s="84">
        <f>SUM(H16:H23)</f>
        <v>95.283100000000005</v>
      </c>
      <c r="I24" s="87">
        <f t="shared" si="0"/>
        <v>33.800000000000004</v>
      </c>
      <c r="J24" s="88">
        <f>IF((E24)=0,"",(I24/E24))</f>
        <v>0.54974456395334659</v>
      </c>
    </row>
    <row r="25" spans="2:10" x14ac:dyDescent="0.25">
      <c r="B25" s="118" t="s">
        <v>30</v>
      </c>
      <c r="C25" s="61">
        <f>VLOOKUP($C$2,'Data for Bill Impacts'!$A$3:$AD$9,17,0)</f>
        <v>5.8999999999999999E-3</v>
      </c>
      <c r="D25" s="20">
        <f>IF($C5&gt;0, $C5, $C4*$C6)</f>
        <v>2131</v>
      </c>
      <c r="E25" s="16">
        <f>D25*C25</f>
        <v>12.572899999999999</v>
      </c>
      <c r="F25" s="59">
        <f>VLOOKUP($C$2,'Data for Bill Impacts'!$A$3:$AD$9,29,0)</f>
        <v>5.7999999999999996E-3</v>
      </c>
      <c r="G25" s="20">
        <f>D25</f>
        <v>2131</v>
      </c>
      <c r="H25" s="16">
        <f>G25*F25</f>
        <v>12.3598</v>
      </c>
      <c r="I25" s="18">
        <f t="shared" si="0"/>
        <v>-0.21309999999999896</v>
      </c>
      <c r="J25" s="19">
        <f>IF(ISERROR(I25/E25), "", I25/E25)</f>
        <v>-1.6949152542372801E-2</v>
      </c>
    </row>
    <row r="26" spans="2:10" ht="25.5" x14ac:dyDescent="0.25">
      <c r="B26" s="119" t="s">
        <v>31</v>
      </c>
      <c r="C26" s="62">
        <f>VLOOKUP($C$2,'Data for Bill Impacts'!$A$3:$AD$9,18,0)</f>
        <v>5.0000000000000001E-3</v>
      </c>
      <c r="D26" s="20">
        <f>D25</f>
        <v>2131</v>
      </c>
      <c r="E26" s="16">
        <f>D26*C26</f>
        <v>10.654999999999999</v>
      </c>
      <c r="F26" s="59">
        <f>VLOOKUP($C$2,'Data for Bill Impacts'!$A$3:$AD$9,30,0)</f>
        <v>5.0000000000000001E-3</v>
      </c>
      <c r="G26" s="20">
        <f>D26</f>
        <v>2131</v>
      </c>
      <c r="H26" s="16">
        <f>G26*F26</f>
        <v>10.654999999999999</v>
      </c>
      <c r="I26" s="18">
        <f t="shared" si="0"/>
        <v>0</v>
      </c>
      <c r="J26" s="19">
        <f>IF(ISERROR(I26/E26), "", I26/E26)</f>
        <v>0</v>
      </c>
    </row>
    <row r="27" spans="2:10" ht="25.5" x14ac:dyDescent="0.25">
      <c r="B27" s="117" t="s">
        <v>32</v>
      </c>
      <c r="C27" s="82"/>
      <c r="D27" s="83"/>
      <c r="E27" s="84">
        <f>SUM(E24:E26)</f>
        <v>84.710999999999999</v>
      </c>
      <c r="F27" s="94"/>
      <c r="G27" s="93"/>
      <c r="H27" s="84">
        <f>SUM(H24:H26)</f>
        <v>118.2979</v>
      </c>
      <c r="I27" s="87">
        <f t="shared" si="0"/>
        <v>33.5869</v>
      </c>
      <c r="J27" s="88">
        <f>IF((E27)=0,"",(I27/E27))</f>
        <v>0.39648805940196669</v>
      </c>
    </row>
    <row r="28" spans="2:10" x14ac:dyDescent="0.25">
      <c r="B28" s="120" t="s">
        <v>33</v>
      </c>
      <c r="C28" s="63">
        <v>3.6000000000000003E-3</v>
      </c>
      <c r="D28" s="20">
        <f>C4*C6</f>
        <v>2131</v>
      </c>
      <c r="E28" s="22">
        <f t="shared" ref="E28:E33" si="6">D28*C28</f>
        <v>7.6716000000000006</v>
      </c>
      <c r="F28" s="57">
        <v>3.6000000000000003E-3</v>
      </c>
      <c r="G28" s="20">
        <f>C4*C7</f>
        <v>2131</v>
      </c>
      <c r="H28" s="22">
        <f t="shared" ref="H28:H33" si="7">G28*F28</f>
        <v>7.6716000000000006</v>
      </c>
      <c r="I28" s="18">
        <f t="shared" si="0"/>
        <v>0</v>
      </c>
      <c r="J28" s="19">
        <f t="shared" ref="J28:J35" si="8">IF(ISERROR(I28/E28), "", I28/E28)</f>
        <v>0</v>
      </c>
    </row>
    <row r="29" spans="2:10" x14ac:dyDescent="0.25">
      <c r="B29" s="121" t="s">
        <v>34</v>
      </c>
      <c r="C29" s="40">
        <v>2.9999999999999997E-4</v>
      </c>
      <c r="D29" s="20">
        <f>C4*C6</f>
        <v>2131</v>
      </c>
      <c r="E29" s="22">
        <f t="shared" si="6"/>
        <v>0.63929999999999998</v>
      </c>
      <c r="F29" s="57">
        <v>2.9999999999999997E-4</v>
      </c>
      <c r="G29" s="20">
        <f>C4*C7</f>
        <v>2131</v>
      </c>
      <c r="H29" s="22">
        <f t="shared" si="7"/>
        <v>0.63929999999999998</v>
      </c>
      <c r="I29" s="18">
        <f t="shared" si="0"/>
        <v>0</v>
      </c>
      <c r="J29" s="19">
        <f t="shared" si="8"/>
        <v>0</v>
      </c>
    </row>
    <row r="30" spans="2:10" x14ac:dyDescent="0.25">
      <c r="B30" s="131" t="s">
        <v>35</v>
      </c>
      <c r="C30" s="167"/>
      <c r="D30" s="168"/>
      <c r="E30" s="97"/>
      <c r="F30" s="169"/>
      <c r="G30" s="170"/>
      <c r="H30" s="97"/>
      <c r="I30" s="98"/>
      <c r="J30" s="99"/>
    </row>
    <row r="31" spans="2:10" x14ac:dyDescent="0.25">
      <c r="B31" s="171" t="s">
        <v>36</v>
      </c>
      <c r="C31" s="40">
        <v>7.0000000000000001E-3</v>
      </c>
      <c r="D31" s="27">
        <f>C4</f>
        <v>2000</v>
      </c>
      <c r="E31" s="162">
        <f t="shared" si="6"/>
        <v>14</v>
      </c>
      <c r="F31" s="57">
        <f>C31</f>
        <v>7.0000000000000001E-3</v>
      </c>
      <c r="G31" s="27">
        <f>D31</f>
        <v>2000</v>
      </c>
      <c r="H31" s="162">
        <f t="shared" ref="H31" si="9">G31*F31</f>
        <v>14</v>
      </c>
      <c r="I31" s="172">
        <f t="shared" ref="I31" si="10">H31-E31</f>
        <v>0</v>
      </c>
      <c r="J31" s="173">
        <f t="shared" ref="J31" si="11">IF(ISERROR(I31/E31), "", I31/E31)</f>
        <v>0</v>
      </c>
    </row>
    <row r="32" spans="2:10" ht="25.5" x14ac:dyDescent="0.25">
      <c r="B32" s="124" t="s">
        <v>37</v>
      </c>
      <c r="C32" s="95"/>
      <c r="D32" s="96"/>
      <c r="E32" s="97"/>
      <c r="F32" s="104"/>
      <c r="G32" s="96"/>
      <c r="H32" s="97"/>
      <c r="I32" s="98"/>
      <c r="J32" s="99"/>
    </row>
    <row r="33" spans="2:10" x14ac:dyDescent="0.25">
      <c r="B33" s="125" t="s">
        <v>41</v>
      </c>
      <c r="C33" s="43">
        <v>0.1101</v>
      </c>
      <c r="D33" s="27">
        <f>C4</f>
        <v>2000</v>
      </c>
      <c r="E33" s="22">
        <f t="shared" si="6"/>
        <v>220.20000000000002</v>
      </c>
      <c r="F33" s="105">
        <v>0.1101</v>
      </c>
      <c r="G33" s="27">
        <f>D33</f>
        <v>2000</v>
      </c>
      <c r="H33" s="22">
        <f t="shared" si="7"/>
        <v>220.20000000000002</v>
      </c>
      <c r="I33" s="18">
        <f>H33-E33</f>
        <v>0</v>
      </c>
      <c r="J33" s="19">
        <f t="shared" si="8"/>
        <v>0</v>
      </c>
    </row>
    <row r="34" spans="2:10" hidden="1" x14ac:dyDescent="0.25">
      <c r="B34" s="64" t="s">
        <v>41</v>
      </c>
      <c r="C34" s="44">
        <v>0.1101</v>
      </c>
      <c r="D34" s="27">
        <f>IF(AND(C4*12&gt;=150000),C4*C6,C4)</f>
        <v>2000</v>
      </c>
      <c r="E34" s="22">
        <f>D34*C34</f>
        <v>220.20000000000002</v>
      </c>
      <c r="F34" s="28">
        <f>C34</f>
        <v>0.1101</v>
      </c>
      <c r="G34" s="27">
        <f>IF(AND(C4*12&gt;=150000),C4*C7,C4)</f>
        <v>2000</v>
      </c>
      <c r="H34" s="22">
        <f>G34*F34</f>
        <v>220.20000000000002</v>
      </c>
      <c r="I34" s="18">
        <f>H34-E34</f>
        <v>0</v>
      </c>
      <c r="J34" s="19">
        <f t="shared" si="8"/>
        <v>0</v>
      </c>
    </row>
    <row r="35" spans="2:10" hidden="1" x14ac:dyDescent="0.25">
      <c r="B35" s="65" t="s">
        <v>42</v>
      </c>
      <c r="C35" s="44">
        <v>0.1101</v>
      </c>
      <c r="D35" s="27">
        <f>IF(AND(C4*12&gt;=150000),C4*C6,C4)</f>
        <v>2000</v>
      </c>
      <c r="E35" s="22">
        <f>D35*C35</f>
        <v>220.20000000000002</v>
      </c>
      <c r="F35" s="28">
        <f>C35</f>
        <v>0.1101</v>
      </c>
      <c r="G35" s="27">
        <f>IF(AND(C4*12&gt;=150000),C4*C7,C4)</f>
        <v>2000</v>
      </c>
      <c r="H35" s="22">
        <f>G35*F35</f>
        <v>220.20000000000002</v>
      </c>
      <c r="I35" s="18">
        <f>H35-E35</f>
        <v>0</v>
      </c>
      <c r="J35" s="19">
        <f t="shared" si="8"/>
        <v>0</v>
      </c>
    </row>
    <row r="36" spans="2:10" x14ac:dyDescent="0.25">
      <c r="B36" s="46"/>
      <c r="C36" s="66"/>
      <c r="D36" s="67"/>
      <c r="E36" s="68"/>
      <c r="F36" s="66"/>
      <c r="G36" s="67"/>
      <c r="H36" s="68"/>
      <c r="I36" s="69"/>
      <c r="J36" s="70"/>
    </row>
    <row r="37" spans="2:10" x14ac:dyDescent="0.25">
      <c r="B37" s="128" t="s">
        <v>43</v>
      </c>
      <c r="C37" s="71"/>
      <c r="D37" s="72"/>
      <c r="E37" s="73">
        <f>SUM(E28:E33,E27)</f>
        <v>327.22190000000001</v>
      </c>
      <c r="F37" s="74"/>
      <c r="G37" s="74"/>
      <c r="H37" s="73">
        <f>SUM(H28:H33,H27)</f>
        <v>360.80880000000002</v>
      </c>
      <c r="I37" s="75">
        <f>H37-E37</f>
        <v>33.586900000000014</v>
      </c>
      <c r="J37" s="76">
        <f>IF((E37)=0,"",(I37/E37))</f>
        <v>0.10264257985177647</v>
      </c>
    </row>
    <row r="38" spans="2:10" x14ac:dyDescent="0.25">
      <c r="B38" s="129" t="s">
        <v>44</v>
      </c>
      <c r="C38" s="45">
        <v>0.13</v>
      </c>
      <c r="D38" s="30"/>
      <c r="E38" s="31">
        <f>E37*C38</f>
        <v>42.538847000000004</v>
      </c>
      <c r="F38" s="32">
        <v>0.13</v>
      </c>
      <c r="G38" s="15"/>
      <c r="H38" s="31">
        <f>H37*F38</f>
        <v>46.905144000000007</v>
      </c>
      <c r="I38" s="33">
        <f>H38-E38</f>
        <v>4.366297000000003</v>
      </c>
      <c r="J38" s="34">
        <f>IF((E38)=0,"",(I38/E38))</f>
        <v>0.10264257985177648</v>
      </c>
    </row>
    <row r="39" spans="2:10" x14ac:dyDescent="0.25">
      <c r="B39" s="129" t="s">
        <v>45</v>
      </c>
      <c r="C39" s="45">
        <v>0.08</v>
      </c>
      <c r="D39" s="30"/>
      <c r="E39" s="31"/>
      <c r="F39" s="29">
        <f>C39</f>
        <v>0.08</v>
      </c>
      <c r="G39" s="15"/>
      <c r="H39" s="31"/>
      <c r="I39" s="33"/>
      <c r="J39" s="34"/>
    </row>
    <row r="40" spans="2:10" x14ac:dyDescent="0.25">
      <c r="B40" s="130" t="s">
        <v>46</v>
      </c>
      <c r="C40" s="77"/>
      <c r="D40" s="78"/>
      <c r="E40" s="35">
        <f>E37+E38</f>
        <v>369.76074700000004</v>
      </c>
      <c r="F40" s="79"/>
      <c r="G40" s="79"/>
      <c r="H40" s="35">
        <f>H37+H38</f>
        <v>407.71394400000003</v>
      </c>
      <c r="I40" s="80">
        <f>H40-E40</f>
        <v>37.953196999999989</v>
      </c>
      <c r="J40" s="81">
        <f>IF((E40)=0,"",(I40/E40))</f>
        <v>0.10264257985177638</v>
      </c>
    </row>
    <row r="41" spans="2:10" x14ac:dyDescent="0.25">
      <c r="B41" s="46"/>
      <c r="C41" s="66"/>
      <c r="D41" s="67"/>
      <c r="E41" s="68"/>
      <c r="F41" s="66"/>
      <c r="G41" s="67"/>
      <c r="H41" s="68"/>
      <c r="I41" s="69"/>
      <c r="J41" s="70"/>
    </row>
  </sheetData>
  <dataConsolidate/>
  <mergeCells count="10">
    <mergeCell ref="I9:J9"/>
    <mergeCell ref="D10:D11"/>
    <mergeCell ref="G10:G11"/>
    <mergeCell ref="I10:I11"/>
    <mergeCell ref="J10:J11"/>
    <mergeCell ref="C2:H2"/>
    <mergeCell ref="C3:E3"/>
    <mergeCell ref="B9:B11"/>
    <mergeCell ref="C9:E9"/>
    <mergeCell ref="F9:H9"/>
  </mergeCells>
  <pageMargins left="0.7" right="0.7" top="0.75" bottom="0.75" header="0.3" footer="0.3"/>
  <pageSetup scale="74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'Data for Bill Impacts'!$A$3:$A$9</xm:f>
          </x14:formula1>
          <xm:sqref>C2</xm:sqref>
        </x14:dataValidation>
        <x14:dataValidation type="list" allowBlank="1" showInputMessage="1" showErrorMessage="1">
          <x14:formula1>
            <xm:f>'Data for Bill Impacts'!$A$12:$A$14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6"/>
  <sheetViews>
    <sheetView workbookViewId="0">
      <selection activeCell="N30" sqref="N30"/>
    </sheetView>
  </sheetViews>
  <sheetFormatPr defaultRowHeight="15" x14ac:dyDescent="0.25"/>
  <cols>
    <col min="1" max="1" width="20.85546875" bestFit="1" customWidth="1"/>
    <col min="2" max="2" width="12.85546875" bestFit="1" customWidth="1"/>
    <col min="3" max="3" width="13.85546875" customWidth="1"/>
    <col min="4" max="4" width="10.140625" bestFit="1" customWidth="1"/>
    <col min="5" max="5" width="11.5703125" bestFit="1" customWidth="1"/>
    <col min="6" max="6" width="9.5703125" customWidth="1"/>
    <col min="7" max="10" width="11.85546875" customWidth="1"/>
  </cols>
  <sheetData>
    <row r="2" spans="1:14" x14ac:dyDescent="0.25">
      <c r="A2" s="196" t="s">
        <v>105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</row>
    <row r="3" spans="1:14" x14ac:dyDescent="0.25">
      <c r="A3" s="197" t="s">
        <v>86</v>
      </c>
      <c r="B3" s="198"/>
      <c r="C3" s="199"/>
      <c r="D3" s="206" t="s">
        <v>87</v>
      </c>
      <c r="E3" s="207" t="s">
        <v>88</v>
      </c>
      <c r="F3" s="208"/>
      <c r="G3" s="211" t="s">
        <v>89</v>
      </c>
      <c r="H3" s="211"/>
      <c r="I3" s="211"/>
      <c r="J3" s="211"/>
      <c r="K3" s="211"/>
      <c r="L3" s="211"/>
      <c r="M3" s="212" t="s">
        <v>90</v>
      </c>
      <c r="N3" s="213"/>
    </row>
    <row r="4" spans="1:14" x14ac:dyDescent="0.25">
      <c r="A4" s="200"/>
      <c r="B4" s="201"/>
      <c r="C4" s="202"/>
      <c r="D4" s="206"/>
      <c r="E4" s="209"/>
      <c r="F4" s="210"/>
      <c r="G4" s="216" t="s">
        <v>91</v>
      </c>
      <c r="H4" s="216"/>
      <c r="I4" s="216" t="s">
        <v>92</v>
      </c>
      <c r="J4" s="216"/>
      <c r="K4" s="216" t="s">
        <v>93</v>
      </c>
      <c r="L4" s="216"/>
      <c r="M4" s="214"/>
      <c r="N4" s="215"/>
    </row>
    <row r="5" spans="1:14" x14ac:dyDescent="0.25">
      <c r="A5" s="203"/>
      <c r="B5" s="204"/>
      <c r="C5" s="205"/>
      <c r="D5" s="206"/>
      <c r="E5" s="177" t="s">
        <v>3</v>
      </c>
      <c r="F5" s="177" t="s">
        <v>5</v>
      </c>
      <c r="G5" s="178" t="s">
        <v>94</v>
      </c>
      <c r="H5" s="178" t="s">
        <v>95</v>
      </c>
      <c r="I5" s="178" t="s">
        <v>94</v>
      </c>
      <c r="J5" s="178" t="s">
        <v>95</v>
      </c>
      <c r="K5" s="178" t="s">
        <v>94</v>
      </c>
      <c r="L5" s="178" t="s">
        <v>95</v>
      </c>
      <c r="M5" s="178" t="s">
        <v>94</v>
      </c>
      <c r="N5" s="178" t="s">
        <v>95</v>
      </c>
    </row>
    <row r="6" spans="1:14" x14ac:dyDescent="0.25">
      <c r="A6" s="189" t="s">
        <v>96</v>
      </c>
      <c r="B6" s="190"/>
      <c r="C6" s="191"/>
      <c r="D6" s="179" t="s">
        <v>3</v>
      </c>
      <c r="E6" s="180">
        <v>200</v>
      </c>
      <c r="F6" s="180"/>
      <c r="G6" s="181">
        <f>Residential_Low!$I$16</f>
        <v>2.4649999999999963</v>
      </c>
      <c r="H6" s="182">
        <f>Residential_Low!$J$16</f>
        <v>8.9376359680928066E-2</v>
      </c>
      <c r="I6" s="181">
        <f>Residential_Low!$I$24</f>
        <v>5.1649999999999956</v>
      </c>
      <c r="J6" s="182">
        <f>Residential_Low!$J$24</f>
        <v>0.18960829092996884</v>
      </c>
      <c r="K6" s="181">
        <f>Residential_Low!$I$27</f>
        <v>5.1383624999999995</v>
      </c>
      <c r="L6" s="182">
        <f>Residential_Low!$J$27</f>
        <v>0.16896820831606596</v>
      </c>
      <c r="M6" s="181">
        <f>Residential_Low!$I$42</f>
        <v>5.3952806249999981</v>
      </c>
      <c r="N6" s="182">
        <f>Residential_Low!$J$42</f>
        <v>9.8362395060634142E-2</v>
      </c>
    </row>
    <row r="7" spans="1:14" x14ac:dyDescent="0.25">
      <c r="A7" s="189" t="s">
        <v>96</v>
      </c>
      <c r="B7" s="190"/>
      <c r="C7" s="191"/>
      <c r="D7" s="179" t="s">
        <v>3</v>
      </c>
      <c r="E7" s="180">
        <v>750</v>
      </c>
      <c r="F7" s="180"/>
      <c r="G7" s="181">
        <f>Residential_Typical!$I$16</f>
        <v>1.5000000000007674E-2</v>
      </c>
      <c r="H7" s="182">
        <f>Residential_Typical!$J$16</f>
        <v>4.375729288216942E-4</v>
      </c>
      <c r="I7" s="181">
        <f>Residential_Typical!$I$24</f>
        <v>8.1150000000000055</v>
      </c>
      <c r="J7" s="182">
        <f>Residential_Typical!$J$24</f>
        <v>0.25614632820630368</v>
      </c>
      <c r="K7" s="181">
        <f>Residential_Typical!$I$27</f>
        <v>8.035087500000003</v>
      </c>
      <c r="L7" s="182">
        <f>Residential_Typical!$J$27</f>
        <v>0.19507044035853013</v>
      </c>
      <c r="M7" s="181">
        <f>Residential_Typical!$I$42</f>
        <v>8.4368418749999989</v>
      </c>
      <c r="N7" s="182">
        <f>Residential_Typical!$J$42</f>
        <v>7.5676143913455687E-2</v>
      </c>
    </row>
    <row r="8" spans="1:14" x14ac:dyDescent="0.25">
      <c r="A8" s="189" t="s">
        <v>96</v>
      </c>
      <c r="B8" s="190"/>
      <c r="C8" s="191"/>
      <c r="D8" s="179" t="s">
        <v>3</v>
      </c>
      <c r="E8" s="180">
        <v>1500</v>
      </c>
      <c r="F8" s="180"/>
      <c r="G8" s="181">
        <f>Residential_High!$I$16</f>
        <v>-3.6600000000000037</v>
      </c>
      <c r="H8" s="182">
        <f>Residential_High!$J$16</f>
        <v>-8.2562598691631031E-2</v>
      </c>
      <c r="I8" s="181">
        <f>Residential_High!$I$24</f>
        <v>12.54</v>
      </c>
      <c r="J8" s="182">
        <f>Residential_High!$J$24</f>
        <v>0.32705461499099442</v>
      </c>
      <c r="K8" s="181">
        <f>Residential_High!$I$27</f>
        <v>12.380174999999994</v>
      </c>
      <c r="L8" s="182">
        <f>Residential_High!$J$27</f>
        <v>0.2158276485430663</v>
      </c>
      <c r="M8" s="181">
        <f>Residential_High!$I$42</f>
        <v>12.999183750000014</v>
      </c>
      <c r="N8" s="182">
        <f>Residential_High!$J$42</f>
        <v>6.6174217360630089E-2</v>
      </c>
    </row>
    <row r="9" spans="1:14" x14ac:dyDescent="0.25">
      <c r="A9" s="189" t="s">
        <v>97</v>
      </c>
      <c r="B9" s="190"/>
      <c r="C9" s="191"/>
      <c r="D9" s="179" t="s">
        <v>3</v>
      </c>
      <c r="E9" s="180">
        <v>2000</v>
      </c>
      <c r="F9" s="180"/>
      <c r="G9" s="181">
        <f>'GS&lt;50 kW'!$I$16</f>
        <v>0</v>
      </c>
      <c r="H9" s="182">
        <f>'GS&lt;50 kW'!$J$16</f>
        <v>0</v>
      </c>
      <c r="I9" s="181">
        <f>'GS&lt;50 kW'!$I$24</f>
        <v>21.600000000000009</v>
      </c>
      <c r="J9" s="182">
        <f>'GS&lt;50 kW'!$J$24</f>
        <v>0.39689131204917938</v>
      </c>
      <c r="K9" s="181">
        <f>'GS&lt;50 kW'!$I$27</f>
        <v>21.386900000000011</v>
      </c>
      <c r="L9" s="182">
        <f>'GS&lt;50 kW'!$J$27</f>
        <v>0.27542386523471868</v>
      </c>
      <c r="M9" s="181">
        <f>'GS&lt;50 kW'!$I$42</f>
        <v>22.456245000000024</v>
      </c>
      <c r="N9" s="182">
        <f>'GS&lt;50 kW'!$J$42</f>
        <v>8.0848137100815495E-2</v>
      </c>
    </row>
    <row r="10" spans="1:14" x14ac:dyDescent="0.25">
      <c r="A10" s="189" t="s">
        <v>98</v>
      </c>
      <c r="B10" s="190"/>
      <c r="C10" s="191"/>
      <c r="D10" s="179" t="s">
        <v>5</v>
      </c>
      <c r="E10" s="180">
        <v>47246</v>
      </c>
      <c r="F10" s="180">
        <v>100</v>
      </c>
      <c r="G10" s="181">
        <f>'GS 50-4,999 kW'!I16</f>
        <v>0</v>
      </c>
      <c r="H10" s="182">
        <f>'GS 50-4,999 kW'!J16</f>
        <v>0</v>
      </c>
      <c r="I10" s="181">
        <f>'GS 50-4,999 kW'!I24</f>
        <v>604.41499999999996</v>
      </c>
      <c r="J10" s="182">
        <f>'GS 50-4,999 kW'!J24</f>
        <v>3.3987404054320005</v>
      </c>
      <c r="K10" s="181">
        <f>'GS 50-4,999 kW'!I27</f>
        <v>602.3225000000001</v>
      </c>
      <c r="L10" s="182">
        <f>'GS 50-4,999 kW'!J27</f>
        <v>1.1485717282279135</v>
      </c>
      <c r="M10" s="181">
        <f>'GS 50-4,999 kW'!I37</f>
        <v>680.62442500000088</v>
      </c>
      <c r="N10" s="182">
        <f>'GS 50-4,999 kW'!J37</f>
        <v>8.6689929922380782E-2</v>
      </c>
    </row>
    <row r="11" spans="1:14" x14ac:dyDescent="0.25">
      <c r="A11" s="189" t="s">
        <v>99</v>
      </c>
      <c r="B11" s="190"/>
      <c r="C11" s="191"/>
      <c r="D11" s="179" t="s">
        <v>3</v>
      </c>
      <c r="E11" s="180">
        <v>500</v>
      </c>
      <c r="F11" s="180"/>
      <c r="G11" s="181">
        <f>USL!$I$16</f>
        <v>0</v>
      </c>
      <c r="H11" s="182">
        <f>USL!$J$16</f>
        <v>0</v>
      </c>
      <c r="I11" s="181">
        <f>USL!$I$24</f>
        <v>5.4499999999999993</v>
      </c>
      <c r="J11" s="182">
        <f>USL!$J$24</f>
        <v>0.30991018859598729</v>
      </c>
      <c r="K11" s="181">
        <f>USL!$I$27</f>
        <v>5.396725</v>
      </c>
      <c r="L11" s="182">
        <f>USL!$J$27</f>
        <v>0.23070109647383805</v>
      </c>
      <c r="M11" s="181">
        <f>USL!$I$39</f>
        <v>5.3967250000000035</v>
      </c>
      <c r="N11" s="182">
        <f>USL!$J$39</f>
        <v>7.6766589227606583E-2</v>
      </c>
    </row>
    <row r="12" spans="1:14" x14ac:dyDescent="0.25">
      <c r="A12" s="189" t="s">
        <v>100</v>
      </c>
      <c r="B12" s="190"/>
      <c r="C12" s="191"/>
      <c r="D12" s="179" t="s">
        <v>5</v>
      </c>
      <c r="E12" s="180">
        <v>108</v>
      </c>
      <c r="F12" s="183">
        <v>0.3</v>
      </c>
      <c r="G12" s="181">
        <f>'Sentinel Lighting'!$I$16</f>
        <v>0</v>
      </c>
      <c r="H12" s="182">
        <f>'Sentinel Lighting'!$J$16</f>
        <v>0</v>
      </c>
      <c r="I12" s="181">
        <f>'Sentinel Lighting'!$I$24</f>
        <v>0.82622399999999985</v>
      </c>
      <c r="J12" s="182">
        <f>'Sentinel Lighting'!$J$24</f>
        <v>4.004362319229738E-2</v>
      </c>
      <c r="K12" s="181">
        <f>'Sentinel Lighting'!$I$27</f>
        <v>0.82196100000000172</v>
      </c>
      <c r="L12" s="182">
        <f>'Sentinel Lighting'!$J$27</f>
        <v>3.8515793374455348E-2</v>
      </c>
      <c r="M12" s="181">
        <f>'Sentinel Lighting'!$I$39</f>
        <v>0.92881593000000606</v>
      </c>
      <c r="N12" s="182">
        <f>'Sentinel Lighting'!$J$39</f>
        <v>2.8563945584560178E-2</v>
      </c>
    </row>
    <row r="13" spans="1:14" x14ac:dyDescent="0.25">
      <c r="A13" s="189" t="s">
        <v>101</v>
      </c>
      <c r="B13" s="190"/>
      <c r="C13" s="191"/>
      <c r="D13" s="179" t="s">
        <v>5</v>
      </c>
      <c r="E13" s="180">
        <v>66</v>
      </c>
      <c r="F13" s="183">
        <v>0.2</v>
      </c>
      <c r="G13" s="181">
        <f>'Street Lighting'!$I$16</f>
        <v>0</v>
      </c>
      <c r="H13" s="182">
        <f>'Street Lighting'!$J$16</f>
        <v>0</v>
      </c>
      <c r="I13" s="181">
        <f>'Street Lighting'!$I$24</f>
        <v>2147.6400000000031</v>
      </c>
      <c r="J13" s="182">
        <f>'Street Lighting'!$J$24</f>
        <v>9.7373732977143398E-2</v>
      </c>
      <c r="K13" s="181">
        <f>'Street Lighting'!$I$27</f>
        <v>2136.5850000000028</v>
      </c>
      <c r="L13" s="182">
        <f>'Street Lighting'!$J$27</f>
        <v>8.9446019810469179E-2</v>
      </c>
      <c r="M13" s="181">
        <f>'Street Lighting'!$I$39</f>
        <v>2414.34105000001</v>
      </c>
      <c r="N13" s="182">
        <f>'Street Lighting'!$J$39</f>
        <v>5.254036243233863E-2</v>
      </c>
    </row>
    <row r="14" spans="1:14" x14ac:dyDescent="0.25">
      <c r="A14" s="192" t="s">
        <v>102</v>
      </c>
      <c r="B14" s="193"/>
      <c r="C14" s="194"/>
      <c r="D14" s="184" t="s">
        <v>3</v>
      </c>
      <c r="E14" s="185">
        <v>500000</v>
      </c>
      <c r="F14" s="185"/>
      <c r="G14" s="186">
        <f>'Embedded Distributor'!I16</f>
        <v>0</v>
      </c>
      <c r="H14" s="187">
        <f>'Embedded Distributor'!J16</f>
        <v>0</v>
      </c>
      <c r="I14" s="186">
        <f>'Embedded Distributor'!I24</f>
        <v>-48337.478000000003</v>
      </c>
      <c r="J14" s="187">
        <f>'Embedded Distributor'!J24</f>
        <v>-1.1977845726813161</v>
      </c>
      <c r="K14" s="186">
        <f>'Embedded Distributor'!I27</f>
        <v>-48976.767000000022</v>
      </c>
      <c r="L14" s="187">
        <f>'Embedded Distributor'!J27</f>
        <v>-0.33200701401285476</v>
      </c>
      <c r="M14" s="186">
        <f>'Embedded Distributor'!I37</f>
        <v>-55343.746709999978</v>
      </c>
      <c r="N14" s="187">
        <f>'Embedded Distributor'!J37</f>
        <v>-5.4415468340366147E-2</v>
      </c>
    </row>
    <row r="15" spans="1:14" x14ac:dyDescent="0.25">
      <c r="A15" s="195" t="s">
        <v>103</v>
      </c>
      <c r="B15" s="195"/>
      <c r="C15" s="195"/>
      <c r="D15" s="179" t="s">
        <v>3</v>
      </c>
      <c r="E15" s="180">
        <v>750</v>
      </c>
      <c r="F15" s="180"/>
      <c r="G15" s="181">
        <f>Residential_Retailer!$I$16</f>
        <v>1.5000000000007674E-2</v>
      </c>
      <c r="H15" s="182">
        <f>Residential_Retailer!$J$16</f>
        <v>4.375729288216942E-4</v>
      </c>
      <c r="I15" s="181">
        <f>Residential_Retailer!$I$24</f>
        <v>12.690000000000019</v>
      </c>
      <c r="J15" s="182">
        <f>Residential_Retailer!$J$24</f>
        <v>0.36966194065964642</v>
      </c>
      <c r="K15" s="181">
        <f>Residential_Retailer!$I$27</f>
        <v>12.61008750000002</v>
      </c>
      <c r="L15" s="182">
        <f>Residential_Retailer!$J$27</f>
        <v>0.28765033960069181</v>
      </c>
      <c r="M15" s="181">
        <f>Residential_Retailer!$I$40</f>
        <v>14.249398875000026</v>
      </c>
      <c r="N15" s="182">
        <f>Residential_Retailer!$J$40</f>
        <v>9.7352762447494176E-2</v>
      </c>
    </row>
    <row r="16" spans="1:14" x14ac:dyDescent="0.25">
      <c r="A16" s="195" t="s">
        <v>104</v>
      </c>
      <c r="B16" s="195"/>
      <c r="C16" s="195"/>
      <c r="D16" s="179" t="s">
        <v>3</v>
      </c>
      <c r="E16" s="180">
        <v>2000</v>
      </c>
      <c r="F16" s="180"/>
      <c r="G16" s="181">
        <f>'GS&lt;50 kW_Retailer'!$I$16</f>
        <v>0</v>
      </c>
      <c r="H16" s="182">
        <f>'GS&lt;50 kW_Retailer'!$J$16</f>
        <v>0</v>
      </c>
      <c r="I16" s="181">
        <f>'GS&lt;50 kW_Retailer'!$I$24</f>
        <v>33.800000000000004</v>
      </c>
      <c r="J16" s="182">
        <f>'GS&lt;50 kW_Retailer'!$J$24</f>
        <v>0.54974456395334659</v>
      </c>
      <c r="K16" s="181">
        <f>'GS&lt;50 kW_Retailer'!$I$27</f>
        <v>33.5869</v>
      </c>
      <c r="L16" s="182">
        <f>'GS&lt;50 kW_Retailer'!$J$27</f>
        <v>0.39648805940196669</v>
      </c>
      <c r="M16" s="181">
        <f>'GS&lt;50 kW_Retailer'!$I$40</f>
        <v>37.953196999999989</v>
      </c>
      <c r="N16" s="182">
        <f>'GS&lt;50 kW_Retailer'!$J$40</f>
        <v>0.10264257985177638</v>
      </c>
    </row>
  </sheetData>
  <mergeCells count="20">
    <mergeCell ref="A11:C11"/>
    <mergeCell ref="A2:N2"/>
    <mergeCell ref="A3:C5"/>
    <mergeCell ref="D3:D5"/>
    <mergeCell ref="E3:F4"/>
    <mergeCell ref="G3:L3"/>
    <mergeCell ref="M3:N4"/>
    <mergeCell ref="G4:H4"/>
    <mergeCell ref="I4:J4"/>
    <mergeCell ref="K4:L4"/>
    <mergeCell ref="A6:C6"/>
    <mergeCell ref="A7:C7"/>
    <mergeCell ref="A8:C8"/>
    <mergeCell ref="A9:C9"/>
    <mergeCell ref="A10:C10"/>
    <mergeCell ref="A12:C12"/>
    <mergeCell ref="A13:C13"/>
    <mergeCell ref="A14:C14"/>
    <mergeCell ref="A15:C15"/>
    <mergeCell ref="A16:C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43"/>
  <sheetViews>
    <sheetView topLeftCell="A16" workbookViewId="0">
      <selection activeCell="C29" sqref="C29"/>
    </sheetView>
  </sheetViews>
  <sheetFormatPr defaultRowHeight="15" x14ac:dyDescent="0.25"/>
  <cols>
    <col min="2" max="2" width="39" bestFit="1" customWidth="1"/>
    <col min="6" max="6" width="9.85546875" bestFit="1" customWidth="1"/>
  </cols>
  <sheetData>
    <row r="2" spans="2:10" x14ac:dyDescent="0.25">
      <c r="B2" s="1" t="s">
        <v>0</v>
      </c>
      <c r="C2" s="217" t="s">
        <v>47</v>
      </c>
      <c r="D2" s="218"/>
      <c r="E2" s="218"/>
      <c r="F2" s="218"/>
      <c r="G2" s="218"/>
      <c r="H2" s="219"/>
      <c r="I2" s="2"/>
      <c r="J2" s="2"/>
    </row>
    <row r="3" spans="2:10" x14ac:dyDescent="0.25">
      <c r="B3" s="1" t="s">
        <v>1</v>
      </c>
      <c r="C3" s="220" t="s">
        <v>48</v>
      </c>
      <c r="D3" s="221"/>
      <c r="E3" s="222"/>
      <c r="F3" s="36"/>
      <c r="G3" s="36"/>
      <c r="H3" s="37"/>
      <c r="I3" s="37"/>
      <c r="J3" s="37"/>
    </row>
    <row r="4" spans="2:10" ht="15.75" x14ac:dyDescent="0.25">
      <c r="B4" s="1" t="s">
        <v>2</v>
      </c>
      <c r="C4" s="3">
        <v>250</v>
      </c>
      <c r="D4" s="4" t="s">
        <v>3</v>
      </c>
      <c r="E4" s="5"/>
      <c r="F4" s="37"/>
      <c r="G4" s="37"/>
      <c r="H4" s="38"/>
      <c r="I4" s="38"/>
      <c r="J4" s="38"/>
    </row>
    <row r="5" spans="2:10" ht="15.75" x14ac:dyDescent="0.25">
      <c r="B5" s="1" t="s">
        <v>4</v>
      </c>
      <c r="C5" s="3">
        <f>VLOOKUP($C$2,'Data for Bill Impacts'!$A$3:$AD$9,4,0)</f>
        <v>0</v>
      </c>
      <c r="D5" s="6" t="s">
        <v>5</v>
      </c>
      <c r="E5" s="7"/>
      <c r="F5" s="8"/>
      <c r="G5" s="8"/>
      <c r="H5" s="8"/>
      <c r="I5" s="2"/>
      <c r="J5" s="2"/>
    </row>
    <row r="6" spans="2:10" x14ac:dyDescent="0.25">
      <c r="B6" s="1" t="s">
        <v>6</v>
      </c>
      <c r="C6" s="100">
        <f>VLOOKUP($C$2,'Data for Bill Impacts'!$A$3:$AD$9,2,0)</f>
        <v>1.0654999999999999</v>
      </c>
      <c r="D6" s="2"/>
      <c r="E6" s="2"/>
      <c r="F6" s="2"/>
      <c r="G6" s="2"/>
      <c r="H6" s="2"/>
      <c r="I6" s="2"/>
      <c r="J6" s="2"/>
    </row>
    <row r="7" spans="2:10" x14ac:dyDescent="0.25">
      <c r="B7" s="1" t="s">
        <v>7</v>
      </c>
      <c r="C7" s="9">
        <f>C6</f>
        <v>1.0654999999999999</v>
      </c>
      <c r="D7" s="2"/>
      <c r="E7" s="2"/>
      <c r="F7" s="2"/>
      <c r="G7" s="2"/>
      <c r="H7" s="2"/>
      <c r="I7" s="2"/>
      <c r="J7" s="2"/>
    </row>
    <row r="8" spans="2:10" x14ac:dyDescent="0.25">
      <c r="B8" s="5"/>
      <c r="C8" s="2"/>
      <c r="D8" s="2"/>
      <c r="E8" s="2"/>
      <c r="F8" s="2"/>
      <c r="G8" s="2"/>
      <c r="H8" s="2"/>
      <c r="I8" s="2"/>
      <c r="J8" s="2"/>
    </row>
    <row r="9" spans="2:10" x14ac:dyDescent="0.25">
      <c r="B9" s="223"/>
      <c r="C9" s="226" t="s">
        <v>8</v>
      </c>
      <c r="D9" s="226"/>
      <c r="E9" s="227"/>
      <c r="F9" s="228" t="s">
        <v>9</v>
      </c>
      <c r="G9" s="226"/>
      <c r="H9" s="227"/>
      <c r="I9" s="228" t="s">
        <v>10</v>
      </c>
      <c r="J9" s="227"/>
    </row>
    <row r="10" spans="2:10" x14ac:dyDescent="0.25">
      <c r="B10" s="224"/>
      <c r="C10" s="12" t="s">
        <v>11</v>
      </c>
      <c r="D10" s="229" t="s">
        <v>12</v>
      </c>
      <c r="E10" s="11" t="s">
        <v>13</v>
      </c>
      <c r="F10" s="10" t="s">
        <v>11</v>
      </c>
      <c r="G10" s="229" t="s">
        <v>12</v>
      </c>
      <c r="H10" s="11" t="s">
        <v>13</v>
      </c>
      <c r="I10" s="231" t="s">
        <v>14</v>
      </c>
      <c r="J10" s="233" t="s">
        <v>15</v>
      </c>
    </row>
    <row r="11" spans="2:10" x14ac:dyDescent="0.25">
      <c r="B11" s="225"/>
      <c r="C11" s="14" t="s">
        <v>16</v>
      </c>
      <c r="D11" s="230"/>
      <c r="E11" s="14" t="s">
        <v>16</v>
      </c>
      <c r="F11" s="13" t="s">
        <v>16</v>
      </c>
      <c r="G11" s="230"/>
      <c r="H11" s="14" t="s">
        <v>16</v>
      </c>
      <c r="I11" s="232"/>
      <c r="J11" s="234"/>
    </row>
    <row r="12" spans="2:10" x14ac:dyDescent="0.25">
      <c r="B12" s="109" t="s">
        <v>17</v>
      </c>
      <c r="C12" s="39">
        <f>VLOOKUP($C$2,'Data for Bill Impacts'!$A$3:$AD$9,6,0)</f>
        <v>24.47</v>
      </c>
      <c r="D12" s="15">
        <v>1</v>
      </c>
      <c r="E12" s="16">
        <f>D12*C12</f>
        <v>24.47</v>
      </c>
      <c r="F12" s="60">
        <f>VLOOKUP($C$2,'Data for Bill Impacts'!$A$3:$AD$9,19,0)</f>
        <v>28.2</v>
      </c>
      <c r="G12" s="17">
        <f>D12</f>
        <v>1</v>
      </c>
      <c r="H12" s="16">
        <f>G12*F12</f>
        <v>28.2</v>
      </c>
      <c r="I12" s="18">
        <f t="shared" ref="I12:I30" si="0">H12-E12</f>
        <v>3.7300000000000004</v>
      </c>
      <c r="J12" s="19">
        <f>IF(ISERROR(I12/E12), "", I12/E12)</f>
        <v>0.15243154883530857</v>
      </c>
    </row>
    <row r="13" spans="2:10" x14ac:dyDescent="0.25">
      <c r="B13" s="110" t="s">
        <v>18</v>
      </c>
      <c r="C13" s="56">
        <f>VLOOKUP($C$2,'Data for Bill Impacts'!$A$3:$AD$9,8,0)</f>
        <v>1.49E-2</v>
      </c>
      <c r="D13" s="15">
        <f>IF($C5&gt;0, $C5, $C4)</f>
        <v>250</v>
      </c>
      <c r="E13" s="16">
        <f t="shared" ref="E13:E18" si="1">D13*C13</f>
        <v>3.7250000000000001</v>
      </c>
      <c r="F13" s="59">
        <f>VLOOKUP($C$2,'Data for Bill Impacts'!$A$3:$AD$9,21,0)</f>
        <v>9.9000000000000008E-3</v>
      </c>
      <c r="G13" s="15">
        <f>D13</f>
        <v>250</v>
      </c>
      <c r="H13" s="16">
        <f>G13*F13</f>
        <v>2.4750000000000001</v>
      </c>
      <c r="I13" s="18">
        <f t="shared" si="0"/>
        <v>-1.25</v>
      </c>
      <c r="J13" s="19">
        <f t="shared" ref="J13:J21" si="2">IF(ISERROR(I13/E13), "", I13/E13)</f>
        <v>-0.33557046979865773</v>
      </c>
    </row>
    <row r="14" spans="2:10" x14ac:dyDescent="0.25">
      <c r="B14" s="111" t="s">
        <v>19</v>
      </c>
      <c r="C14" s="39">
        <f>VLOOKUP($C$2,'Data for Bill Impacts'!$A$3:$AD$9,10,0)</f>
        <v>-0.24</v>
      </c>
      <c r="D14" s="15">
        <v>1</v>
      </c>
      <c r="E14" s="16">
        <f t="shared" si="1"/>
        <v>-0.24</v>
      </c>
      <c r="F14" s="60">
        <f>VLOOKUP($C$2,'Data for Bill Impacts'!$A$3:$AD$9,23,0)</f>
        <v>-0.28000000000000003</v>
      </c>
      <c r="G14" s="17">
        <f>D14</f>
        <v>1</v>
      </c>
      <c r="H14" s="16">
        <f t="shared" ref="H14:H21" si="3">G14*F14</f>
        <v>-0.28000000000000003</v>
      </c>
      <c r="I14" s="18">
        <f t="shared" si="0"/>
        <v>-4.0000000000000036E-2</v>
      </c>
      <c r="J14" s="19">
        <f t="shared" si="2"/>
        <v>0.16666666666666682</v>
      </c>
    </row>
    <row r="15" spans="2:10" x14ac:dyDescent="0.25">
      <c r="B15" s="110" t="s">
        <v>20</v>
      </c>
      <c r="C15" s="40">
        <f>VLOOKUP($C$2,'Data for Bill Impacts'!$A$3:$AD$9,11,0)+VLOOKUP($C$2,'Data for Bill Impacts'!$A$3:$AD$9,16,0)</f>
        <v>-1.5E-3</v>
      </c>
      <c r="D15" s="15">
        <f>D13</f>
        <v>250</v>
      </c>
      <c r="E15" s="16">
        <f t="shared" si="1"/>
        <v>-0.375</v>
      </c>
      <c r="F15" s="58">
        <f>VLOOKUP($C$2,'Data for Bill Impacts'!$A$3:$AD$9,24,0)+VLOOKUP($C$2,'Data for Bill Impacts'!$A$3:$AD$9,28,0)</f>
        <v>-1.4E-3</v>
      </c>
      <c r="G15" s="17">
        <f>D15</f>
        <v>250</v>
      </c>
      <c r="H15" s="16">
        <f t="shared" si="3"/>
        <v>-0.35</v>
      </c>
      <c r="I15" s="18">
        <f t="shared" si="0"/>
        <v>2.5000000000000022E-2</v>
      </c>
      <c r="J15" s="101">
        <f t="shared" si="2"/>
        <v>-6.6666666666666721E-2</v>
      </c>
    </row>
    <row r="16" spans="2:10" x14ac:dyDescent="0.25">
      <c r="B16" s="112" t="s">
        <v>21</v>
      </c>
      <c r="C16" s="89"/>
      <c r="D16" s="90"/>
      <c r="E16" s="91">
        <f>SUM(E12:E15)</f>
        <v>27.580000000000002</v>
      </c>
      <c r="F16" s="92"/>
      <c r="G16" s="93"/>
      <c r="H16" s="91">
        <f>SUM(H12:H15)</f>
        <v>30.044999999999998</v>
      </c>
      <c r="I16" s="87">
        <f t="shared" si="0"/>
        <v>2.4649999999999963</v>
      </c>
      <c r="J16" s="88">
        <f>IF((E16)=0,"",(I16/E16))</f>
        <v>8.9376359680928066E-2</v>
      </c>
    </row>
    <row r="17" spans="2:10" x14ac:dyDescent="0.25">
      <c r="B17" s="113" t="s">
        <v>22</v>
      </c>
      <c r="C17" s="40">
        <f>IF((C4*12&gt;=150000), 0, IF(C3="RPP",(C33*0.65+C34*0.17+C35*0.18),IF(C3="Non-RPP (Retailer)",C36,C37)))</f>
        <v>8.2160000000000011E-2</v>
      </c>
      <c r="D17" s="20">
        <f>IF(C17=0, 0, $C4*C6-C4)</f>
        <v>16.375</v>
      </c>
      <c r="E17" s="16">
        <f>D17*C17</f>
        <v>1.3453700000000002</v>
      </c>
      <c r="F17" s="57">
        <f>IF((C4*12&gt;=150000), 0, IF(C3="RPP",(F33*0.65+F34*0.17+F35*0.18),IF(C3="Non-RPP (Retailer)",F36,F37)))</f>
        <v>8.2160000000000011E-2</v>
      </c>
      <c r="G17" s="20">
        <f>IF(F17=0, 0, C4*C7-C4)</f>
        <v>16.375</v>
      </c>
      <c r="H17" s="16">
        <f>G17*F17</f>
        <v>1.3453700000000002</v>
      </c>
      <c r="I17" s="18">
        <f>H17-E17</f>
        <v>0</v>
      </c>
      <c r="J17" s="19">
        <f>IF(ISERROR(I17/E17), "", I17/E17)</f>
        <v>0</v>
      </c>
    </row>
    <row r="18" spans="2:10" x14ac:dyDescent="0.25">
      <c r="B18" s="114" t="s">
        <v>23</v>
      </c>
      <c r="C18" s="39">
        <f>VLOOKUP($C$2,'Data for Bill Impacts'!$A$3:$AD$9,14,0)</f>
        <v>-1.03E-2</v>
      </c>
      <c r="D18" s="21">
        <f>D13</f>
        <v>250</v>
      </c>
      <c r="E18" s="16">
        <f t="shared" si="1"/>
        <v>-2.5750000000000002</v>
      </c>
      <c r="F18" s="59">
        <f>VLOOKUP($C$2,'Data for Bill Impacts'!$A$3:$AD$9,27,0)</f>
        <v>5.0000000000000001E-4</v>
      </c>
      <c r="G18" s="21">
        <f t="shared" ref="G18:G23" si="4">D18</f>
        <v>250</v>
      </c>
      <c r="H18" s="16">
        <f t="shared" si="3"/>
        <v>0.125</v>
      </c>
      <c r="I18" s="18">
        <f t="shared" si="0"/>
        <v>2.7</v>
      </c>
      <c r="J18" s="19">
        <f t="shared" si="2"/>
        <v>-1.0485436893203883</v>
      </c>
    </row>
    <row r="19" spans="2:10" x14ac:dyDescent="0.25">
      <c r="B19" s="114" t="s">
        <v>24</v>
      </c>
      <c r="C19" s="40">
        <v>0</v>
      </c>
      <c r="D19" s="21">
        <f>D13</f>
        <v>250</v>
      </c>
      <c r="E19" s="16">
        <f>D19*C19</f>
        <v>0</v>
      </c>
      <c r="F19" s="59">
        <v>0</v>
      </c>
      <c r="G19" s="21">
        <f t="shared" si="4"/>
        <v>250</v>
      </c>
      <c r="H19" s="16">
        <f>G19*F19</f>
        <v>0</v>
      </c>
      <c r="I19" s="18">
        <f t="shared" si="0"/>
        <v>0</v>
      </c>
      <c r="J19" s="19" t="str">
        <f t="shared" si="2"/>
        <v/>
      </c>
    </row>
    <row r="20" spans="2:10" x14ac:dyDescent="0.25">
      <c r="B20" s="114" t="s">
        <v>25</v>
      </c>
      <c r="C20" s="39">
        <f>IF(C3="RPP",0,VLOOKUP($C$2,'Data for Bill Impacts'!$A$3:$AD$9,15,0))</f>
        <v>0</v>
      </c>
      <c r="D20" s="21">
        <f>D13</f>
        <v>250</v>
      </c>
      <c r="E20" s="16">
        <f>D20*C20</f>
        <v>0</v>
      </c>
      <c r="F20" s="60">
        <f>IF(C3="RPP",0,VLOOKUP($C$2,'Data for Bill Impacts'!$A$3:$AD$9,26,0))</f>
        <v>0</v>
      </c>
      <c r="G20" s="21">
        <f t="shared" si="4"/>
        <v>250</v>
      </c>
      <c r="H20" s="16">
        <f t="shared" si="3"/>
        <v>0</v>
      </c>
      <c r="I20" s="18">
        <f t="shared" si="0"/>
        <v>0</v>
      </c>
      <c r="J20" s="19" t="str">
        <f t="shared" si="2"/>
        <v/>
      </c>
    </row>
    <row r="21" spans="2:10" x14ac:dyDescent="0.25">
      <c r="B21" s="115" t="s">
        <v>26</v>
      </c>
      <c r="C21" s="56">
        <f>VLOOKUP($C$2,'Data for Bill Impacts'!$A$3:$AD$9,9,0)+VLOOKUP($C$2,'Data for Bill Impacts'!$A$3:$AD$9,12,0)</f>
        <v>4.0000000000000002E-4</v>
      </c>
      <c r="D21" s="21">
        <f>D13</f>
        <v>250</v>
      </c>
      <c r="E21" s="16">
        <f t="shared" ref="E21" si="5">D21*C21</f>
        <v>0.1</v>
      </c>
      <c r="F21" s="59">
        <f>VLOOKUP($C$2,'Data for Bill Impacts'!$A$3:$AD$9,22,0)+VLOOKUP($C$2,'Data for Bill Impacts'!$A$3:$AD$9,25,0)</f>
        <v>4.0000000000000002E-4</v>
      </c>
      <c r="G21" s="21">
        <f t="shared" si="4"/>
        <v>250</v>
      </c>
      <c r="H21" s="16">
        <f t="shared" si="3"/>
        <v>0.1</v>
      </c>
      <c r="I21" s="18">
        <f t="shared" si="0"/>
        <v>0</v>
      </c>
      <c r="J21" s="19">
        <f t="shared" si="2"/>
        <v>0</v>
      </c>
    </row>
    <row r="22" spans="2:10" ht="51" x14ac:dyDescent="0.25">
      <c r="B22" s="116" t="s">
        <v>27</v>
      </c>
      <c r="C22" s="39">
        <f>VLOOKUP($C$2,'Data for Bill Impacts'!$A$3:$AD$9,7,0)</f>
        <v>0.79</v>
      </c>
      <c r="D22" s="15">
        <v>1</v>
      </c>
      <c r="E22" s="16">
        <f>D22*C22</f>
        <v>0.79</v>
      </c>
      <c r="F22" s="60">
        <f>VLOOKUP($C$2,'Data for Bill Impacts'!$A$3:$AD$9,20,0)</f>
        <v>0.79</v>
      </c>
      <c r="G22" s="15">
        <f t="shared" si="4"/>
        <v>1</v>
      </c>
      <c r="H22" s="16">
        <f>G22*F22</f>
        <v>0.79</v>
      </c>
      <c r="I22" s="18">
        <f t="shared" si="0"/>
        <v>0</v>
      </c>
      <c r="J22" s="19">
        <f>IF(ISERROR(I22/E22), "", I22/E22)</f>
        <v>0</v>
      </c>
    </row>
    <row r="23" spans="2:10" x14ac:dyDescent="0.25">
      <c r="B23" s="115" t="s">
        <v>28</v>
      </c>
      <c r="C23" s="40">
        <v>0</v>
      </c>
      <c r="D23" s="21">
        <f>D13</f>
        <v>250</v>
      </c>
      <c r="E23" s="16">
        <f>D23*C23</f>
        <v>0</v>
      </c>
      <c r="F23" s="57">
        <v>0</v>
      </c>
      <c r="G23" s="21">
        <f t="shared" si="4"/>
        <v>250</v>
      </c>
      <c r="H23" s="16">
        <f>G23*F23</f>
        <v>0</v>
      </c>
      <c r="I23" s="18">
        <f t="shared" si="0"/>
        <v>0</v>
      </c>
      <c r="J23" s="19" t="str">
        <f>IF(ISERROR(I23/E23), "", I23/E23)</f>
        <v/>
      </c>
    </row>
    <row r="24" spans="2:10" ht="25.5" x14ac:dyDescent="0.25">
      <c r="B24" s="117" t="s">
        <v>29</v>
      </c>
      <c r="C24" s="82"/>
      <c r="D24" s="83"/>
      <c r="E24" s="84">
        <f>SUM(E16:E23)</f>
        <v>27.240370000000002</v>
      </c>
      <c r="F24" s="85"/>
      <c r="G24" s="86"/>
      <c r="H24" s="84">
        <f>SUM(H16:H23)</f>
        <v>32.405369999999998</v>
      </c>
      <c r="I24" s="87">
        <f t="shared" si="0"/>
        <v>5.1649999999999956</v>
      </c>
      <c r="J24" s="88">
        <f>IF((E24)=0,"",(I24/E24))</f>
        <v>0.18960829092996884</v>
      </c>
    </row>
    <row r="25" spans="2:10" x14ac:dyDescent="0.25">
      <c r="B25" s="118" t="s">
        <v>30</v>
      </c>
      <c r="C25" s="61">
        <f>VLOOKUP($C$2,'Data for Bill Impacts'!$A$3:$AD$9,17,0)</f>
        <v>6.4999999999999997E-3</v>
      </c>
      <c r="D25" s="20">
        <f>IF($C5&gt;0, $C5, $C4*$C6)</f>
        <v>266.375</v>
      </c>
      <c r="E25" s="16">
        <f>D25*C25</f>
        <v>1.7314375</v>
      </c>
      <c r="F25" s="59">
        <f>VLOOKUP($C$2,'Data for Bill Impacts'!$A$3:$AD$9,29,0)</f>
        <v>6.4000000000000003E-3</v>
      </c>
      <c r="G25" s="20">
        <f>D25</f>
        <v>266.375</v>
      </c>
      <c r="H25" s="16">
        <f>G25*F25</f>
        <v>1.7048000000000001</v>
      </c>
      <c r="I25" s="18">
        <f t="shared" si="0"/>
        <v>-2.663749999999987E-2</v>
      </c>
      <c r="J25" s="19">
        <f>IF(ISERROR(I25/E25), "", I25/E25)</f>
        <v>-1.5384615384615309E-2</v>
      </c>
    </row>
    <row r="26" spans="2:10" ht="25.5" x14ac:dyDescent="0.25">
      <c r="B26" s="119" t="s">
        <v>31</v>
      </c>
      <c r="C26" s="62">
        <f>VLOOKUP($C$2,'Data for Bill Impacts'!$A$3:$AD$9,18,0)</f>
        <v>5.4000000000000003E-3</v>
      </c>
      <c r="D26" s="20">
        <f>D25</f>
        <v>266.375</v>
      </c>
      <c r="E26" s="16">
        <f>D26*C26</f>
        <v>1.4384250000000001</v>
      </c>
      <c r="F26" s="59">
        <f>VLOOKUP($C$2,'Data for Bill Impacts'!$A$3:$AD$9,30,0)</f>
        <v>5.4000000000000003E-3</v>
      </c>
      <c r="G26" s="20">
        <f>D26</f>
        <v>266.375</v>
      </c>
      <c r="H26" s="16">
        <f>G26*F26</f>
        <v>1.4384250000000001</v>
      </c>
      <c r="I26" s="18">
        <f t="shared" si="0"/>
        <v>0</v>
      </c>
      <c r="J26" s="19">
        <f>IF(ISERROR(I26/E26), "", I26/E26)</f>
        <v>0</v>
      </c>
    </row>
    <row r="27" spans="2:10" ht="25.5" x14ac:dyDescent="0.25">
      <c r="B27" s="117" t="s">
        <v>32</v>
      </c>
      <c r="C27" s="82"/>
      <c r="D27" s="83"/>
      <c r="E27" s="84">
        <f>SUM(E24:E26)</f>
        <v>30.410232499999999</v>
      </c>
      <c r="F27" s="94"/>
      <c r="G27" s="93"/>
      <c r="H27" s="84">
        <f>SUM(H24:H26)</f>
        <v>35.548594999999999</v>
      </c>
      <c r="I27" s="87">
        <f t="shared" si="0"/>
        <v>5.1383624999999995</v>
      </c>
      <c r="J27" s="88">
        <f>IF((E27)=0,"",(I27/E27))</f>
        <v>0.16896820831606596</v>
      </c>
    </row>
    <row r="28" spans="2:10" x14ac:dyDescent="0.25">
      <c r="B28" s="120" t="s">
        <v>33</v>
      </c>
      <c r="C28" s="63">
        <v>3.6000000000000003E-3</v>
      </c>
      <c r="D28" s="20">
        <f>C4*C6</f>
        <v>266.375</v>
      </c>
      <c r="E28" s="22">
        <f t="shared" ref="E28:E35" si="6">D28*C28</f>
        <v>0.95895000000000008</v>
      </c>
      <c r="F28" s="57">
        <v>3.6000000000000003E-3</v>
      </c>
      <c r="G28" s="20">
        <f>C4*C7</f>
        <v>266.375</v>
      </c>
      <c r="H28" s="22">
        <f t="shared" ref="H28:H35" si="7">G28*F28</f>
        <v>0.95895000000000008</v>
      </c>
      <c r="I28" s="18">
        <f t="shared" si="0"/>
        <v>0</v>
      </c>
      <c r="J28" s="19">
        <f t="shared" ref="J28:J37" si="8">IF(ISERROR(I28/E28), "", I28/E28)</f>
        <v>0</v>
      </c>
    </row>
    <row r="29" spans="2:10" x14ac:dyDescent="0.25">
      <c r="B29" s="121" t="s">
        <v>34</v>
      </c>
      <c r="C29" s="40">
        <v>2.9999999999999997E-4</v>
      </c>
      <c r="D29" s="20">
        <f>C4*C6</f>
        <v>266.375</v>
      </c>
      <c r="E29" s="22">
        <f t="shared" si="6"/>
        <v>7.9912499999999997E-2</v>
      </c>
      <c r="F29" s="57">
        <v>2.9999999999999997E-4</v>
      </c>
      <c r="G29" s="20">
        <f>C4*C7</f>
        <v>266.375</v>
      </c>
      <c r="H29" s="22">
        <f t="shared" si="7"/>
        <v>7.9912499999999997E-2</v>
      </c>
      <c r="I29" s="18">
        <f t="shared" si="0"/>
        <v>0</v>
      </c>
      <c r="J29" s="19">
        <f t="shared" si="8"/>
        <v>0</v>
      </c>
    </row>
    <row r="30" spans="2:10" x14ac:dyDescent="0.25">
      <c r="B30" s="122" t="s">
        <v>35</v>
      </c>
      <c r="C30" s="41">
        <v>0.25</v>
      </c>
      <c r="D30" s="15">
        <v>1</v>
      </c>
      <c r="E30" s="22">
        <f t="shared" si="6"/>
        <v>0.25</v>
      </c>
      <c r="F30" s="102">
        <v>0.25</v>
      </c>
      <c r="G30" s="17">
        <v>1</v>
      </c>
      <c r="H30" s="22">
        <f t="shared" si="7"/>
        <v>0.25</v>
      </c>
      <c r="I30" s="18">
        <f t="shared" si="0"/>
        <v>0</v>
      </c>
      <c r="J30" s="19">
        <f t="shared" si="8"/>
        <v>0</v>
      </c>
    </row>
    <row r="31" spans="2:10" x14ac:dyDescent="0.25">
      <c r="B31" s="131" t="s">
        <v>36</v>
      </c>
      <c r="C31" s="42"/>
      <c r="D31" s="23"/>
      <c r="E31" s="24"/>
      <c r="F31" s="103"/>
      <c r="G31" s="23"/>
      <c r="H31" s="24"/>
      <c r="I31" s="25"/>
      <c r="J31" s="26"/>
    </row>
    <row r="32" spans="2:10" ht="25.5" x14ac:dyDescent="0.25">
      <c r="B32" s="124" t="s">
        <v>37</v>
      </c>
      <c r="C32" s="95"/>
      <c r="D32" s="96"/>
      <c r="E32" s="97"/>
      <c r="F32" s="104"/>
      <c r="G32" s="96"/>
      <c r="H32" s="97"/>
      <c r="I32" s="98"/>
      <c r="J32" s="99"/>
    </row>
    <row r="33" spans="2:10" x14ac:dyDescent="0.25">
      <c r="B33" s="125" t="s">
        <v>38</v>
      </c>
      <c r="C33" s="43">
        <v>6.5000000000000002E-2</v>
      </c>
      <c r="D33" s="27">
        <f>IF(AND(C4*12&gt;=150000),0.65*C4*C6,0.65*C4)</f>
        <v>162.5</v>
      </c>
      <c r="E33" s="22">
        <f t="shared" si="6"/>
        <v>10.5625</v>
      </c>
      <c r="F33" s="105">
        <v>6.5000000000000002E-2</v>
      </c>
      <c r="G33" s="27">
        <f>IF(AND(C4*12&gt;=150000),0.65*C4*C7,0.65*C4)</f>
        <v>162.5</v>
      </c>
      <c r="H33" s="22">
        <f t="shared" si="7"/>
        <v>10.5625</v>
      </c>
      <c r="I33" s="18">
        <f>H33-E33</f>
        <v>0</v>
      </c>
      <c r="J33" s="19">
        <f t="shared" si="8"/>
        <v>0</v>
      </c>
    </row>
    <row r="34" spans="2:10" x14ac:dyDescent="0.25">
      <c r="B34" s="125" t="s">
        <v>39</v>
      </c>
      <c r="C34" s="43">
        <v>9.5000000000000001E-2</v>
      </c>
      <c r="D34" s="27">
        <f>IF(AND(C4*12&gt;=150000),0.17*C4*C6,0.17*C4)</f>
        <v>42.5</v>
      </c>
      <c r="E34" s="22">
        <f t="shared" si="6"/>
        <v>4.0374999999999996</v>
      </c>
      <c r="F34" s="105">
        <v>9.5000000000000001E-2</v>
      </c>
      <c r="G34" s="27">
        <f>IF(AND(C4*12&gt;=150000),0.17*C4*C7,0.17*C4)</f>
        <v>42.5</v>
      </c>
      <c r="H34" s="22">
        <f t="shared" si="7"/>
        <v>4.0374999999999996</v>
      </c>
      <c r="I34" s="18">
        <f>H34-E34</f>
        <v>0</v>
      </c>
      <c r="J34" s="19">
        <f t="shared" si="8"/>
        <v>0</v>
      </c>
    </row>
    <row r="35" spans="2:10" x14ac:dyDescent="0.25">
      <c r="B35" s="108" t="s">
        <v>40</v>
      </c>
      <c r="C35" s="43">
        <v>0.13200000000000001</v>
      </c>
      <c r="D35" s="27">
        <f>IF(AND(C4*12&gt;=150000),0.18*C4*C6,0.18*C4)</f>
        <v>45</v>
      </c>
      <c r="E35" s="22">
        <f t="shared" si="6"/>
        <v>5.94</v>
      </c>
      <c r="F35" s="105">
        <v>0.13200000000000001</v>
      </c>
      <c r="G35" s="27">
        <f>IF(AND(C4*12&gt;=150000),0.18*C4*C7,0.18*C4)</f>
        <v>45</v>
      </c>
      <c r="H35" s="22">
        <f t="shared" si="7"/>
        <v>5.94</v>
      </c>
      <c r="I35" s="18">
        <f>H35-E35</f>
        <v>0</v>
      </c>
      <c r="J35" s="19">
        <f t="shared" si="8"/>
        <v>0</v>
      </c>
    </row>
    <row r="36" spans="2:10" hidden="1" x14ac:dyDescent="0.25">
      <c r="B36" s="64" t="s">
        <v>41</v>
      </c>
      <c r="C36" s="44">
        <v>0.1101</v>
      </c>
      <c r="D36" s="27">
        <f>IF(AND(C4*12&gt;=150000),C4*C6,C4)</f>
        <v>250</v>
      </c>
      <c r="E36" s="22">
        <f>D36*C36</f>
        <v>27.525000000000002</v>
      </c>
      <c r="F36" s="28">
        <f>C36</f>
        <v>0.1101</v>
      </c>
      <c r="G36" s="27">
        <f>IF(AND(C4*12&gt;=150000),C4*C7,C4)</f>
        <v>250</v>
      </c>
      <c r="H36" s="22">
        <f>G36*F36</f>
        <v>27.525000000000002</v>
      </c>
      <c r="I36" s="18">
        <f>H36-E36</f>
        <v>0</v>
      </c>
      <c r="J36" s="19">
        <f t="shared" si="8"/>
        <v>0</v>
      </c>
    </row>
    <row r="37" spans="2:10" hidden="1" x14ac:dyDescent="0.25">
      <c r="B37" s="65" t="s">
        <v>42</v>
      </c>
      <c r="C37" s="44">
        <v>0.1101</v>
      </c>
      <c r="D37" s="27">
        <f>IF(AND(C4*12&gt;=150000),C4*C6,C4)</f>
        <v>250</v>
      </c>
      <c r="E37" s="22">
        <f>D37*C37</f>
        <v>27.525000000000002</v>
      </c>
      <c r="F37" s="28">
        <f>C37</f>
        <v>0.1101</v>
      </c>
      <c r="G37" s="27">
        <f>IF(AND(C4*12&gt;=150000),C4*C7,C4)</f>
        <v>250</v>
      </c>
      <c r="H37" s="22">
        <f>G37*F37</f>
        <v>27.525000000000002</v>
      </c>
      <c r="I37" s="18">
        <f>H37-E37</f>
        <v>0</v>
      </c>
      <c r="J37" s="19">
        <f t="shared" si="8"/>
        <v>0</v>
      </c>
    </row>
    <row r="38" spans="2:10" x14ac:dyDescent="0.25">
      <c r="B38" s="46"/>
      <c r="C38" s="66"/>
      <c r="D38" s="67"/>
      <c r="E38" s="68"/>
      <c r="F38" s="66"/>
      <c r="G38" s="67"/>
      <c r="H38" s="68"/>
      <c r="I38" s="69"/>
      <c r="J38" s="70"/>
    </row>
    <row r="39" spans="2:10" x14ac:dyDescent="0.25">
      <c r="B39" s="128" t="s">
        <v>43</v>
      </c>
      <c r="C39" s="71"/>
      <c r="D39" s="72"/>
      <c r="E39" s="73">
        <f>SUM(E28:E35,E27)</f>
        <v>52.239094999999999</v>
      </c>
      <c r="F39" s="74"/>
      <c r="G39" s="74"/>
      <c r="H39" s="73">
        <f>SUM(H28:H35,H27)</f>
        <v>57.377457499999998</v>
      </c>
      <c r="I39" s="75">
        <f>H39-E39</f>
        <v>5.1383624999999995</v>
      </c>
      <c r="J39" s="76">
        <f>IF((E39)=0,"",(I39/E39))</f>
        <v>9.8362395060634183E-2</v>
      </c>
    </row>
    <row r="40" spans="2:10" x14ac:dyDescent="0.25">
      <c r="B40" s="129" t="s">
        <v>44</v>
      </c>
      <c r="C40" s="45">
        <v>0.13</v>
      </c>
      <c r="D40" s="30"/>
      <c r="E40" s="31">
        <f>E39*C40</f>
        <v>6.7910823499999999</v>
      </c>
      <c r="F40" s="32">
        <v>0.13</v>
      </c>
      <c r="G40" s="15"/>
      <c r="H40" s="31">
        <f>H39*F40</f>
        <v>7.4590694749999997</v>
      </c>
      <c r="I40" s="33">
        <f>H40-E40</f>
        <v>0.66798712499999979</v>
      </c>
      <c r="J40" s="34">
        <f>IF((E40)=0,"",(I40/E40))</f>
        <v>9.8362395060634156E-2</v>
      </c>
    </row>
    <row r="41" spans="2:10" x14ac:dyDescent="0.25">
      <c r="B41" s="129" t="s">
        <v>45</v>
      </c>
      <c r="C41" s="45">
        <v>0.08</v>
      </c>
      <c r="D41" s="30"/>
      <c r="E41" s="31">
        <f>E39*-C41</f>
        <v>-4.1791276000000002</v>
      </c>
      <c r="F41" s="29">
        <v>0.08</v>
      </c>
      <c r="G41" s="15"/>
      <c r="H41" s="31">
        <f>H39*-F41</f>
        <v>-4.5901965999999996</v>
      </c>
      <c r="I41" s="33">
        <f>H41-E41</f>
        <v>-0.41106899999999946</v>
      </c>
      <c r="J41" s="34"/>
    </row>
    <row r="42" spans="2:10" x14ac:dyDescent="0.25">
      <c r="B42" s="130" t="s">
        <v>46</v>
      </c>
      <c r="C42" s="77"/>
      <c r="D42" s="78"/>
      <c r="E42" s="35">
        <f>E39+E40+E41</f>
        <v>54.851049750000001</v>
      </c>
      <c r="F42" s="79"/>
      <c r="G42" s="79"/>
      <c r="H42" s="35">
        <f>H39+H40+H41</f>
        <v>60.246330374999999</v>
      </c>
      <c r="I42" s="80">
        <f>H42-E42</f>
        <v>5.3952806249999981</v>
      </c>
      <c r="J42" s="81">
        <f>IF((E42)=0,"",(I42/E42))</f>
        <v>9.8362395060634142E-2</v>
      </c>
    </row>
    <row r="43" spans="2:10" x14ac:dyDescent="0.25">
      <c r="B43" s="46"/>
      <c r="C43" s="66"/>
      <c r="D43" s="67"/>
      <c r="E43" s="68"/>
      <c r="F43" s="66"/>
      <c r="G43" s="67"/>
      <c r="H43" s="68"/>
      <c r="I43" s="69"/>
      <c r="J43" s="70"/>
    </row>
  </sheetData>
  <dataConsolidate/>
  <mergeCells count="10">
    <mergeCell ref="I9:J9"/>
    <mergeCell ref="D10:D11"/>
    <mergeCell ref="G10:G11"/>
    <mergeCell ref="I10:I11"/>
    <mergeCell ref="J10:J11"/>
    <mergeCell ref="C2:H2"/>
    <mergeCell ref="C3:E3"/>
    <mergeCell ref="B9:B11"/>
    <mergeCell ref="C9:E9"/>
    <mergeCell ref="F9:H9"/>
  </mergeCells>
  <pageMargins left="0.7" right="0.7" top="0.75" bottom="0.75" header="0.3" footer="0.3"/>
  <pageSetup scale="74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'Data for Bill Impacts'!$A$12:$A$14</xm:f>
          </x14:formula1>
          <xm:sqref>C3</xm:sqref>
        </x14:dataValidation>
        <x14:dataValidation type="list" allowBlank="1" showInputMessage="1" showErrorMessage="1">
          <x14:formula1>
            <xm:f>'Data for Bill Impacts'!$A$3:$A$9</xm:f>
          </x14:formula1>
          <xm:sqref>C2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43"/>
  <sheetViews>
    <sheetView topLeftCell="A7" workbookViewId="0">
      <selection activeCell="C29" sqref="C29"/>
    </sheetView>
  </sheetViews>
  <sheetFormatPr defaultRowHeight="15" x14ac:dyDescent="0.25"/>
  <cols>
    <col min="2" max="2" width="39" bestFit="1" customWidth="1"/>
    <col min="6" max="6" width="9.85546875" bestFit="1" customWidth="1"/>
  </cols>
  <sheetData>
    <row r="2" spans="2:10" x14ac:dyDescent="0.25">
      <c r="B2" s="1" t="s">
        <v>0</v>
      </c>
      <c r="C2" s="217" t="s">
        <v>47</v>
      </c>
      <c r="D2" s="218"/>
      <c r="E2" s="218"/>
      <c r="F2" s="218"/>
      <c r="G2" s="218"/>
      <c r="H2" s="219"/>
      <c r="I2" s="2"/>
      <c r="J2" s="2"/>
    </row>
    <row r="3" spans="2:10" x14ac:dyDescent="0.25">
      <c r="B3" s="1" t="s">
        <v>1</v>
      </c>
      <c r="C3" s="220" t="s">
        <v>48</v>
      </c>
      <c r="D3" s="221"/>
      <c r="E3" s="222"/>
      <c r="F3" s="36"/>
      <c r="G3" s="36"/>
      <c r="H3" s="37"/>
      <c r="I3" s="37"/>
      <c r="J3" s="37"/>
    </row>
    <row r="4" spans="2:10" ht="15.75" x14ac:dyDescent="0.25">
      <c r="B4" s="1" t="s">
        <v>2</v>
      </c>
      <c r="C4" s="3">
        <f>VLOOKUP($C$2,'Data for Bill Impacts'!$A$3:$AD$9,3,0)</f>
        <v>750</v>
      </c>
      <c r="D4" s="4" t="s">
        <v>3</v>
      </c>
      <c r="E4" s="5"/>
      <c r="F4" s="37"/>
      <c r="G4" s="37"/>
      <c r="H4" s="38"/>
      <c r="I4" s="38"/>
      <c r="J4" s="38"/>
    </row>
    <row r="5" spans="2:10" ht="15.75" x14ac:dyDescent="0.25">
      <c r="B5" s="1" t="s">
        <v>4</v>
      </c>
      <c r="C5" s="3">
        <f>VLOOKUP($C$2,'Data for Bill Impacts'!$A$3:$AD$9,4,0)</f>
        <v>0</v>
      </c>
      <c r="D5" s="6" t="s">
        <v>5</v>
      </c>
      <c r="E5" s="7"/>
      <c r="F5" s="8"/>
      <c r="G5" s="8"/>
      <c r="H5" s="8"/>
      <c r="I5" s="2"/>
      <c r="J5" s="2"/>
    </row>
    <row r="6" spans="2:10" x14ac:dyDescent="0.25">
      <c r="B6" s="1" t="s">
        <v>6</v>
      </c>
      <c r="C6" s="100">
        <f>VLOOKUP($C$2,'Data for Bill Impacts'!$A$3:$AD$9,2,0)</f>
        <v>1.0654999999999999</v>
      </c>
      <c r="D6" s="2"/>
      <c r="E6" s="2"/>
      <c r="F6" s="2"/>
      <c r="G6" s="2"/>
      <c r="H6" s="2"/>
      <c r="I6" s="2"/>
      <c r="J6" s="2"/>
    </row>
    <row r="7" spans="2:10" x14ac:dyDescent="0.25">
      <c r="B7" s="1" t="s">
        <v>7</v>
      </c>
      <c r="C7" s="9">
        <f>C6</f>
        <v>1.0654999999999999</v>
      </c>
      <c r="D7" s="2"/>
      <c r="E7" s="2"/>
      <c r="F7" s="2"/>
      <c r="G7" s="2"/>
      <c r="H7" s="2"/>
      <c r="I7" s="2"/>
      <c r="J7" s="2"/>
    </row>
    <row r="8" spans="2:10" x14ac:dyDescent="0.25">
      <c r="B8" s="5"/>
      <c r="C8" s="2"/>
      <c r="D8" s="2"/>
      <c r="E8" s="2"/>
      <c r="F8" s="2"/>
      <c r="G8" s="2"/>
      <c r="H8" s="2"/>
      <c r="I8" s="2"/>
      <c r="J8" s="2"/>
    </row>
    <row r="9" spans="2:10" x14ac:dyDescent="0.25">
      <c r="B9" s="223"/>
      <c r="C9" s="226" t="s">
        <v>8</v>
      </c>
      <c r="D9" s="226"/>
      <c r="E9" s="227"/>
      <c r="F9" s="228" t="s">
        <v>9</v>
      </c>
      <c r="G9" s="226"/>
      <c r="H9" s="227"/>
      <c r="I9" s="228" t="s">
        <v>10</v>
      </c>
      <c r="J9" s="227"/>
    </row>
    <row r="10" spans="2:10" x14ac:dyDescent="0.25">
      <c r="B10" s="224"/>
      <c r="C10" s="12" t="s">
        <v>11</v>
      </c>
      <c r="D10" s="229" t="s">
        <v>12</v>
      </c>
      <c r="E10" s="11" t="s">
        <v>13</v>
      </c>
      <c r="F10" s="10" t="s">
        <v>11</v>
      </c>
      <c r="G10" s="229" t="s">
        <v>12</v>
      </c>
      <c r="H10" s="11" t="s">
        <v>13</v>
      </c>
      <c r="I10" s="231" t="s">
        <v>14</v>
      </c>
      <c r="J10" s="233" t="s">
        <v>15</v>
      </c>
    </row>
    <row r="11" spans="2:10" x14ac:dyDescent="0.25">
      <c r="B11" s="225"/>
      <c r="C11" s="14" t="s">
        <v>16</v>
      </c>
      <c r="D11" s="230"/>
      <c r="E11" s="14" t="s">
        <v>16</v>
      </c>
      <c r="F11" s="13" t="s">
        <v>16</v>
      </c>
      <c r="G11" s="230"/>
      <c r="H11" s="14" t="s">
        <v>16</v>
      </c>
      <c r="I11" s="232"/>
      <c r="J11" s="234"/>
    </row>
    <row r="12" spans="2:10" x14ac:dyDescent="0.25">
      <c r="B12" s="109" t="s">
        <v>17</v>
      </c>
      <c r="C12" s="39">
        <f>VLOOKUP($C$2,'Data for Bill Impacts'!$A$3:$AD$9,6,0)</f>
        <v>24.47</v>
      </c>
      <c r="D12" s="15">
        <v>1</v>
      </c>
      <c r="E12" s="16">
        <f>D12*C12</f>
        <v>24.47</v>
      </c>
      <c r="F12" s="60">
        <f>VLOOKUP($C$2,'Data for Bill Impacts'!$A$3:$AD$9,19,0)</f>
        <v>28.2</v>
      </c>
      <c r="G12" s="17">
        <f>D12</f>
        <v>1</v>
      </c>
      <c r="H12" s="16">
        <f>G12*F12</f>
        <v>28.2</v>
      </c>
      <c r="I12" s="18">
        <f t="shared" ref="I12:I30" si="0">H12-E12</f>
        <v>3.7300000000000004</v>
      </c>
      <c r="J12" s="19">
        <f>IF(ISERROR(I12/E12), "", I12/E12)</f>
        <v>0.15243154883530857</v>
      </c>
    </row>
    <row r="13" spans="2:10" x14ac:dyDescent="0.25">
      <c r="B13" s="110" t="s">
        <v>18</v>
      </c>
      <c r="C13" s="56">
        <f>VLOOKUP($C$2,'Data for Bill Impacts'!$A$3:$AD$9,8,0)</f>
        <v>1.49E-2</v>
      </c>
      <c r="D13" s="15">
        <f>IF($C5&gt;0, $C5, $C4)</f>
        <v>750</v>
      </c>
      <c r="E13" s="16">
        <f t="shared" ref="E13:E18" si="1">D13*C13</f>
        <v>11.175000000000001</v>
      </c>
      <c r="F13" s="59">
        <f>VLOOKUP($C$2,'Data for Bill Impacts'!$A$3:$AD$9,21,0)</f>
        <v>9.9000000000000008E-3</v>
      </c>
      <c r="G13" s="15">
        <f>D13</f>
        <v>750</v>
      </c>
      <c r="H13" s="16">
        <f>G13*F13</f>
        <v>7.4250000000000007</v>
      </c>
      <c r="I13" s="18">
        <f t="shared" si="0"/>
        <v>-3.75</v>
      </c>
      <c r="J13" s="19">
        <f t="shared" ref="J13:J21" si="2">IF(ISERROR(I13/E13), "", I13/E13)</f>
        <v>-0.33557046979865768</v>
      </c>
    </row>
    <row r="14" spans="2:10" x14ac:dyDescent="0.25">
      <c r="B14" s="111" t="s">
        <v>19</v>
      </c>
      <c r="C14" s="39">
        <f>VLOOKUP($C$2,'Data for Bill Impacts'!$A$3:$AD$9,10,0)</f>
        <v>-0.24</v>
      </c>
      <c r="D14" s="15">
        <v>1</v>
      </c>
      <c r="E14" s="16">
        <f t="shared" si="1"/>
        <v>-0.24</v>
      </c>
      <c r="F14" s="60">
        <f>VLOOKUP($C$2,'Data for Bill Impacts'!$A$3:$AD$9,23,0)</f>
        <v>-0.28000000000000003</v>
      </c>
      <c r="G14" s="17">
        <f>D14</f>
        <v>1</v>
      </c>
      <c r="H14" s="16">
        <f t="shared" ref="H14:H21" si="3">G14*F14</f>
        <v>-0.28000000000000003</v>
      </c>
      <c r="I14" s="18">
        <f t="shared" si="0"/>
        <v>-4.0000000000000036E-2</v>
      </c>
      <c r="J14" s="19">
        <f t="shared" si="2"/>
        <v>0.16666666666666682</v>
      </c>
    </row>
    <row r="15" spans="2:10" x14ac:dyDescent="0.25">
      <c r="B15" s="110" t="s">
        <v>20</v>
      </c>
      <c r="C15" s="40">
        <f>VLOOKUP($C$2,'Data for Bill Impacts'!$A$3:$AD$9,11,0)+VLOOKUP($C$2,'Data for Bill Impacts'!$A$3:$AD$9,16,0)</f>
        <v>-1.5E-3</v>
      </c>
      <c r="D15" s="15">
        <f>D13</f>
        <v>750</v>
      </c>
      <c r="E15" s="16">
        <f t="shared" si="1"/>
        <v>-1.125</v>
      </c>
      <c r="F15" s="58">
        <f>VLOOKUP($C$2,'Data for Bill Impacts'!$A$3:$AD$9,24,0)+VLOOKUP($C$2,'Data for Bill Impacts'!$A$3:$AD$9,28,0)</f>
        <v>-1.4E-3</v>
      </c>
      <c r="G15" s="17">
        <f>D15</f>
        <v>750</v>
      </c>
      <c r="H15" s="16">
        <f t="shared" si="3"/>
        <v>-1.05</v>
      </c>
      <c r="I15" s="18">
        <f t="shared" si="0"/>
        <v>7.4999999999999956E-2</v>
      </c>
      <c r="J15" s="101">
        <f t="shared" si="2"/>
        <v>-6.6666666666666624E-2</v>
      </c>
    </row>
    <row r="16" spans="2:10" x14ac:dyDescent="0.25">
      <c r="B16" s="112" t="s">
        <v>21</v>
      </c>
      <c r="C16" s="89"/>
      <c r="D16" s="90"/>
      <c r="E16" s="91">
        <f>SUM(E12:E15)</f>
        <v>34.279999999999994</v>
      </c>
      <c r="F16" s="92"/>
      <c r="G16" s="93"/>
      <c r="H16" s="91">
        <f>SUM(H12:H15)</f>
        <v>34.295000000000002</v>
      </c>
      <c r="I16" s="87">
        <f t="shared" si="0"/>
        <v>1.5000000000007674E-2</v>
      </c>
      <c r="J16" s="88">
        <f>IF((E16)=0,"",(I16/E16))</f>
        <v>4.375729288216942E-4</v>
      </c>
    </row>
    <row r="17" spans="2:10" x14ac:dyDescent="0.25">
      <c r="B17" s="113" t="s">
        <v>22</v>
      </c>
      <c r="C17" s="40">
        <f>IF((C4*12&gt;=150000), 0, IF(C3="RPP",(C33*0.65+C34*0.17+C35*0.18),IF(C3="Non-RPP (Retailer)",C36,C37)))</f>
        <v>8.2160000000000011E-2</v>
      </c>
      <c r="D17" s="20">
        <f>IF(C17=0, 0, $C4*C6-C4)</f>
        <v>49.124999999999886</v>
      </c>
      <c r="E17" s="16">
        <f>D17*C17</f>
        <v>4.036109999999991</v>
      </c>
      <c r="F17" s="57">
        <f>IF((C4*12&gt;=150000), 0, IF(C3="RPP",(F33*0.65+F34*0.17+F35*0.18),IF(C3="Non-RPP (Retailer)",F36,F37)))</f>
        <v>8.2160000000000011E-2</v>
      </c>
      <c r="G17" s="20">
        <f>IF(F17=0, 0, C4*C7-C4)</f>
        <v>49.124999999999886</v>
      </c>
      <c r="H17" s="16">
        <f>G17*F17</f>
        <v>4.036109999999991</v>
      </c>
      <c r="I17" s="18">
        <f>H17-E17</f>
        <v>0</v>
      </c>
      <c r="J17" s="19">
        <f>IF(ISERROR(I17/E17), "", I17/E17)</f>
        <v>0</v>
      </c>
    </row>
    <row r="18" spans="2:10" x14ac:dyDescent="0.25">
      <c r="B18" s="114" t="s">
        <v>23</v>
      </c>
      <c r="C18" s="39">
        <f>VLOOKUP($C$2,'Data for Bill Impacts'!$A$3:$AD$9,14,0)</f>
        <v>-1.03E-2</v>
      </c>
      <c r="D18" s="21">
        <f>D13</f>
        <v>750</v>
      </c>
      <c r="E18" s="16">
        <f t="shared" si="1"/>
        <v>-7.7250000000000005</v>
      </c>
      <c r="F18" s="59">
        <f>VLOOKUP($C$2,'Data for Bill Impacts'!$A$3:$AD$9,27,0)</f>
        <v>5.0000000000000001E-4</v>
      </c>
      <c r="G18" s="21">
        <f t="shared" ref="G18:G23" si="4">D18</f>
        <v>750</v>
      </c>
      <c r="H18" s="16">
        <f t="shared" si="3"/>
        <v>0.375</v>
      </c>
      <c r="I18" s="18">
        <f t="shared" si="0"/>
        <v>8.1000000000000014</v>
      </c>
      <c r="J18" s="19">
        <f t="shared" si="2"/>
        <v>-1.0485436893203886</v>
      </c>
    </row>
    <row r="19" spans="2:10" x14ac:dyDescent="0.25">
      <c r="B19" s="114" t="s">
        <v>24</v>
      </c>
      <c r="C19" s="40">
        <v>0</v>
      </c>
      <c r="D19" s="21">
        <f>D13</f>
        <v>750</v>
      </c>
      <c r="E19" s="16">
        <f>D19*C19</f>
        <v>0</v>
      </c>
      <c r="F19" s="59">
        <v>0</v>
      </c>
      <c r="G19" s="21">
        <f t="shared" si="4"/>
        <v>750</v>
      </c>
      <c r="H19" s="16">
        <f>G19*F19</f>
        <v>0</v>
      </c>
      <c r="I19" s="18">
        <f t="shared" si="0"/>
        <v>0</v>
      </c>
      <c r="J19" s="19" t="str">
        <f t="shared" si="2"/>
        <v/>
      </c>
    </row>
    <row r="20" spans="2:10" x14ac:dyDescent="0.25">
      <c r="B20" s="114" t="s">
        <v>25</v>
      </c>
      <c r="C20" s="39">
        <f>IF(C3="RPP",0,VLOOKUP($C$2,'Data for Bill Impacts'!$A$3:$AD$9,15,0))</f>
        <v>0</v>
      </c>
      <c r="D20" s="21">
        <f>D13</f>
        <v>750</v>
      </c>
      <c r="E20" s="16">
        <f>D20*C20</f>
        <v>0</v>
      </c>
      <c r="F20" s="60">
        <f>IF(C3="RPP",0,VLOOKUP($C$2,'Data for Bill Impacts'!$A$3:$AD$9,26,0))</f>
        <v>0</v>
      </c>
      <c r="G20" s="21">
        <f t="shared" si="4"/>
        <v>750</v>
      </c>
      <c r="H20" s="16">
        <f t="shared" si="3"/>
        <v>0</v>
      </c>
      <c r="I20" s="18">
        <f t="shared" si="0"/>
        <v>0</v>
      </c>
      <c r="J20" s="19" t="str">
        <f t="shared" si="2"/>
        <v/>
      </c>
    </row>
    <row r="21" spans="2:10" x14ac:dyDescent="0.25">
      <c r="B21" s="115" t="s">
        <v>26</v>
      </c>
      <c r="C21" s="56">
        <f>VLOOKUP($C$2,'Data for Bill Impacts'!$A$3:$AD$9,9,0)+VLOOKUP($C$2,'Data for Bill Impacts'!$A$3:$AD$9,12,0)</f>
        <v>4.0000000000000002E-4</v>
      </c>
      <c r="D21" s="21">
        <f>D13</f>
        <v>750</v>
      </c>
      <c r="E21" s="16">
        <f t="shared" ref="E21" si="5">D21*C21</f>
        <v>0.3</v>
      </c>
      <c r="F21" s="59">
        <f>VLOOKUP($C$2,'Data for Bill Impacts'!$A$3:$AD$9,22,0)+VLOOKUP($C$2,'Data for Bill Impacts'!$A$3:$AD$9,25,0)</f>
        <v>4.0000000000000002E-4</v>
      </c>
      <c r="G21" s="21">
        <f t="shared" si="4"/>
        <v>750</v>
      </c>
      <c r="H21" s="16">
        <f t="shared" si="3"/>
        <v>0.3</v>
      </c>
      <c r="I21" s="18">
        <f t="shared" si="0"/>
        <v>0</v>
      </c>
      <c r="J21" s="19">
        <f t="shared" si="2"/>
        <v>0</v>
      </c>
    </row>
    <row r="22" spans="2:10" ht="51" x14ac:dyDescent="0.25">
      <c r="B22" s="116" t="s">
        <v>27</v>
      </c>
      <c r="C22" s="39">
        <f>VLOOKUP($C$2,'Data for Bill Impacts'!$A$3:$AD$9,7,0)</f>
        <v>0.79</v>
      </c>
      <c r="D22" s="15">
        <v>1</v>
      </c>
      <c r="E22" s="16">
        <f>D22*C22</f>
        <v>0.79</v>
      </c>
      <c r="F22" s="60">
        <f>VLOOKUP($C$2,'Data for Bill Impacts'!$A$3:$AD$9,20,0)</f>
        <v>0.79</v>
      </c>
      <c r="G22" s="15">
        <f t="shared" si="4"/>
        <v>1</v>
      </c>
      <c r="H22" s="16">
        <f>G22*F22</f>
        <v>0.79</v>
      </c>
      <c r="I22" s="18">
        <f t="shared" si="0"/>
        <v>0</v>
      </c>
      <c r="J22" s="19">
        <f>IF(ISERROR(I22/E22), "", I22/E22)</f>
        <v>0</v>
      </c>
    </row>
    <row r="23" spans="2:10" x14ac:dyDescent="0.25">
      <c r="B23" s="115" t="s">
        <v>28</v>
      </c>
      <c r="C23" s="40">
        <v>0</v>
      </c>
      <c r="D23" s="21">
        <f>D13</f>
        <v>750</v>
      </c>
      <c r="E23" s="16">
        <f>D23*C23</f>
        <v>0</v>
      </c>
      <c r="F23" s="57">
        <v>0</v>
      </c>
      <c r="G23" s="21">
        <f t="shared" si="4"/>
        <v>750</v>
      </c>
      <c r="H23" s="16">
        <f>G23*F23</f>
        <v>0</v>
      </c>
      <c r="I23" s="18">
        <f t="shared" si="0"/>
        <v>0</v>
      </c>
      <c r="J23" s="19" t="str">
        <f>IF(ISERROR(I23/E23), "", I23/E23)</f>
        <v/>
      </c>
    </row>
    <row r="24" spans="2:10" ht="25.5" x14ac:dyDescent="0.25">
      <c r="B24" s="117" t="s">
        <v>29</v>
      </c>
      <c r="C24" s="82"/>
      <c r="D24" s="83"/>
      <c r="E24" s="84">
        <f>SUM(E16:E23)</f>
        <v>31.681109999999986</v>
      </c>
      <c r="F24" s="85"/>
      <c r="G24" s="86"/>
      <c r="H24" s="84">
        <f>SUM(H16:H23)</f>
        <v>39.796109999999992</v>
      </c>
      <c r="I24" s="87">
        <f t="shared" si="0"/>
        <v>8.1150000000000055</v>
      </c>
      <c r="J24" s="88">
        <f>IF((E24)=0,"",(I24/E24))</f>
        <v>0.25614632820630368</v>
      </c>
    </row>
    <row r="25" spans="2:10" x14ac:dyDescent="0.25">
      <c r="B25" s="118" t="s">
        <v>30</v>
      </c>
      <c r="C25" s="61">
        <f>VLOOKUP($C$2,'Data for Bill Impacts'!$A$3:$AD$9,17,0)</f>
        <v>6.4999999999999997E-3</v>
      </c>
      <c r="D25" s="20">
        <f>IF($C5&gt;0, $C5, $C4*$C6)</f>
        <v>799.12499999999989</v>
      </c>
      <c r="E25" s="16">
        <f>D25*C25</f>
        <v>5.1943124999999988</v>
      </c>
      <c r="F25" s="59">
        <f>VLOOKUP($C$2,'Data for Bill Impacts'!$A$3:$AD$9,29,0)</f>
        <v>6.4000000000000003E-3</v>
      </c>
      <c r="G25" s="20">
        <f>D25</f>
        <v>799.12499999999989</v>
      </c>
      <c r="H25" s="16">
        <f>G25*F25</f>
        <v>5.1143999999999998</v>
      </c>
      <c r="I25" s="18">
        <f t="shared" si="0"/>
        <v>-7.9912499999998943E-2</v>
      </c>
      <c r="J25" s="19">
        <f>IF(ISERROR(I25/E25), "", I25/E25)</f>
        <v>-1.5384615384615184E-2</v>
      </c>
    </row>
    <row r="26" spans="2:10" ht="25.5" x14ac:dyDescent="0.25">
      <c r="B26" s="119" t="s">
        <v>31</v>
      </c>
      <c r="C26" s="62">
        <f>VLOOKUP($C$2,'Data for Bill Impacts'!$A$3:$AD$9,18,0)</f>
        <v>5.4000000000000003E-3</v>
      </c>
      <c r="D26" s="20">
        <f>D25</f>
        <v>799.12499999999989</v>
      </c>
      <c r="E26" s="16">
        <f>D26*C26</f>
        <v>4.3152749999999997</v>
      </c>
      <c r="F26" s="59">
        <f>VLOOKUP($C$2,'Data for Bill Impacts'!$A$3:$AD$9,30,0)</f>
        <v>5.4000000000000003E-3</v>
      </c>
      <c r="G26" s="20">
        <f>D26</f>
        <v>799.12499999999989</v>
      </c>
      <c r="H26" s="16">
        <f>G26*F26</f>
        <v>4.3152749999999997</v>
      </c>
      <c r="I26" s="18">
        <f t="shared" si="0"/>
        <v>0</v>
      </c>
      <c r="J26" s="19">
        <f>IF(ISERROR(I26/E26), "", I26/E26)</f>
        <v>0</v>
      </c>
    </row>
    <row r="27" spans="2:10" ht="25.5" x14ac:dyDescent="0.25">
      <c r="B27" s="117" t="s">
        <v>32</v>
      </c>
      <c r="C27" s="82"/>
      <c r="D27" s="83"/>
      <c r="E27" s="84">
        <f>SUM(E24:E26)</f>
        <v>41.190697499999985</v>
      </c>
      <c r="F27" s="94"/>
      <c r="G27" s="93"/>
      <c r="H27" s="84">
        <f>SUM(H24:H26)</f>
        <v>49.225784999999988</v>
      </c>
      <c r="I27" s="87">
        <f t="shared" si="0"/>
        <v>8.035087500000003</v>
      </c>
      <c r="J27" s="88">
        <f>IF((E27)=0,"",(I27/E27))</f>
        <v>0.19507044035853013</v>
      </c>
    </row>
    <row r="28" spans="2:10" x14ac:dyDescent="0.25">
      <c r="B28" s="120" t="s">
        <v>33</v>
      </c>
      <c r="C28" s="63">
        <v>3.6000000000000003E-3</v>
      </c>
      <c r="D28" s="20">
        <f>C4*C6</f>
        <v>799.12499999999989</v>
      </c>
      <c r="E28" s="22">
        <f t="shared" ref="E28:E35" si="6">D28*C28</f>
        <v>2.8768499999999997</v>
      </c>
      <c r="F28" s="57">
        <v>3.6000000000000003E-3</v>
      </c>
      <c r="G28" s="20">
        <f>C4*C7</f>
        <v>799.12499999999989</v>
      </c>
      <c r="H28" s="22">
        <f t="shared" ref="H28:H35" si="7">G28*F28</f>
        <v>2.8768499999999997</v>
      </c>
      <c r="I28" s="18">
        <f t="shared" si="0"/>
        <v>0</v>
      </c>
      <c r="J28" s="19">
        <f t="shared" ref="J28:J37" si="8">IF(ISERROR(I28/E28), "", I28/E28)</f>
        <v>0</v>
      </c>
    </row>
    <row r="29" spans="2:10" x14ac:dyDescent="0.25">
      <c r="B29" s="121" t="s">
        <v>34</v>
      </c>
      <c r="C29" s="40">
        <v>2.9999999999999997E-4</v>
      </c>
      <c r="D29" s="20">
        <f>C4*C6</f>
        <v>799.12499999999989</v>
      </c>
      <c r="E29" s="22">
        <f t="shared" si="6"/>
        <v>0.23973749999999994</v>
      </c>
      <c r="F29" s="57">
        <v>2.9999999999999997E-4</v>
      </c>
      <c r="G29" s="20">
        <f>C4*C7</f>
        <v>799.12499999999989</v>
      </c>
      <c r="H29" s="22">
        <f t="shared" si="7"/>
        <v>0.23973749999999994</v>
      </c>
      <c r="I29" s="18">
        <f t="shared" si="0"/>
        <v>0</v>
      </c>
      <c r="J29" s="19">
        <f t="shared" si="8"/>
        <v>0</v>
      </c>
    </row>
    <row r="30" spans="2:10" x14ac:dyDescent="0.25">
      <c r="B30" s="122" t="s">
        <v>35</v>
      </c>
      <c r="C30" s="41">
        <v>0.25</v>
      </c>
      <c r="D30" s="15">
        <v>1</v>
      </c>
      <c r="E30" s="22">
        <f t="shared" si="6"/>
        <v>0.25</v>
      </c>
      <c r="F30" s="102">
        <v>0.25</v>
      </c>
      <c r="G30" s="17">
        <v>1</v>
      </c>
      <c r="H30" s="22">
        <f t="shared" si="7"/>
        <v>0.25</v>
      </c>
      <c r="I30" s="18">
        <f t="shared" si="0"/>
        <v>0</v>
      </c>
      <c r="J30" s="19">
        <f t="shared" si="8"/>
        <v>0</v>
      </c>
    </row>
    <row r="31" spans="2:10" x14ac:dyDescent="0.25">
      <c r="B31" s="131" t="s">
        <v>36</v>
      </c>
      <c r="C31" s="42"/>
      <c r="D31" s="23"/>
      <c r="E31" s="24"/>
      <c r="F31" s="103"/>
      <c r="G31" s="23"/>
      <c r="H31" s="24"/>
      <c r="I31" s="25"/>
      <c r="J31" s="26"/>
    </row>
    <row r="32" spans="2:10" ht="25.5" x14ac:dyDescent="0.25">
      <c r="B32" s="124" t="s">
        <v>37</v>
      </c>
      <c r="C32" s="95"/>
      <c r="D32" s="96"/>
      <c r="E32" s="97"/>
      <c r="F32" s="104"/>
      <c r="G32" s="96"/>
      <c r="H32" s="97"/>
      <c r="I32" s="98"/>
      <c r="J32" s="99"/>
    </row>
    <row r="33" spans="2:10" x14ac:dyDescent="0.25">
      <c r="B33" s="125" t="s">
        <v>38</v>
      </c>
      <c r="C33" s="43">
        <v>6.5000000000000002E-2</v>
      </c>
      <c r="D33" s="27">
        <f>IF(AND(C4*12&gt;=150000),0.65*C4*C6,0.65*C4)</f>
        <v>487.5</v>
      </c>
      <c r="E33" s="22">
        <f t="shared" si="6"/>
        <v>31.6875</v>
      </c>
      <c r="F33" s="105">
        <v>6.5000000000000002E-2</v>
      </c>
      <c r="G33" s="27">
        <f>IF(AND(C4*12&gt;=150000),0.65*C4*C7,0.65*C4)</f>
        <v>487.5</v>
      </c>
      <c r="H33" s="22">
        <f t="shared" si="7"/>
        <v>31.6875</v>
      </c>
      <c r="I33" s="18">
        <f>H33-E33</f>
        <v>0</v>
      </c>
      <c r="J33" s="19">
        <f t="shared" si="8"/>
        <v>0</v>
      </c>
    </row>
    <row r="34" spans="2:10" x14ac:dyDescent="0.25">
      <c r="B34" s="125" t="s">
        <v>39</v>
      </c>
      <c r="C34" s="43">
        <v>9.5000000000000001E-2</v>
      </c>
      <c r="D34" s="27">
        <f>IF(AND(C4*12&gt;=150000),0.17*C4*C6,0.17*C4)</f>
        <v>127.50000000000001</v>
      </c>
      <c r="E34" s="22">
        <f t="shared" si="6"/>
        <v>12.112500000000001</v>
      </c>
      <c r="F34" s="105">
        <v>9.5000000000000001E-2</v>
      </c>
      <c r="G34" s="27">
        <f>IF(AND(C4*12&gt;=150000),0.17*C4*C7,0.17*C4)</f>
        <v>127.50000000000001</v>
      </c>
      <c r="H34" s="22">
        <f t="shared" si="7"/>
        <v>12.112500000000001</v>
      </c>
      <c r="I34" s="18">
        <f>H34-E34</f>
        <v>0</v>
      </c>
      <c r="J34" s="19">
        <f t="shared" si="8"/>
        <v>0</v>
      </c>
    </row>
    <row r="35" spans="2:10" x14ac:dyDescent="0.25">
      <c r="B35" s="108" t="s">
        <v>40</v>
      </c>
      <c r="C35" s="43">
        <v>0.13200000000000001</v>
      </c>
      <c r="D35" s="27">
        <f>IF(AND(C4*12&gt;=150000),0.18*C4*C6,0.18*C4)</f>
        <v>135</v>
      </c>
      <c r="E35" s="22">
        <f t="shared" si="6"/>
        <v>17.82</v>
      </c>
      <c r="F35" s="105">
        <v>0.13200000000000001</v>
      </c>
      <c r="G35" s="27">
        <f>IF(AND(C4*12&gt;=150000),0.18*C4*C7,0.18*C4)</f>
        <v>135</v>
      </c>
      <c r="H35" s="22">
        <f t="shared" si="7"/>
        <v>17.82</v>
      </c>
      <c r="I35" s="18">
        <f>H35-E35</f>
        <v>0</v>
      </c>
      <c r="J35" s="19">
        <f t="shared" si="8"/>
        <v>0</v>
      </c>
    </row>
    <row r="36" spans="2:10" hidden="1" x14ac:dyDescent="0.25">
      <c r="B36" s="64" t="s">
        <v>41</v>
      </c>
      <c r="C36" s="44">
        <v>0.1101</v>
      </c>
      <c r="D36" s="27">
        <f>IF(AND(C4*12&gt;=150000),C4*C6,C4)</f>
        <v>750</v>
      </c>
      <c r="E36" s="22">
        <f>D36*C36</f>
        <v>82.575000000000003</v>
      </c>
      <c r="F36" s="28">
        <f>C36</f>
        <v>0.1101</v>
      </c>
      <c r="G36" s="27">
        <f>IF(AND(C4*12&gt;=150000),C4*C7,C4)</f>
        <v>750</v>
      </c>
      <c r="H36" s="22">
        <f>G36*F36</f>
        <v>82.575000000000003</v>
      </c>
      <c r="I36" s="18">
        <f>H36-E36</f>
        <v>0</v>
      </c>
      <c r="J36" s="19">
        <f t="shared" si="8"/>
        <v>0</v>
      </c>
    </row>
    <row r="37" spans="2:10" hidden="1" x14ac:dyDescent="0.25">
      <c r="B37" s="65" t="s">
        <v>42</v>
      </c>
      <c r="C37" s="44">
        <v>0.1101</v>
      </c>
      <c r="D37" s="27">
        <f>IF(AND(C4*12&gt;=150000),C4*C6,C4)</f>
        <v>750</v>
      </c>
      <c r="E37" s="22">
        <f>D37*C37</f>
        <v>82.575000000000003</v>
      </c>
      <c r="F37" s="28">
        <f>C37</f>
        <v>0.1101</v>
      </c>
      <c r="G37" s="27">
        <f>IF(AND(C4*12&gt;=150000),C4*C7,C4)</f>
        <v>750</v>
      </c>
      <c r="H37" s="22">
        <f>G37*F37</f>
        <v>82.575000000000003</v>
      </c>
      <c r="I37" s="18">
        <f>H37-E37</f>
        <v>0</v>
      </c>
      <c r="J37" s="19">
        <f t="shared" si="8"/>
        <v>0</v>
      </c>
    </row>
    <row r="38" spans="2:10" x14ac:dyDescent="0.25">
      <c r="B38" s="46"/>
      <c r="C38" s="66"/>
      <c r="D38" s="67"/>
      <c r="E38" s="68"/>
      <c r="F38" s="66"/>
      <c r="G38" s="67"/>
      <c r="H38" s="68"/>
      <c r="I38" s="69"/>
      <c r="J38" s="70"/>
    </row>
    <row r="39" spans="2:10" x14ac:dyDescent="0.25">
      <c r="B39" s="128" t="s">
        <v>43</v>
      </c>
      <c r="C39" s="71"/>
      <c r="D39" s="72"/>
      <c r="E39" s="73">
        <f>SUM(E28:E35,E27)</f>
        <v>106.177285</v>
      </c>
      <c r="F39" s="74"/>
      <c r="G39" s="74"/>
      <c r="H39" s="73">
        <f>SUM(H28:H35,H27)</f>
        <v>114.2123725</v>
      </c>
      <c r="I39" s="75">
        <f>H39-E39</f>
        <v>8.035087500000003</v>
      </c>
      <c r="J39" s="76">
        <f>IF((E39)=0,"",(I39/E39))</f>
        <v>7.5676143913455715E-2</v>
      </c>
    </row>
    <row r="40" spans="2:10" x14ac:dyDescent="0.25">
      <c r="B40" s="129" t="s">
        <v>44</v>
      </c>
      <c r="C40" s="45">
        <v>0.13</v>
      </c>
      <c r="D40" s="30"/>
      <c r="E40" s="31">
        <f>E39*C40</f>
        <v>13.80304705</v>
      </c>
      <c r="F40" s="32">
        <v>0.13</v>
      </c>
      <c r="G40" s="15"/>
      <c r="H40" s="31">
        <f>H39*F40</f>
        <v>14.847608425000001</v>
      </c>
      <c r="I40" s="33">
        <f>H40-E40</f>
        <v>1.0445613750000007</v>
      </c>
      <c r="J40" s="34">
        <f>IF((E40)=0,"",(I40/E40))</f>
        <v>7.5676143913455743E-2</v>
      </c>
    </row>
    <row r="41" spans="2:10" x14ac:dyDescent="0.25">
      <c r="B41" s="129" t="s">
        <v>45</v>
      </c>
      <c r="C41" s="45">
        <v>0.08</v>
      </c>
      <c r="D41" s="30"/>
      <c r="E41" s="31">
        <f>E39*-C41</f>
        <v>-8.4941828000000008</v>
      </c>
      <c r="F41" s="29">
        <v>0.08</v>
      </c>
      <c r="G41" s="15"/>
      <c r="H41" s="31">
        <f>H39*-F41</f>
        <v>-9.1369898000000003</v>
      </c>
      <c r="I41" s="33">
        <f>H41-E41</f>
        <v>-0.64280699999999946</v>
      </c>
      <c r="J41" s="34"/>
    </row>
    <row r="42" spans="2:10" x14ac:dyDescent="0.25">
      <c r="B42" s="130" t="s">
        <v>46</v>
      </c>
      <c r="C42" s="77"/>
      <c r="D42" s="78"/>
      <c r="E42" s="35">
        <f>E39+E40+E41</f>
        <v>111.48614925</v>
      </c>
      <c r="F42" s="79"/>
      <c r="G42" s="79"/>
      <c r="H42" s="35">
        <f>H39+H40+H41</f>
        <v>119.922991125</v>
      </c>
      <c r="I42" s="80">
        <f>H42-E42</f>
        <v>8.4368418749999989</v>
      </c>
      <c r="J42" s="81">
        <f>IF((E42)=0,"",(I42/E42))</f>
        <v>7.5676143913455687E-2</v>
      </c>
    </row>
    <row r="43" spans="2:10" x14ac:dyDescent="0.25">
      <c r="B43" s="46"/>
      <c r="C43" s="66"/>
      <c r="D43" s="67"/>
      <c r="E43" s="68"/>
      <c r="F43" s="66"/>
      <c r="G43" s="67"/>
      <c r="H43" s="68"/>
      <c r="I43" s="69"/>
      <c r="J43" s="70"/>
    </row>
  </sheetData>
  <dataConsolidate/>
  <mergeCells count="10">
    <mergeCell ref="C2:H2"/>
    <mergeCell ref="C3:E3"/>
    <mergeCell ref="C9:E9"/>
    <mergeCell ref="F9:H9"/>
    <mergeCell ref="I9:J9"/>
    <mergeCell ref="I10:I11"/>
    <mergeCell ref="J10:J11"/>
    <mergeCell ref="B9:B11"/>
    <mergeCell ref="D10:D11"/>
    <mergeCell ref="G10:G11"/>
  </mergeCells>
  <pageMargins left="0.7" right="0.7" top="0.75" bottom="0.75" header="0.3" footer="0.3"/>
  <pageSetup scale="74" orientation="portrait" r:id="rId1"/>
  <ignoredErrors>
    <ignoredError sqref="C14:E14 G15:J15 D26 D25 C27:D28 D23 C24:D24 D15:E15 D20 D19 D18 D22 C16:D17 C15 C23 C22 F22 C18 F18 C19 F19 C26 F23 C25 F25 F26 C20 F20 C12:E12 G12:J12 C13:E13 G13:J13 G14:J14 F12:F15 C4:C7 C31:D32 D29:D30 C36:D42 D34 D35 D33" unlockedFormula="1"/>
    <ignoredError sqref="G16:J17 G24:J24 G23:J23 G27:J42 G25:J25 G26:J26 G18:J18 G19:J19 G20:J20 G21:J21 G22:J22 E20 E19 E18 E22 E26 E25 E27:F29 E23 E24:F24 E16:F17 E31:F32 E30 E36:F42 E34 E35 E33" formula="1" unlockedFormula="1"/>
    <ignoredError sqref="E43:J43" 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'Data for Bill Impacts'!$A$3:$A$9</xm:f>
          </x14:formula1>
          <xm:sqref>C2</xm:sqref>
        </x14:dataValidation>
        <x14:dataValidation type="list" allowBlank="1" showInputMessage="1" showErrorMessage="1">
          <x14:formula1>
            <xm:f>'Data for Bill Impacts'!$A$12:$A$14</xm:f>
          </x14:formula1>
          <xm:sqref>C3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43"/>
  <sheetViews>
    <sheetView topLeftCell="A13" workbookViewId="0">
      <selection activeCell="C29" sqref="C29"/>
    </sheetView>
  </sheetViews>
  <sheetFormatPr defaultRowHeight="15" x14ac:dyDescent="0.25"/>
  <cols>
    <col min="2" max="2" width="39" bestFit="1" customWidth="1"/>
    <col min="6" max="6" width="9.85546875" bestFit="1" customWidth="1"/>
  </cols>
  <sheetData>
    <row r="2" spans="2:10" x14ac:dyDescent="0.25">
      <c r="B2" s="1" t="s">
        <v>0</v>
      </c>
      <c r="C2" s="217" t="s">
        <v>47</v>
      </c>
      <c r="D2" s="218"/>
      <c r="E2" s="218"/>
      <c r="F2" s="218"/>
      <c r="G2" s="218"/>
      <c r="H2" s="219"/>
      <c r="I2" s="2"/>
      <c r="J2" s="2"/>
    </row>
    <row r="3" spans="2:10" x14ac:dyDescent="0.25">
      <c r="B3" s="1" t="s">
        <v>1</v>
      </c>
      <c r="C3" s="220" t="s">
        <v>48</v>
      </c>
      <c r="D3" s="221"/>
      <c r="E3" s="222"/>
      <c r="F3" s="36"/>
      <c r="G3" s="36"/>
      <c r="H3" s="37"/>
      <c r="I3" s="37"/>
      <c r="J3" s="37"/>
    </row>
    <row r="4" spans="2:10" ht="15.75" x14ac:dyDescent="0.25">
      <c r="B4" s="1" t="s">
        <v>2</v>
      </c>
      <c r="C4" s="3">
        <v>1500</v>
      </c>
      <c r="D4" s="4" t="s">
        <v>3</v>
      </c>
      <c r="E4" s="5"/>
      <c r="F4" s="37"/>
      <c r="G4" s="37"/>
      <c r="H4" s="38"/>
      <c r="I4" s="38"/>
      <c r="J4" s="38"/>
    </row>
    <row r="5" spans="2:10" ht="15.75" x14ac:dyDescent="0.25">
      <c r="B5" s="1" t="s">
        <v>4</v>
      </c>
      <c r="C5" s="3">
        <f>VLOOKUP($C$2,'Data for Bill Impacts'!$A$3:$AD$9,4,0)</f>
        <v>0</v>
      </c>
      <c r="D5" s="6" t="s">
        <v>5</v>
      </c>
      <c r="E5" s="7"/>
      <c r="F5" s="8"/>
      <c r="G5" s="8"/>
      <c r="H5" s="8"/>
      <c r="I5" s="2"/>
      <c r="J5" s="2"/>
    </row>
    <row r="6" spans="2:10" x14ac:dyDescent="0.25">
      <c r="B6" s="1" t="s">
        <v>6</v>
      </c>
      <c r="C6" s="100">
        <f>VLOOKUP($C$2,'Data for Bill Impacts'!$A$3:$AD$9,2,0)</f>
        <v>1.0654999999999999</v>
      </c>
      <c r="D6" s="2"/>
      <c r="E6" s="2"/>
      <c r="F6" s="2"/>
      <c r="G6" s="2"/>
      <c r="H6" s="2"/>
      <c r="I6" s="2"/>
      <c r="J6" s="2"/>
    </row>
    <row r="7" spans="2:10" x14ac:dyDescent="0.25">
      <c r="B7" s="1" t="s">
        <v>7</v>
      </c>
      <c r="C7" s="9">
        <f>C6</f>
        <v>1.0654999999999999</v>
      </c>
      <c r="D7" s="2"/>
      <c r="E7" s="2"/>
      <c r="F7" s="2"/>
      <c r="G7" s="2"/>
      <c r="H7" s="2"/>
      <c r="I7" s="2"/>
      <c r="J7" s="2"/>
    </row>
    <row r="8" spans="2:10" x14ac:dyDescent="0.25">
      <c r="B8" s="5"/>
      <c r="C8" s="2"/>
      <c r="D8" s="2"/>
      <c r="E8" s="2"/>
      <c r="F8" s="2"/>
      <c r="G8" s="2"/>
      <c r="H8" s="2"/>
      <c r="I8" s="2"/>
      <c r="J8" s="2"/>
    </row>
    <row r="9" spans="2:10" x14ac:dyDescent="0.25">
      <c r="B9" s="223"/>
      <c r="C9" s="226" t="s">
        <v>8</v>
      </c>
      <c r="D9" s="226"/>
      <c r="E9" s="227"/>
      <c r="F9" s="228" t="s">
        <v>9</v>
      </c>
      <c r="G9" s="226"/>
      <c r="H9" s="227"/>
      <c r="I9" s="228" t="s">
        <v>10</v>
      </c>
      <c r="J9" s="227"/>
    </row>
    <row r="10" spans="2:10" x14ac:dyDescent="0.25">
      <c r="B10" s="224"/>
      <c r="C10" s="12" t="s">
        <v>11</v>
      </c>
      <c r="D10" s="229" t="s">
        <v>12</v>
      </c>
      <c r="E10" s="11" t="s">
        <v>13</v>
      </c>
      <c r="F10" s="10" t="s">
        <v>11</v>
      </c>
      <c r="G10" s="229" t="s">
        <v>12</v>
      </c>
      <c r="H10" s="11" t="s">
        <v>13</v>
      </c>
      <c r="I10" s="231" t="s">
        <v>14</v>
      </c>
      <c r="J10" s="233" t="s">
        <v>15</v>
      </c>
    </row>
    <row r="11" spans="2:10" x14ac:dyDescent="0.25">
      <c r="B11" s="225"/>
      <c r="C11" s="14" t="s">
        <v>16</v>
      </c>
      <c r="D11" s="230"/>
      <c r="E11" s="14" t="s">
        <v>16</v>
      </c>
      <c r="F11" s="13" t="s">
        <v>16</v>
      </c>
      <c r="G11" s="230"/>
      <c r="H11" s="14" t="s">
        <v>16</v>
      </c>
      <c r="I11" s="232"/>
      <c r="J11" s="234"/>
    </row>
    <row r="12" spans="2:10" x14ac:dyDescent="0.25">
      <c r="B12" s="109" t="s">
        <v>17</v>
      </c>
      <c r="C12" s="39">
        <f>VLOOKUP($C$2,'Data for Bill Impacts'!$A$3:$AD$9,6,0)</f>
        <v>24.47</v>
      </c>
      <c r="D12" s="15">
        <v>1</v>
      </c>
      <c r="E12" s="16">
        <f>D12*C12</f>
        <v>24.47</v>
      </c>
      <c r="F12" s="60">
        <f>VLOOKUP($C$2,'Data for Bill Impacts'!$A$3:$AD$9,19,0)</f>
        <v>28.2</v>
      </c>
      <c r="G12" s="17">
        <f>D12</f>
        <v>1</v>
      </c>
      <c r="H12" s="16">
        <f>G12*F12</f>
        <v>28.2</v>
      </c>
      <c r="I12" s="18">
        <f t="shared" ref="I12:I30" si="0">H12-E12</f>
        <v>3.7300000000000004</v>
      </c>
      <c r="J12" s="19">
        <f>IF(ISERROR(I12/E12), "", I12/E12)</f>
        <v>0.15243154883530857</v>
      </c>
    </row>
    <row r="13" spans="2:10" x14ac:dyDescent="0.25">
      <c r="B13" s="110" t="s">
        <v>18</v>
      </c>
      <c r="C13" s="56">
        <f>VLOOKUP($C$2,'Data for Bill Impacts'!$A$3:$AD$9,8,0)</f>
        <v>1.49E-2</v>
      </c>
      <c r="D13" s="15">
        <f>IF($C5&gt;0, $C5, $C4)</f>
        <v>1500</v>
      </c>
      <c r="E13" s="16">
        <f t="shared" ref="E13:E18" si="1">D13*C13</f>
        <v>22.35</v>
      </c>
      <c r="F13" s="59">
        <f>VLOOKUP($C$2,'Data for Bill Impacts'!$A$3:$AD$9,21,0)</f>
        <v>9.9000000000000008E-3</v>
      </c>
      <c r="G13" s="15">
        <f>D13</f>
        <v>1500</v>
      </c>
      <c r="H13" s="16">
        <f>G13*F13</f>
        <v>14.850000000000001</v>
      </c>
      <c r="I13" s="18">
        <f t="shared" si="0"/>
        <v>-7.5</v>
      </c>
      <c r="J13" s="19">
        <f t="shared" ref="J13:J21" si="2">IF(ISERROR(I13/E13), "", I13/E13)</f>
        <v>-0.33557046979865768</v>
      </c>
    </row>
    <row r="14" spans="2:10" x14ac:dyDescent="0.25">
      <c r="B14" s="111" t="s">
        <v>19</v>
      </c>
      <c r="C14" s="39">
        <f>VLOOKUP($C$2,'Data for Bill Impacts'!$A$3:$AD$9,10,0)</f>
        <v>-0.24</v>
      </c>
      <c r="D14" s="15">
        <v>1</v>
      </c>
      <c r="E14" s="16">
        <f t="shared" si="1"/>
        <v>-0.24</v>
      </c>
      <c r="F14" s="60">
        <f>VLOOKUP($C$2,'Data for Bill Impacts'!$A$3:$AD$9,23,0)</f>
        <v>-0.28000000000000003</v>
      </c>
      <c r="G14" s="17">
        <f>D14</f>
        <v>1</v>
      </c>
      <c r="H14" s="16">
        <f t="shared" ref="H14:H21" si="3">G14*F14</f>
        <v>-0.28000000000000003</v>
      </c>
      <c r="I14" s="18">
        <f t="shared" si="0"/>
        <v>-4.0000000000000036E-2</v>
      </c>
      <c r="J14" s="19">
        <f t="shared" si="2"/>
        <v>0.16666666666666682</v>
      </c>
    </row>
    <row r="15" spans="2:10" x14ac:dyDescent="0.25">
      <c r="B15" s="110" t="s">
        <v>20</v>
      </c>
      <c r="C15" s="40">
        <f>VLOOKUP($C$2,'Data for Bill Impacts'!$A$3:$AD$9,11,0)+VLOOKUP($C$2,'Data for Bill Impacts'!$A$3:$AD$9,16,0)</f>
        <v>-1.5E-3</v>
      </c>
      <c r="D15" s="15">
        <f>D13</f>
        <v>1500</v>
      </c>
      <c r="E15" s="16">
        <f t="shared" si="1"/>
        <v>-2.25</v>
      </c>
      <c r="F15" s="58">
        <f>VLOOKUP($C$2,'Data for Bill Impacts'!$A$3:$AD$9,24,0)+VLOOKUP($C$2,'Data for Bill Impacts'!$A$3:$AD$9,28,0)</f>
        <v>-1.4E-3</v>
      </c>
      <c r="G15" s="17">
        <f>D15</f>
        <v>1500</v>
      </c>
      <c r="H15" s="16">
        <f t="shared" si="3"/>
        <v>-2.1</v>
      </c>
      <c r="I15" s="18">
        <f t="shared" si="0"/>
        <v>0.14999999999999991</v>
      </c>
      <c r="J15" s="101">
        <f t="shared" si="2"/>
        <v>-6.6666666666666624E-2</v>
      </c>
    </row>
    <row r="16" spans="2:10" x14ac:dyDescent="0.25">
      <c r="B16" s="112" t="s">
        <v>21</v>
      </c>
      <c r="C16" s="89"/>
      <c r="D16" s="90"/>
      <c r="E16" s="91">
        <f>SUM(E12:E15)</f>
        <v>44.33</v>
      </c>
      <c r="F16" s="92"/>
      <c r="G16" s="93"/>
      <c r="H16" s="91">
        <f>SUM(H12:H15)</f>
        <v>40.669999999999995</v>
      </c>
      <c r="I16" s="87">
        <f t="shared" si="0"/>
        <v>-3.6600000000000037</v>
      </c>
      <c r="J16" s="88">
        <f>IF((E16)=0,"",(I16/E16))</f>
        <v>-8.2562598691631031E-2</v>
      </c>
    </row>
    <row r="17" spans="2:10" x14ac:dyDescent="0.25">
      <c r="B17" s="113" t="s">
        <v>22</v>
      </c>
      <c r="C17" s="40">
        <f>IF((C4*12&gt;=150000), 0, IF(C3="RPP",(C33*0.65+C34*0.17+C35*0.18),IF(C3="Non-RPP (Retailer)",C36,C37)))</f>
        <v>8.2160000000000011E-2</v>
      </c>
      <c r="D17" s="20">
        <f>IF(C17=0, 0, $C4*C6-C4)</f>
        <v>98.249999999999773</v>
      </c>
      <c r="E17" s="16">
        <f>D17*C17</f>
        <v>8.072219999999982</v>
      </c>
      <c r="F17" s="57">
        <f>IF((C4*12&gt;=150000), 0, IF(C3="RPP",(F33*0.65+F34*0.17+F35*0.18),IF(C3="Non-RPP (Retailer)",F36,F37)))</f>
        <v>8.2160000000000011E-2</v>
      </c>
      <c r="G17" s="20">
        <f>IF(F17=0, 0, C4*C7-C4)</f>
        <v>98.249999999999773</v>
      </c>
      <c r="H17" s="16">
        <f>G17*F17</f>
        <v>8.072219999999982</v>
      </c>
      <c r="I17" s="18">
        <f>H17-E17</f>
        <v>0</v>
      </c>
      <c r="J17" s="19">
        <f>IF(ISERROR(I17/E17), "", I17/E17)</f>
        <v>0</v>
      </c>
    </row>
    <row r="18" spans="2:10" x14ac:dyDescent="0.25">
      <c r="B18" s="114" t="s">
        <v>23</v>
      </c>
      <c r="C18" s="39">
        <f>VLOOKUP($C$2,'Data for Bill Impacts'!$A$3:$AD$9,14,0)</f>
        <v>-1.03E-2</v>
      </c>
      <c r="D18" s="21">
        <f>D13</f>
        <v>1500</v>
      </c>
      <c r="E18" s="16">
        <f t="shared" si="1"/>
        <v>-15.450000000000001</v>
      </c>
      <c r="F18" s="59">
        <f>VLOOKUP($C$2,'Data for Bill Impacts'!$A$3:$AD$9,27,0)</f>
        <v>5.0000000000000001E-4</v>
      </c>
      <c r="G18" s="21">
        <f t="shared" ref="G18:G23" si="4">D18</f>
        <v>1500</v>
      </c>
      <c r="H18" s="16">
        <f t="shared" si="3"/>
        <v>0.75</v>
      </c>
      <c r="I18" s="18">
        <f t="shared" si="0"/>
        <v>16.200000000000003</v>
      </c>
      <c r="J18" s="19">
        <f t="shared" si="2"/>
        <v>-1.0485436893203886</v>
      </c>
    </row>
    <row r="19" spans="2:10" x14ac:dyDescent="0.25">
      <c r="B19" s="114" t="s">
        <v>24</v>
      </c>
      <c r="C19" s="40">
        <v>0</v>
      </c>
      <c r="D19" s="21">
        <f>D13</f>
        <v>1500</v>
      </c>
      <c r="E19" s="16">
        <f>D19*C19</f>
        <v>0</v>
      </c>
      <c r="F19" s="59">
        <v>0</v>
      </c>
      <c r="G19" s="21">
        <f t="shared" si="4"/>
        <v>1500</v>
      </c>
      <c r="H19" s="16">
        <f>G19*F19</f>
        <v>0</v>
      </c>
      <c r="I19" s="18">
        <f t="shared" si="0"/>
        <v>0</v>
      </c>
      <c r="J19" s="19" t="str">
        <f t="shared" si="2"/>
        <v/>
      </c>
    </row>
    <row r="20" spans="2:10" x14ac:dyDescent="0.25">
      <c r="B20" s="114" t="s">
        <v>25</v>
      </c>
      <c r="C20" s="39">
        <f>IF(C3="RPP",0,VLOOKUP($C$2,'Data for Bill Impacts'!$A$3:$AD$9,15,0))</f>
        <v>0</v>
      </c>
      <c r="D20" s="21">
        <f>D13</f>
        <v>1500</v>
      </c>
      <c r="E20" s="16">
        <f>D20*C20</f>
        <v>0</v>
      </c>
      <c r="F20" s="60">
        <f>IF(C3="RPP",0,VLOOKUP($C$2,'Data for Bill Impacts'!$A$3:$AD$9,26,0))</f>
        <v>0</v>
      </c>
      <c r="G20" s="21">
        <f t="shared" si="4"/>
        <v>1500</v>
      </c>
      <c r="H20" s="16">
        <f t="shared" si="3"/>
        <v>0</v>
      </c>
      <c r="I20" s="18">
        <f t="shared" si="0"/>
        <v>0</v>
      </c>
      <c r="J20" s="19" t="str">
        <f t="shared" si="2"/>
        <v/>
      </c>
    </row>
    <row r="21" spans="2:10" x14ac:dyDescent="0.25">
      <c r="B21" s="115" t="s">
        <v>26</v>
      </c>
      <c r="C21" s="56">
        <f>VLOOKUP($C$2,'Data for Bill Impacts'!$A$3:$AD$9,9,0)+VLOOKUP($C$2,'Data for Bill Impacts'!$A$3:$AD$9,12,0)</f>
        <v>4.0000000000000002E-4</v>
      </c>
      <c r="D21" s="21">
        <f>D13</f>
        <v>1500</v>
      </c>
      <c r="E21" s="16">
        <f t="shared" ref="E21" si="5">D21*C21</f>
        <v>0.6</v>
      </c>
      <c r="F21" s="59">
        <f>VLOOKUP($C$2,'Data for Bill Impacts'!$A$3:$AD$9,22,0)+VLOOKUP($C$2,'Data for Bill Impacts'!$A$3:$AD$9,25,0)</f>
        <v>4.0000000000000002E-4</v>
      </c>
      <c r="G21" s="21">
        <f t="shared" si="4"/>
        <v>1500</v>
      </c>
      <c r="H21" s="16">
        <f t="shared" si="3"/>
        <v>0.6</v>
      </c>
      <c r="I21" s="18">
        <f t="shared" si="0"/>
        <v>0</v>
      </c>
      <c r="J21" s="19">
        <f t="shared" si="2"/>
        <v>0</v>
      </c>
    </row>
    <row r="22" spans="2:10" ht="51" x14ac:dyDescent="0.25">
      <c r="B22" s="116" t="s">
        <v>27</v>
      </c>
      <c r="C22" s="39">
        <f>VLOOKUP($C$2,'Data for Bill Impacts'!$A$3:$AD$9,7,0)</f>
        <v>0.79</v>
      </c>
      <c r="D22" s="15">
        <v>1</v>
      </c>
      <c r="E22" s="16">
        <f>D22*C22</f>
        <v>0.79</v>
      </c>
      <c r="F22" s="60">
        <f>VLOOKUP($C$2,'Data for Bill Impacts'!$A$3:$AD$9,20,0)</f>
        <v>0.79</v>
      </c>
      <c r="G22" s="15">
        <f t="shared" si="4"/>
        <v>1</v>
      </c>
      <c r="H22" s="16">
        <f>G22*F22</f>
        <v>0.79</v>
      </c>
      <c r="I22" s="18">
        <f t="shared" si="0"/>
        <v>0</v>
      </c>
      <c r="J22" s="19">
        <f>IF(ISERROR(I22/E22), "", I22/E22)</f>
        <v>0</v>
      </c>
    </row>
    <row r="23" spans="2:10" x14ac:dyDescent="0.25">
      <c r="B23" s="115" t="s">
        <v>28</v>
      </c>
      <c r="C23" s="40">
        <v>0</v>
      </c>
      <c r="D23" s="21">
        <f>D13</f>
        <v>1500</v>
      </c>
      <c r="E23" s="16">
        <f>D23*C23</f>
        <v>0</v>
      </c>
      <c r="F23" s="57">
        <v>0</v>
      </c>
      <c r="G23" s="21">
        <f t="shared" si="4"/>
        <v>1500</v>
      </c>
      <c r="H23" s="16">
        <f>G23*F23</f>
        <v>0</v>
      </c>
      <c r="I23" s="18">
        <f t="shared" si="0"/>
        <v>0</v>
      </c>
      <c r="J23" s="19" t="str">
        <f>IF(ISERROR(I23/E23), "", I23/E23)</f>
        <v/>
      </c>
    </row>
    <row r="24" spans="2:10" ht="25.5" x14ac:dyDescent="0.25">
      <c r="B24" s="117" t="s">
        <v>29</v>
      </c>
      <c r="C24" s="82"/>
      <c r="D24" s="83"/>
      <c r="E24" s="84">
        <f>SUM(E16:E23)</f>
        <v>38.342219999999976</v>
      </c>
      <c r="F24" s="85"/>
      <c r="G24" s="86"/>
      <c r="H24" s="84">
        <f>SUM(H16:H23)</f>
        <v>50.882219999999975</v>
      </c>
      <c r="I24" s="87">
        <f t="shared" si="0"/>
        <v>12.54</v>
      </c>
      <c r="J24" s="88">
        <f>IF((E24)=0,"",(I24/E24))</f>
        <v>0.32705461499099442</v>
      </c>
    </row>
    <row r="25" spans="2:10" x14ac:dyDescent="0.25">
      <c r="B25" s="118" t="s">
        <v>30</v>
      </c>
      <c r="C25" s="61">
        <f>VLOOKUP($C$2,'Data for Bill Impacts'!$A$3:$AD$9,17,0)</f>
        <v>6.4999999999999997E-3</v>
      </c>
      <c r="D25" s="20">
        <f>IF($C5&gt;0, $C5, $C4*$C6)</f>
        <v>1598.2499999999998</v>
      </c>
      <c r="E25" s="16">
        <f>D25*C25</f>
        <v>10.388624999999998</v>
      </c>
      <c r="F25" s="59">
        <f>VLOOKUP($C$2,'Data for Bill Impacts'!$A$3:$AD$9,29,0)</f>
        <v>6.4000000000000003E-3</v>
      </c>
      <c r="G25" s="20">
        <f>D25</f>
        <v>1598.2499999999998</v>
      </c>
      <c r="H25" s="16">
        <f>G25*F25</f>
        <v>10.2288</v>
      </c>
      <c r="I25" s="18">
        <f t="shared" si="0"/>
        <v>-0.15982499999999789</v>
      </c>
      <c r="J25" s="19">
        <f>IF(ISERROR(I25/E25), "", I25/E25)</f>
        <v>-1.5384615384615184E-2</v>
      </c>
    </row>
    <row r="26" spans="2:10" ht="25.5" x14ac:dyDescent="0.25">
      <c r="B26" s="119" t="s">
        <v>31</v>
      </c>
      <c r="C26" s="62">
        <f>VLOOKUP($C$2,'Data for Bill Impacts'!$A$3:$AD$9,18,0)</f>
        <v>5.4000000000000003E-3</v>
      </c>
      <c r="D26" s="20">
        <f>D25</f>
        <v>1598.2499999999998</v>
      </c>
      <c r="E26" s="16">
        <f>D26*C26</f>
        <v>8.6305499999999995</v>
      </c>
      <c r="F26" s="59">
        <f>VLOOKUP($C$2,'Data for Bill Impacts'!$A$3:$AD$9,30,0)</f>
        <v>5.4000000000000003E-3</v>
      </c>
      <c r="G26" s="20">
        <f>D26</f>
        <v>1598.2499999999998</v>
      </c>
      <c r="H26" s="16">
        <f>G26*F26</f>
        <v>8.6305499999999995</v>
      </c>
      <c r="I26" s="18">
        <f t="shared" si="0"/>
        <v>0</v>
      </c>
      <c r="J26" s="19">
        <f>IF(ISERROR(I26/E26), "", I26/E26)</f>
        <v>0</v>
      </c>
    </row>
    <row r="27" spans="2:10" ht="25.5" x14ac:dyDescent="0.25">
      <c r="B27" s="117" t="s">
        <v>32</v>
      </c>
      <c r="C27" s="82"/>
      <c r="D27" s="83"/>
      <c r="E27" s="84">
        <f>SUM(E24:E26)</f>
        <v>57.361394999999973</v>
      </c>
      <c r="F27" s="94"/>
      <c r="G27" s="93"/>
      <c r="H27" s="84">
        <f>SUM(H24:H26)</f>
        <v>69.741569999999967</v>
      </c>
      <c r="I27" s="87">
        <f t="shared" si="0"/>
        <v>12.380174999999994</v>
      </c>
      <c r="J27" s="88">
        <f>IF((E27)=0,"",(I27/E27))</f>
        <v>0.2158276485430663</v>
      </c>
    </row>
    <row r="28" spans="2:10" x14ac:dyDescent="0.25">
      <c r="B28" s="120" t="s">
        <v>33</v>
      </c>
      <c r="C28" s="63">
        <v>3.6000000000000003E-3</v>
      </c>
      <c r="D28" s="20">
        <f>C4*C6</f>
        <v>1598.2499999999998</v>
      </c>
      <c r="E28" s="22">
        <f t="shared" ref="E28:E35" si="6">D28*C28</f>
        <v>5.7536999999999994</v>
      </c>
      <c r="F28" s="57">
        <v>3.6000000000000003E-3</v>
      </c>
      <c r="G28" s="20">
        <f>C4*C7</f>
        <v>1598.2499999999998</v>
      </c>
      <c r="H28" s="22">
        <f t="shared" ref="H28:H35" si="7">G28*F28</f>
        <v>5.7536999999999994</v>
      </c>
      <c r="I28" s="18">
        <f t="shared" si="0"/>
        <v>0</v>
      </c>
      <c r="J28" s="19">
        <f t="shared" ref="J28:J37" si="8">IF(ISERROR(I28/E28), "", I28/E28)</f>
        <v>0</v>
      </c>
    </row>
    <row r="29" spans="2:10" x14ac:dyDescent="0.25">
      <c r="B29" s="121" t="s">
        <v>34</v>
      </c>
      <c r="C29" s="40">
        <v>2.9999999999999997E-4</v>
      </c>
      <c r="D29" s="20">
        <f>C4*C6</f>
        <v>1598.2499999999998</v>
      </c>
      <c r="E29" s="22">
        <f t="shared" si="6"/>
        <v>0.47947499999999987</v>
      </c>
      <c r="F29" s="57">
        <v>2.9999999999999997E-4</v>
      </c>
      <c r="G29" s="20">
        <f>C4*C7</f>
        <v>1598.2499999999998</v>
      </c>
      <c r="H29" s="22">
        <f t="shared" si="7"/>
        <v>0.47947499999999987</v>
      </c>
      <c r="I29" s="18">
        <f t="shared" si="0"/>
        <v>0</v>
      </c>
      <c r="J29" s="19">
        <f t="shared" si="8"/>
        <v>0</v>
      </c>
    </row>
    <row r="30" spans="2:10" x14ac:dyDescent="0.25">
      <c r="B30" s="122" t="s">
        <v>35</v>
      </c>
      <c r="C30" s="41">
        <v>0.25</v>
      </c>
      <c r="D30" s="15">
        <v>1</v>
      </c>
      <c r="E30" s="22">
        <f t="shared" si="6"/>
        <v>0.25</v>
      </c>
      <c r="F30" s="102">
        <v>0.25</v>
      </c>
      <c r="G30" s="17">
        <v>1</v>
      </c>
      <c r="H30" s="22">
        <f t="shared" si="7"/>
        <v>0.25</v>
      </c>
      <c r="I30" s="18">
        <f t="shared" si="0"/>
        <v>0</v>
      </c>
      <c r="J30" s="19">
        <f t="shared" si="8"/>
        <v>0</v>
      </c>
    </row>
    <row r="31" spans="2:10" x14ac:dyDescent="0.25">
      <c r="B31" s="131" t="s">
        <v>36</v>
      </c>
      <c r="C31" s="42"/>
      <c r="D31" s="23"/>
      <c r="E31" s="24"/>
      <c r="F31" s="103"/>
      <c r="G31" s="23"/>
      <c r="H31" s="24"/>
      <c r="I31" s="25"/>
      <c r="J31" s="26"/>
    </row>
    <row r="32" spans="2:10" ht="25.5" x14ac:dyDescent="0.25">
      <c r="B32" s="124" t="s">
        <v>37</v>
      </c>
      <c r="C32" s="95"/>
      <c r="D32" s="96"/>
      <c r="E32" s="97"/>
      <c r="F32" s="104"/>
      <c r="G32" s="96"/>
      <c r="H32" s="97"/>
      <c r="I32" s="98"/>
      <c r="J32" s="99"/>
    </row>
    <row r="33" spans="2:10" x14ac:dyDescent="0.25">
      <c r="B33" s="125" t="s">
        <v>38</v>
      </c>
      <c r="C33" s="43">
        <v>6.5000000000000002E-2</v>
      </c>
      <c r="D33" s="27">
        <f>IF(AND(C4*12&gt;=150000),0.65*C4*C6,0.65*C4)</f>
        <v>975</v>
      </c>
      <c r="E33" s="22">
        <f t="shared" si="6"/>
        <v>63.375</v>
      </c>
      <c r="F33" s="105">
        <v>6.5000000000000002E-2</v>
      </c>
      <c r="G33" s="27">
        <f>IF(AND(C4*12&gt;=150000),0.65*C4*C7,0.65*C4)</f>
        <v>975</v>
      </c>
      <c r="H33" s="22">
        <f t="shared" si="7"/>
        <v>63.375</v>
      </c>
      <c r="I33" s="18">
        <f>H33-E33</f>
        <v>0</v>
      </c>
      <c r="J33" s="19">
        <f t="shared" si="8"/>
        <v>0</v>
      </c>
    </row>
    <row r="34" spans="2:10" x14ac:dyDescent="0.25">
      <c r="B34" s="125" t="s">
        <v>39</v>
      </c>
      <c r="C34" s="43">
        <v>9.5000000000000001E-2</v>
      </c>
      <c r="D34" s="27">
        <f>IF(AND(C4*12&gt;=150000),0.17*C4*C6,0.17*C4)</f>
        <v>255.00000000000003</v>
      </c>
      <c r="E34" s="22">
        <f t="shared" si="6"/>
        <v>24.225000000000001</v>
      </c>
      <c r="F34" s="105">
        <v>9.5000000000000001E-2</v>
      </c>
      <c r="G34" s="27">
        <f>IF(AND(C4*12&gt;=150000),0.17*C4*C7,0.17*C4)</f>
        <v>255.00000000000003</v>
      </c>
      <c r="H34" s="22">
        <f t="shared" si="7"/>
        <v>24.225000000000001</v>
      </c>
      <c r="I34" s="18">
        <f>H34-E34</f>
        <v>0</v>
      </c>
      <c r="J34" s="19">
        <f t="shared" si="8"/>
        <v>0</v>
      </c>
    </row>
    <row r="35" spans="2:10" x14ac:dyDescent="0.25">
      <c r="B35" s="108" t="s">
        <v>40</v>
      </c>
      <c r="C35" s="43">
        <v>0.13200000000000001</v>
      </c>
      <c r="D35" s="27">
        <f>IF(AND(C4*12&gt;=150000),0.18*C4*C6,0.18*C4)</f>
        <v>270</v>
      </c>
      <c r="E35" s="22">
        <f t="shared" si="6"/>
        <v>35.64</v>
      </c>
      <c r="F35" s="105">
        <v>0.13200000000000001</v>
      </c>
      <c r="G35" s="27">
        <f>IF(AND(C4*12&gt;=150000),0.18*C4*C7,0.18*C4)</f>
        <v>270</v>
      </c>
      <c r="H35" s="22">
        <f t="shared" si="7"/>
        <v>35.64</v>
      </c>
      <c r="I35" s="18">
        <f>H35-E35</f>
        <v>0</v>
      </c>
      <c r="J35" s="19">
        <f t="shared" si="8"/>
        <v>0</v>
      </c>
    </row>
    <row r="36" spans="2:10" hidden="1" x14ac:dyDescent="0.25">
      <c r="B36" s="64" t="s">
        <v>41</v>
      </c>
      <c r="C36" s="44">
        <v>0.1101</v>
      </c>
      <c r="D36" s="27">
        <f>IF(AND(C4*12&gt;=150000),C4*C6,C4)</f>
        <v>1500</v>
      </c>
      <c r="E36" s="22">
        <f>D36*C36</f>
        <v>165.15</v>
      </c>
      <c r="F36" s="28">
        <f>C36</f>
        <v>0.1101</v>
      </c>
      <c r="G36" s="27">
        <f>IF(AND(C4*12&gt;=150000),C4*C7,C4)</f>
        <v>1500</v>
      </c>
      <c r="H36" s="22">
        <f>G36*F36</f>
        <v>165.15</v>
      </c>
      <c r="I36" s="18">
        <f>H36-E36</f>
        <v>0</v>
      </c>
      <c r="J36" s="19">
        <f t="shared" si="8"/>
        <v>0</v>
      </c>
    </row>
    <row r="37" spans="2:10" hidden="1" x14ac:dyDescent="0.25">
      <c r="B37" s="65" t="s">
        <v>42</v>
      </c>
      <c r="C37" s="44">
        <v>0.1101</v>
      </c>
      <c r="D37" s="27">
        <f>IF(AND(C4*12&gt;=150000),C4*C6,C4)</f>
        <v>1500</v>
      </c>
      <c r="E37" s="22">
        <f>D37*C37</f>
        <v>165.15</v>
      </c>
      <c r="F37" s="28">
        <f>C37</f>
        <v>0.1101</v>
      </c>
      <c r="G37" s="27">
        <f>IF(AND(C4*12&gt;=150000),C4*C7,C4)</f>
        <v>1500</v>
      </c>
      <c r="H37" s="22">
        <f>G37*F37</f>
        <v>165.15</v>
      </c>
      <c r="I37" s="18">
        <f>H37-E37</f>
        <v>0</v>
      </c>
      <c r="J37" s="19">
        <f t="shared" si="8"/>
        <v>0</v>
      </c>
    </row>
    <row r="38" spans="2:10" x14ac:dyDescent="0.25">
      <c r="B38" s="46"/>
      <c r="C38" s="66"/>
      <c r="D38" s="67"/>
      <c r="E38" s="68"/>
      <c r="F38" s="66"/>
      <c r="G38" s="67"/>
      <c r="H38" s="68"/>
      <c r="I38" s="69"/>
      <c r="J38" s="70"/>
    </row>
    <row r="39" spans="2:10" x14ac:dyDescent="0.25">
      <c r="B39" s="128" t="s">
        <v>43</v>
      </c>
      <c r="C39" s="71"/>
      <c r="D39" s="72"/>
      <c r="E39" s="73">
        <f>SUM(E28:E35,E27)</f>
        <v>187.08456999999999</v>
      </c>
      <c r="F39" s="74"/>
      <c r="G39" s="74"/>
      <c r="H39" s="73">
        <f>SUM(H28:H35,H27)</f>
        <v>199.46474499999999</v>
      </c>
      <c r="I39" s="75">
        <f>H39-E39</f>
        <v>12.380175000000008</v>
      </c>
      <c r="J39" s="76">
        <f>IF((E39)=0,"",(I39/E39))</f>
        <v>6.6174217360630061E-2</v>
      </c>
    </row>
    <row r="40" spans="2:10" x14ac:dyDescent="0.25">
      <c r="B40" s="129" t="s">
        <v>44</v>
      </c>
      <c r="C40" s="45">
        <v>0.13</v>
      </c>
      <c r="D40" s="30"/>
      <c r="E40" s="31">
        <f>E39*C40</f>
        <v>24.3209941</v>
      </c>
      <c r="F40" s="32">
        <v>0.13</v>
      </c>
      <c r="G40" s="15"/>
      <c r="H40" s="31">
        <f>H39*F40</f>
        <v>25.93041685</v>
      </c>
      <c r="I40" s="33">
        <f>H40-E40</f>
        <v>1.6094227500000002</v>
      </c>
      <c r="J40" s="34">
        <f>IF((E40)=0,"",(I40/E40))</f>
        <v>6.6174217360630019E-2</v>
      </c>
    </row>
    <row r="41" spans="2:10" x14ac:dyDescent="0.25">
      <c r="B41" s="129" t="s">
        <v>45</v>
      </c>
      <c r="C41" s="45">
        <v>0.08</v>
      </c>
      <c r="D41" s="30"/>
      <c r="E41" s="31">
        <f>E39*-C41</f>
        <v>-14.966765599999999</v>
      </c>
      <c r="F41" s="29">
        <v>0.08</v>
      </c>
      <c r="G41" s="15"/>
      <c r="H41" s="31">
        <f>H39*-F41</f>
        <v>-15.9571796</v>
      </c>
      <c r="I41" s="33">
        <f>H41-E41</f>
        <v>-0.99041400000000124</v>
      </c>
      <c r="J41" s="34"/>
    </row>
    <row r="42" spans="2:10" x14ac:dyDescent="0.25">
      <c r="B42" s="130" t="s">
        <v>46</v>
      </c>
      <c r="C42" s="77"/>
      <c r="D42" s="78"/>
      <c r="E42" s="35">
        <f>E39+E40+E41</f>
        <v>196.43879849999999</v>
      </c>
      <c r="F42" s="79"/>
      <c r="G42" s="79"/>
      <c r="H42" s="35">
        <f>H39+H40+H41</f>
        <v>209.43798225</v>
      </c>
      <c r="I42" s="80">
        <f>H42-E42</f>
        <v>12.999183750000014</v>
      </c>
      <c r="J42" s="81">
        <f>IF((E42)=0,"",(I42/E42))</f>
        <v>6.6174217360630089E-2</v>
      </c>
    </row>
    <row r="43" spans="2:10" x14ac:dyDescent="0.25">
      <c r="B43" s="46"/>
      <c r="C43" s="66"/>
      <c r="D43" s="67"/>
      <c r="E43" s="68"/>
      <c r="F43" s="66"/>
      <c r="G43" s="67"/>
      <c r="H43" s="68"/>
      <c r="I43" s="69"/>
      <c r="J43" s="70"/>
    </row>
  </sheetData>
  <dataConsolidate/>
  <mergeCells count="10">
    <mergeCell ref="I9:J9"/>
    <mergeCell ref="D10:D11"/>
    <mergeCell ref="G10:G11"/>
    <mergeCell ref="I10:I11"/>
    <mergeCell ref="J10:J11"/>
    <mergeCell ref="C2:H2"/>
    <mergeCell ref="C3:E3"/>
    <mergeCell ref="B9:B11"/>
    <mergeCell ref="C9:E9"/>
    <mergeCell ref="F9:H9"/>
  </mergeCells>
  <pageMargins left="0.7" right="0.7" top="0.75" bottom="0.75" header="0.3" footer="0.3"/>
  <pageSetup scale="74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'Data for Bill Impacts'!$A$12:$A$14</xm:f>
          </x14:formula1>
          <xm:sqref>C3</xm:sqref>
        </x14:dataValidation>
        <x14:dataValidation type="list" allowBlank="1" showInputMessage="1" showErrorMessage="1">
          <x14:formula1>
            <xm:f>'Data for Bill Impacts'!$A$3:$A$9</xm:f>
          </x14:formula1>
          <xm:sqref>C2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43"/>
  <sheetViews>
    <sheetView topLeftCell="A16" workbookViewId="0">
      <selection activeCell="C29" sqref="C29"/>
    </sheetView>
  </sheetViews>
  <sheetFormatPr defaultRowHeight="15" x14ac:dyDescent="0.25"/>
  <cols>
    <col min="2" max="2" width="39" bestFit="1" customWidth="1"/>
    <col min="6" max="6" width="9.85546875" bestFit="1" customWidth="1"/>
  </cols>
  <sheetData>
    <row r="2" spans="2:10" x14ac:dyDescent="0.25">
      <c r="B2" s="1" t="s">
        <v>0</v>
      </c>
      <c r="C2" s="217" t="s">
        <v>65</v>
      </c>
      <c r="D2" s="218"/>
      <c r="E2" s="218"/>
      <c r="F2" s="218"/>
      <c r="G2" s="218"/>
      <c r="H2" s="219"/>
      <c r="I2" s="2"/>
      <c r="J2" s="2"/>
    </row>
    <row r="3" spans="2:10" x14ac:dyDescent="0.25">
      <c r="B3" s="1" t="s">
        <v>1</v>
      </c>
      <c r="C3" s="220" t="s">
        <v>48</v>
      </c>
      <c r="D3" s="221"/>
      <c r="E3" s="222"/>
      <c r="F3" s="36"/>
      <c r="G3" s="36"/>
      <c r="H3" s="37"/>
      <c r="I3" s="37"/>
      <c r="J3" s="37"/>
    </row>
    <row r="4" spans="2:10" ht="15.75" x14ac:dyDescent="0.25">
      <c r="B4" s="1" t="s">
        <v>2</v>
      </c>
      <c r="C4" s="3">
        <f>VLOOKUP($C$2,'Data for Bill Impacts'!$A$3:$AD$9,3,0)</f>
        <v>2000</v>
      </c>
      <c r="D4" s="4" t="s">
        <v>3</v>
      </c>
      <c r="E4" s="5"/>
      <c r="F4" s="37"/>
      <c r="G4" s="37"/>
      <c r="H4" s="38"/>
      <c r="I4" s="38"/>
      <c r="J4" s="38"/>
    </row>
    <row r="5" spans="2:10" ht="15.75" x14ac:dyDescent="0.25">
      <c r="B5" s="1" t="s">
        <v>4</v>
      </c>
      <c r="C5" s="3">
        <f>VLOOKUP($C$2,'Data for Bill Impacts'!$A$3:$AD$9,4,0)</f>
        <v>0</v>
      </c>
      <c r="D5" s="6" t="s">
        <v>5</v>
      </c>
      <c r="E5" s="7"/>
      <c r="F5" s="8"/>
      <c r="G5" s="8"/>
      <c r="H5" s="8"/>
      <c r="I5" s="2"/>
      <c r="J5" s="2"/>
    </row>
    <row r="6" spans="2:10" x14ac:dyDescent="0.25">
      <c r="B6" s="1" t="s">
        <v>6</v>
      </c>
      <c r="C6" s="100">
        <f>VLOOKUP($C$2,'Data for Bill Impacts'!$A$3:$AD$9,2,0)</f>
        <v>1.0654999999999999</v>
      </c>
      <c r="D6" s="2"/>
      <c r="E6" s="2"/>
      <c r="F6" s="2"/>
      <c r="G6" s="2"/>
      <c r="H6" s="2"/>
      <c r="I6" s="2"/>
      <c r="J6" s="2"/>
    </row>
    <row r="7" spans="2:10" x14ac:dyDescent="0.25">
      <c r="B7" s="1" t="s">
        <v>7</v>
      </c>
      <c r="C7" s="9">
        <f>C6</f>
        <v>1.0654999999999999</v>
      </c>
      <c r="D7" s="2"/>
      <c r="E7" s="2"/>
      <c r="F7" s="2"/>
      <c r="G7" s="2"/>
      <c r="H7" s="2"/>
      <c r="I7" s="2"/>
      <c r="J7" s="2"/>
    </row>
    <row r="8" spans="2:10" x14ac:dyDescent="0.25">
      <c r="B8" s="5"/>
      <c r="C8" s="2"/>
      <c r="D8" s="2"/>
      <c r="E8" s="2"/>
      <c r="F8" s="2"/>
      <c r="G8" s="2"/>
      <c r="H8" s="2"/>
      <c r="I8" s="2"/>
      <c r="J8" s="2"/>
    </row>
    <row r="9" spans="2:10" x14ac:dyDescent="0.25">
      <c r="B9" s="223"/>
      <c r="C9" s="228" t="s">
        <v>8</v>
      </c>
      <c r="D9" s="226"/>
      <c r="E9" s="227"/>
      <c r="F9" s="228" t="s">
        <v>9</v>
      </c>
      <c r="G9" s="226"/>
      <c r="H9" s="227"/>
      <c r="I9" s="228" t="s">
        <v>10</v>
      </c>
      <c r="J9" s="227"/>
    </row>
    <row r="10" spans="2:10" x14ac:dyDescent="0.25">
      <c r="B10" s="224"/>
      <c r="C10" s="12" t="s">
        <v>11</v>
      </c>
      <c r="D10" s="229" t="s">
        <v>12</v>
      </c>
      <c r="E10" s="11" t="s">
        <v>13</v>
      </c>
      <c r="F10" s="10" t="s">
        <v>11</v>
      </c>
      <c r="G10" s="229" t="s">
        <v>12</v>
      </c>
      <c r="H10" s="11" t="s">
        <v>13</v>
      </c>
      <c r="I10" s="231" t="s">
        <v>14</v>
      </c>
      <c r="J10" s="233" t="s">
        <v>15</v>
      </c>
    </row>
    <row r="11" spans="2:10" x14ac:dyDescent="0.25">
      <c r="B11" s="225"/>
      <c r="C11" s="14" t="s">
        <v>16</v>
      </c>
      <c r="D11" s="230"/>
      <c r="E11" s="14" t="s">
        <v>16</v>
      </c>
      <c r="F11" s="13" t="s">
        <v>16</v>
      </c>
      <c r="G11" s="230"/>
      <c r="H11" s="14" t="s">
        <v>16</v>
      </c>
      <c r="I11" s="232"/>
      <c r="J11" s="234"/>
    </row>
    <row r="12" spans="2:10" x14ac:dyDescent="0.25">
      <c r="B12" s="109" t="s">
        <v>17</v>
      </c>
      <c r="C12" s="39">
        <f>VLOOKUP($C$2,'Data for Bill Impacts'!$A$3:$AD$9,6,0)</f>
        <v>26.94</v>
      </c>
      <c r="D12" s="15">
        <v>1</v>
      </c>
      <c r="E12" s="16">
        <f>D12*C12</f>
        <v>26.94</v>
      </c>
      <c r="F12" s="60">
        <f>VLOOKUP($C$2,'Data for Bill Impacts'!$A$3:$AD$9,19,0)</f>
        <v>26.94</v>
      </c>
      <c r="G12" s="17">
        <f>D12</f>
        <v>1</v>
      </c>
      <c r="H12" s="16">
        <f>G12*F12</f>
        <v>26.94</v>
      </c>
      <c r="I12" s="18">
        <f t="shared" ref="I12:I30" si="0">H12-E12</f>
        <v>0</v>
      </c>
      <c r="J12" s="19">
        <f>IF(ISERROR(I12/E12), "", I12/E12)</f>
        <v>0</v>
      </c>
    </row>
    <row r="13" spans="2:10" x14ac:dyDescent="0.25">
      <c r="B13" s="110" t="s">
        <v>18</v>
      </c>
      <c r="C13" s="56">
        <f>VLOOKUP($C$2,'Data for Bill Impacts'!$A$3:$AD$9,8,0)</f>
        <v>1.9E-2</v>
      </c>
      <c r="D13" s="15">
        <f>IF($C5&gt;0, $C5, $C4)</f>
        <v>2000</v>
      </c>
      <c r="E13" s="16">
        <f t="shared" ref="E13:E18" si="1">D13*C13</f>
        <v>38</v>
      </c>
      <c r="F13" s="59">
        <f>VLOOKUP($C$2,'Data for Bill Impacts'!$A$3:$AD$9,21,0)</f>
        <v>1.9E-2</v>
      </c>
      <c r="G13" s="15">
        <f>D13</f>
        <v>2000</v>
      </c>
      <c r="H13" s="16">
        <f>G13*F13</f>
        <v>38</v>
      </c>
      <c r="I13" s="18">
        <f t="shared" si="0"/>
        <v>0</v>
      </c>
      <c r="J13" s="19">
        <f t="shared" ref="J13:J21" si="2">IF(ISERROR(I13/E13), "", I13/E13)</f>
        <v>0</v>
      </c>
    </row>
    <row r="14" spans="2:10" x14ac:dyDescent="0.25">
      <c r="B14" s="111" t="s">
        <v>19</v>
      </c>
      <c r="C14" s="39">
        <f>VLOOKUP($C$2,'Data for Bill Impacts'!$A$3:$AD$9,10,0)</f>
        <v>-0.27</v>
      </c>
      <c r="D14" s="15">
        <v>1</v>
      </c>
      <c r="E14" s="16">
        <f t="shared" si="1"/>
        <v>-0.27</v>
      </c>
      <c r="F14" s="60">
        <f>VLOOKUP($C$2,'Data for Bill Impacts'!$A$3:$AD$9,23,0)</f>
        <v>-0.27</v>
      </c>
      <c r="G14" s="17">
        <f>D14</f>
        <v>1</v>
      </c>
      <c r="H14" s="16">
        <f t="shared" ref="H14:H21" si="3">G14*F14</f>
        <v>-0.27</v>
      </c>
      <c r="I14" s="18">
        <f t="shared" si="0"/>
        <v>0</v>
      </c>
      <c r="J14" s="19">
        <f t="shared" si="2"/>
        <v>0</v>
      </c>
    </row>
    <row r="15" spans="2:10" x14ac:dyDescent="0.25">
      <c r="B15" s="110" t="s">
        <v>20</v>
      </c>
      <c r="C15" s="40">
        <f>VLOOKUP($C$2,'Data for Bill Impacts'!$A$3:$AD$9,11,0)+VLOOKUP($C$2,'Data for Bill Impacts'!$A$3:$AD$9,16,0)</f>
        <v>-1E-3</v>
      </c>
      <c r="D15" s="15">
        <f>D13</f>
        <v>2000</v>
      </c>
      <c r="E15" s="16">
        <f t="shared" si="1"/>
        <v>-2</v>
      </c>
      <c r="F15" s="58">
        <f>VLOOKUP($C$2,'Data for Bill Impacts'!$A$3:$AD$9,24,0)+VLOOKUP($C$2,'Data for Bill Impacts'!$A$3:$AD$9,28,0)</f>
        <v>-1E-3</v>
      </c>
      <c r="G15" s="17">
        <f>D15</f>
        <v>2000</v>
      </c>
      <c r="H15" s="16">
        <f t="shared" si="3"/>
        <v>-2</v>
      </c>
      <c r="I15" s="18">
        <f t="shared" si="0"/>
        <v>0</v>
      </c>
      <c r="J15" s="101">
        <f t="shared" si="2"/>
        <v>0</v>
      </c>
    </row>
    <row r="16" spans="2:10" x14ac:dyDescent="0.25">
      <c r="B16" s="112" t="s">
        <v>21</v>
      </c>
      <c r="C16" s="89"/>
      <c r="D16" s="90"/>
      <c r="E16" s="91">
        <f>SUM(E12:E15)</f>
        <v>62.67</v>
      </c>
      <c r="F16" s="92"/>
      <c r="G16" s="93"/>
      <c r="H16" s="91">
        <f>SUM(H12:H15)</f>
        <v>62.67</v>
      </c>
      <c r="I16" s="87">
        <f t="shared" si="0"/>
        <v>0</v>
      </c>
      <c r="J16" s="88">
        <f>IF((E16)=0,"",(I16/E16))</f>
        <v>0</v>
      </c>
    </row>
    <row r="17" spans="2:10" x14ac:dyDescent="0.25">
      <c r="B17" s="113" t="s">
        <v>22</v>
      </c>
      <c r="C17" s="40">
        <f>IF((C4*12&gt;=150000), 0, IF(C3="RPP",(C33*0.65+C34*0.17+C35*0.18),IF(C3="Non-RPP (Retailer)",C36,C37)))</f>
        <v>8.2160000000000011E-2</v>
      </c>
      <c r="D17" s="20">
        <f>IF(C17=0, 0, $C4*C6-C4)</f>
        <v>131</v>
      </c>
      <c r="E17" s="16">
        <f>D17*C17</f>
        <v>10.762960000000001</v>
      </c>
      <c r="F17" s="57">
        <f>IF((C4*12&gt;=150000), 0, IF(C3="RPP",(F33*0.65+F34*0.17+F35*0.18),IF(C3="Non-RPP (Retailer)",F36,F37)))</f>
        <v>8.2160000000000011E-2</v>
      </c>
      <c r="G17" s="20">
        <f>IF(F17=0, 0, C4*C7-C4)</f>
        <v>131</v>
      </c>
      <c r="H17" s="16">
        <f>G17*F17</f>
        <v>10.762960000000001</v>
      </c>
      <c r="I17" s="18">
        <f>H17-E17</f>
        <v>0</v>
      </c>
      <c r="J17" s="19">
        <f>IF(ISERROR(I17/E17), "", I17/E17)</f>
        <v>0</v>
      </c>
    </row>
    <row r="18" spans="2:10" x14ac:dyDescent="0.25">
      <c r="B18" s="114" t="s">
        <v>23</v>
      </c>
      <c r="C18" s="39">
        <f>VLOOKUP($C$2,'Data for Bill Impacts'!$A$3:$AD$9,14,0)</f>
        <v>-1.03E-2</v>
      </c>
      <c r="D18" s="21">
        <f>D13</f>
        <v>2000</v>
      </c>
      <c r="E18" s="16">
        <f t="shared" si="1"/>
        <v>-20.6</v>
      </c>
      <c r="F18" s="59">
        <f>VLOOKUP($C$2,'Data for Bill Impacts'!$A$3:$AD$9,27,0)</f>
        <v>5.0000000000000001E-4</v>
      </c>
      <c r="G18" s="21">
        <f t="shared" ref="G18:G23" si="4">D18</f>
        <v>2000</v>
      </c>
      <c r="H18" s="16">
        <f t="shared" si="3"/>
        <v>1</v>
      </c>
      <c r="I18" s="18">
        <f t="shared" si="0"/>
        <v>21.6</v>
      </c>
      <c r="J18" s="19">
        <f t="shared" si="2"/>
        <v>-1.0485436893203883</v>
      </c>
    </row>
    <row r="19" spans="2:10" x14ac:dyDescent="0.25">
      <c r="B19" s="114" t="s">
        <v>24</v>
      </c>
      <c r="C19" s="40">
        <v>0</v>
      </c>
      <c r="D19" s="21">
        <f>D13</f>
        <v>2000</v>
      </c>
      <c r="E19" s="16">
        <f>D19*C19</f>
        <v>0</v>
      </c>
      <c r="F19" s="59">
        <v>0</v>
      </c>
      <c r="G19" s="21">
        <f t="shared" si="4"/>
        <v>2000</v>
      </c>
      <c r="H19" s="16">
        <f>G19*F19</f>
        <v>0</v>
      </c>
      <c r="I19" s="18">
        <f t="shared" si="0"/>
        <v>0</v>
      </c>
      <c r="J19" s="19" t="str">
        <f t="shared" si="2"/>
        <v/>
      </c>
    </row>
    <row r="20" spans="2:10" x14ac:dyDescent="0.25">
      <c r="B20" s="114" t="s">
        <v>25</v>
      </c>
      <c r="C20" s="39">
        <f>IF(C3="RPP",0,VLOOKUP($C$2,'Data for Bill Impacts'!$A$3:$AD$9,15,0))</f>
        <v>0</v>
      </c>
      <c r="D20" s="21">
        <f>D13</f>
        <v>2000</v>
      </c>
      <c r="E20" s="16">
        <f>D20*C20</f>
        <v>0</v>
      </c>
      <c r="F20" s="60">
        <f>IF(C3="RPP",0,VLOOKUP($C$2,'Data for Bill Impacts'!$A$3:$AD$9,26,0))</f>
        <v>0</v>
      </c>
      <c r="G20" s="21">
        <f t="shared" si="4"/>
        <v>2000</v>
      </c>
      <c r="H20" s="16">
        <f t="shared" si="3"/>
        <v>0</v>
      </c>
      <c r="I20" s="18">
        <f t="shared" si="0"/>
        <v>0</v>
      </c>
      <c r="J20" s="19" t="str">
        <f t="shared" si="2"/>
        <v/>
      </c>
    </row>
    <row r="21" spans="2:10" x14ac:dyDescent="0.25">
      <c r="B21" s="115" t="s">
        <v>26</v>
      </c>
      <c r="C21" s="56">
        <f>VLOOKUP($C$2,'Data for Bill Impacts'!$A$3:$AD$9,9,0)+VLOOKUP($C$2,'Data for Bill Impacts'!$A$3:$AD$9,12,0)</f>
        <v>4.0000000000000002E-4</v>
      </c>
      <c r="D21" s="21">
        <f>D13</f>
        <v>2000</v>
      </c>
      <c r="E21" s="16">
        <f t="shared" ref="E21" si="5">D21*C21</f>
        <v>0.8</v>
      </c>
      <c r="F21" s="59">
        <f>VLOOKUP($C$2,'Data for Bill Impacts'!$A$3:$AD$9,22,0)+VLOOKUP($C$2,'Data for Bill Impacts'!$A$3:$AD$9,25,0)</f>
        <v>4.0000000000000002E-4</v>
      </c>
      <c r="G21" s="21">
        <f t="shared" si="4"/>
        <v>2000</v>
      </c>
      <c r="H21" s="16">
        <f t="shared" si="3"/>
        <v>0.8</v>
      </c>
      <c r="I21" s="18">
        <f t="shared" si="0"/>
        <v>0</v>
      </c>
      <c r="J21" s="19">
        <f t="shared" si="2"/>
        <v>0</v>
      </c>
    </row>
    <row r="22" spans="2:10" ht="51" x14ac:dyDescent="0.25">
      <c r="B22" s="116" t="s">
        <v>27</v>
      </c>
      <c r="C22" s="39">
        <f>VLOOKUP($C$2,'Data for Bill Impacts'!$A$3:$AD$9,7,0)</f>
        <v>0.79</v>
      </c>
      <c r="D22" s="15">
        <v>1</v>
      </c>
      <c r="E22" s="16">
        <f>D22*C22</f>
        <v>0.79</v>
      </c>
      <c r="F22" s="60">
        <f>VLOOKUP($C$2,'Data for Bill Impacts'!$A$3:$AD$9,20,0)</f>
        <v>0.79</v>
      </c>
      <c r="G22" s="15">
        <f t="shared" si="4"/>
        <v>1</v>
      </c>
      <c r="H22" s="16">
        <f>G22*F22</f>
        <v>0.79</v>
      </c>
      <c r="I22" s="18">
        <f t="shared" si="0"/>
        <v>0</v>
      </c>
      <c r="J22" s="19">
        <f>IF(ISERROR(I22/E22), "", I22/E22)</f>
        <v>0</v>
      </c>
    </row>
    <row r="23" spans="2:10" x14ac:dyDescent="0.25">
      <c r="B23" s="115" t="s">
        <v>28</v>
      </c>
      <c r="C23" s="40">
        <v>0</v>
      </c>
      <c r="D23" s="21">
        <f>D13</f>
        <v>2000</v>
      </c>
      <c r="E23" s="16">
        <f>D23*C23</f>
        <v>0</v>
      </c>
      <c r="F23" s="57">
        <v>0</v>
      </c>
      <c r="G23" s="21">
        <f t="shared" si="4"/>
        <v>2000</v>
      </c>
      <c r="H23" s="16">
        <f>G23*F23</f>
        <v>0</v>
      </c>
      <c r="I23" s="18">
        <f t="shared" si="0"/>
        <v>0</v>
      </c>
      <c r="J23" s="19" t="str">
        <f>IF(ISERROR(I23/E23), "", I23/E23)</f>
        <v/>
      </c>
    </row>
    <row r="24" spans="2:10" ht="25.5" x14ac:dyDescent="0.25">
      <c r="B24" s="117" t="s">
        <v>29</v>
      </c>
      <c r="C24" s="82"/>
      <c r="D24" s="83"/>
      <c r="E24" s="84">
        <f>SUM(E16:E23)</f>
        <v>54.422960000000003</v>
      </c>
      <c r="F24" s="85"/>
      <c r="G24" s="86"/>
      <c r="H24" s="84">
        <f>SUM(H16:H23)</f>
        <v>76.022960000000012</v>
      </c>
      <c r="I24" s="87">
        <f t="shared" si="0"/>
        <v>21.600000000000009</v>
      </c>
      <c r="J24" s="88">
        <f>IF((E24)=0,"",(I24/E24))</f>
        <v>0.39689131204917938</v>
      </c>
    </row>
    <row r="25" spans="2:10" x14ac:dyDescent="0.25">
      <c r="B25" s="118" t="s">
        <v>30</v>
      </c>
      <c r="C25" s="61">
        <f>VLOOKUP($C$2,'Data for Bill Impacts'!$A$3:$AD$9,17,0)</f>
        <v>5.8999999999999999E-3</v>
      </c>
      <c r="D25" s="20">
        <f>IF($C5&gt;0, $C5, $C4*$C6)</f>
        <v>2131</v>
      </c>
      <c r="E25" s="16">
        <f>D25*C25</f>
        <v>12.572899999999999</v>
      </c>
      <c r="F25" s="59">
        <f>VLOOKUP($C$2,'Data for Bill Impacts'!$A$3:$AD$9,29,0)</f>
        <v>5.7999999999999996E-3</v>
      </c>
      <c r="G25" s="20">
        <f>D25</f>
        <v>2131</v>
      </c>
      <c r="H25" s="16">
        <f>G25*F25</f>
        <v>12.3598</v>
      </c>
      <c r="I25" s="18">
        <f t="shared" si="0"/>
        <v>-0.21309999999999896</v>
      </c>
      <c r="J25" s="19">
        <f>IF(ISERROR(I25/E25), "", I25/E25)</f>
        <v>-1.6949152542372801E-2</v>
      </c>
    </row>
    <row r="26" spans="2:10" ht="25.5" x14ac:dyDescent="0.25">
      <c r="B26" s="119" t="s">
        <v>31</v>
      </c>
      <c r="C26" s="62">
        <f>VLOOKUP($C$2,'Data for Bill Impacts'!$A$3:$AD$9,18,0)</f>
        <v>5.0000000000000001E-3</v>
      </c>
      <c r="D26" s="20">
        <f>D25</f>
        <v>2131</v>
      </c>
      <c r="E26" s="16">
        <f>D26*C26</f>
        <v>10.654999999999999</v>
      </c>
      <c r="F26" s="59">
        <f>VLOOKUP($C$2,'Data for Bill Impacts'!$A$3:$AD$9,30,0)</f>
        <v>5.0000000000000001E-3</v>
      </c>
      <c r="G26" s="20">
        <f>D26</f>
        <v>2131</v>
      </c>
      <c r="H26" s="16">
        <f>G26*F26</f>
        <v>10.654999999999999</v>
      </c>
      <c r="I26" s="18">
        <f t="shared" si="0"/>
        <v>0</v>
      </c>
      <c r="J26" s="19">
        <f>IF(ISERROR(I26/E26), "", I26/E26)</f>
        <v>0</v>
      </c>
    </row>
    <row r="27" spans="2:10" ht="25.5" x14ac:dyDescent="0.25">
      <c r="B27" s="117" t="s">
        <v>32</v>
      </c>
      <c r="C27" s="82"/>
      <c r="D27" s="83"/>
      <c r="E27" s="84">
        <f>SUM(E24:E26)</f>
        <v>77.650860000000009</v>
      </c>
      <c r="F27" s="94"/>
      <c r="G27" s="93"/>
      <c r="H27" s="84">
        <f>SUM(H24:H26)</f>
        <v>99.03776000000002</v>
      </c>
      <c r="I27" s="87">
        <f t="shared" si="0"/>
        <v>21.386900000000011</v>
      </c>
      <c r="J27" s="88">
        <f>IF((E27)=0,"",(I27/E27))</f>
        <v>0.27542386523471868</v>
      </c>
    </row>
    <row r="28" spans="2:10" x14ac:dyDescent="0.25">
      <c r="B28" s="120" t="s">
        <v>33</v>
      </c>
      <c r="C28" s="63">
        <v>3.6000000000000003E-3</v>
      </c>
      <c r="D28" s="20">
        <f>C4*C6</f>
        <v>2131</v>
      </c>
      <c r="E28" s="22">
        <f t="shared" ref="E28:E35" si="6">D28*C28</f>
        <v>7.6716000000000006</v>
      </c>
      <c r="F28" s="57">
        <v>3.6000000000000003E-3</v>
      </c>
      <c r="G28" s="20">
        <f>C4*C7</f>
        <v>2131</v>
      </c>
      <c r="H28" s="22">
        <f t="shared" ref="H28:H35" si="7">G28*F28</f>
        <v>7.6716000000000006</v>
      </c>
      <c r="I28" s="18">
        <f t="shared" si="0"/>
        <v>0</v>
      </c>
      <c r="J28" s="19">
        <f t="shared" ref="J28:J37" si="8">IF(ISERROR(I28/E28), "", I28/E28)</f>
        <v>0</v>
      </c>
    </row>
    <row r="29" spans="2:10" x14ac:dyDescent="0.25">
      <c r="B29" s="121" t="s">
        <v>34</v>
      </c>
      <c r="C29" s="40">
        <v>2.9999999999999997E-4</v>
      </c>
      <c r="D29" s="20">
        <f>C4*C6</f>
        <v>2131</v>
      </c>
      <c r="E29" s="22">
        <f t="shared" si="6"/>
        <v>0.63929999999999998</v>
      </c>
      <c r="F29" s="57">
        <v>2.9999999999999997E-4</v>
      </c>
      <c r="G29" s="20">
        <f>C4*C7</f>
        <v>2131</v>
      </c>
      <c r="H29" s="22">
        <f t="shared" si="7"/>
        <v>0.63929999999999998</v>
      </c>
      <c r="I29" s="18">
        <f t="shared" si="0"/>
        <v>0</v>
      </c>
      <c r="J29" s="19">
        <f t="shared" si="8"/>
        <v>0</v>
      </c>
    </row>
    <row r="30" spans="2:10" x14ac:dyDescent="0.25">
      <c r="B30" s="122" t="s">
        <v>35</v>
      </c>
      <c r="C30" s="41">
        <v>0.25</v>
      </c>
      <c r="D30" s="15">
        <v>1</v>
      </c>
      <c r="E30" s="22">
        <f t="shared" si="6"/>
        <v>0.25</v>
      </c>
      <c r="F30" s="102">
        <v>0.25</v>
      </c>
      <c r="G30" s="17">
        <v>1</v>
      </c>
      <c r="H30" s="22">
        <f t="shared" si="7"/>
        <v>0.25</v>
      </c>
      <c r="I30" s="18">
        <f t="shared" si="0"/>
        <v>0</v>
      </c>
      <c r="J30" s="19">
        <f t="shared" si="8"/>
        <v>0</v>
      </c>
    </row>
    <row r="31" spans="2:10" x14ac:dyDescent="0.25">
      <c r="B31" s="123" t="s">
        <v>36</v>
      </c>
      <c r="C31" s="43">
        <v>7.0000000000000001E-3</v>
      </c>
      <c r="D31" s="21">
        <f>D13</f>
        <v>2000</v>
      </c>
      <c r="E31" s="106">
        <f t="shared" si="6"/>
        <v>14</v>
      </c>
      <c r="F31" s="105">
        <f>C31</f>
        <v>7.0000000000000001E-3</v>
      </c>
      <c r="G31" s="21">
        <f>D31</f>
        <v>2000</v>
      </c>
      <c r="H31" s="106">
        <f t="shared" si="7"/>
        <v>14</v>
      </c>
      <c r="I31" s="33">
        <f t="shared" ref="I31" si="9">H31-E31</f>
        <v>0</v>
      </c>
      <c r="J31" s="107">
        <f t="shared" ref="J31" si="10">IF(ISERROR(I31/E31), "", I31/E31)</f>
        <v>0</v>
      </c>
    </row>
    <row r="32" spans="2:10" ht="25.5" x14ac:dyDescent="0.25">
      <c r="B32" s="124" t="s">
        <v>37</v>
      </c>
      <c r="C32" s="95"/>
      <c r="D32" s="96"/>
      <c r="E32" s="97"/>
      <c r="F32" s="104"/>
      <c r="G32" s="96"/>
      <c r="H32" s="97"/>
      <c r="I32" s="98"/>
      <c r="J32" s="99"/>
    </row>
    <row r="33" spans="2:10" x14ac:dyDescent="0.25">
      <c r="B33" s="125" t="s">
        <v>38</v>
      </c>
      <c r="C33" s="43">
        <v>6.5000000000000002E-2</v>
      </c>
      <c r="D33" s="27">
        <f>IF(AND(C4*12&gt;=150000),0.65*C4*C6,0.65*C4)</f>
        <v>1300</v>
      </c>
      <c r="E33" s="22">
        <f t="shared" si="6"/>
        <v>84.5</v>
      </c>
      <c r="F33" s="105">
        <v>6.5000000000000002E-2</v>
      </c>
      <c r="G33" s="27">
        <f>IF(AND(C4*12&gt;=150000),0.65*C4*C7,0.65*C4)</f>
        <v>1300</v>
      </c>
      <c r="H33" s="22">
        <f t="shared" si="7"/>
        <v>84.5</v>
      </c>
      <c r="I33" s="18">
        <f>H33-E33</f>
        <v>0</v>
      </c>
      <c r="J33" s="19">
        <f t="shared" si="8"/>
        <v>0</v>
      </c>
    </row>
    <row r="34" spans="2:10" x14ac:dyDescent="0.25">
      <c r="B34" s="125" t="s">
        <v>39</v>
      </c>
      <c r="C34" s="43">
        <v>9.5000000000000001E-2</v>
      </c>
      <c r="D34" s="27">
        <f>IF(AND(C4*12&gt;=150000),0.17*C4*C6,0.17*C4)</f>
        <v>340</v>
      </c>
      <c r="E34" s="22">
        <f t="shared" si="6"/>
        <v>32.299999999999997</v>
      </c>
      <c r="F34" s="105">
        <v>9.5000000000000001E-2</v>
      </c>
      <c r="G34" s="27">
        <f>IF(AND(C4*12&gt;=150000),0.17*C4*C7,0.17*C4)</f>
        <v>340</v>
      </c>
      <c r="H34" s="22">
        <f t="shared" si="7"/>
        <v>32.299999999999997</v>
      </c>
      <c r="I34" s="18">
        <f>H34-E34</f>
        <v>0</v>
      </c>
      <c r="J34" s="19">
        <f t="shared" si="8"/>
        <v>0</v>
      </c>
    </row>
    <row r="35" spans="2:10" x14ac:dyDescent="0.25">
      <c r="B35" s="126" t="s">
        <v>40</v>
      </c>
      <c r="C35" s="43">
        <v>0.13200000000000001</v>
      </c>
      <c r="D35" s="27">
        <f>IF(AND(C4*12&gt;=150000),0.18*C4*C6,0.18*C4)</f>
        <v>360</v>
      </c>
      <c r="E35" s="22">
        <f t="shared" si="6"/>
        <v>47.52</v>
      </c>
      <c r="F35" s="105">
        <v>0.13200000000000001</v>
      </c>
      <c r="G35" s="27">
        <f>IF(AND(C4*12&gt;=150000),0.18*C4*C7,0.18*C4)</f>
        <v>360</v>
      </c>
      <c r="H35" s="22">
        <f t="shared" si="7"/>
        <v>47.52</v>
      </c>
      <c r="I35" s="18">
        <f>H35-E35</f>
        <v>0</v>
      </c>
      <c r="J35" s="19">
        <f t="shared" si="8"/>
        <v>0</v>
      </c>
    </row>
    <row r="36" spans="2:10" hidden="1" x14ac:dyDescent="0.25">
      <c r="B36" s="125" t="s">
        <v>41</v>
      </c>
      <c r="C36" s="44">
        <v>0.1101</v>
      </c>
      <c r="D36" s="27">
        <f>IF(AND(C4*12&gt;=150000),C4*C6,C4)</f>
        <v>2000</v>
      </c>
      <c r="E36" s="22">
        <f>D36*C36</f>
        <v>220.20000000000002</v>
      </c>
      <c r="F36" s="28">
        <f>C36</f>
        <v>0.1101</v>
      </c>
      <c r="G36" s="27">
        <f>IF(AND(C4*12&gt;=150000),C4*C7,C4)</f>
        <v>2000</v>
      </c>
      <c r="H36" s="22">
        <f>G36*F36</f>
        <v>220.20000000000002</v>
      </c>
      <c r="I36" s="18">
        <f>H36-E36</f>
        <v>0</v>
      </c>
      <c r="J36" s="19">
        <f t="shared" si="8"/>
        <v>0</v>
      </c>
    </row>
    <row r="37" spans="2:10" hidden="1" x14ac:dyDescent="0.25">
      <c r="B37" s="127" t="s">
        <v>42</v>
      </c>
      <c r="C37" s="44">
        <v>0.1101</v>
      </c>
      <c r="D37" s="27">
        <f>IF(AND(C4*12&gt;=150000),C4*C6,C4)</f>
        <v>2000</v>
      </c>
      <c r="E37" s="22">
        <f>D37*C37</f>
        <v>220.20000000000002</v>
      </c>
      <c r="F37" s="28">
        <f>C37</f>
        <v>0.1101</v>
      </c>
      <c r="G37" s="27">
        <f>IF(AND(C4*12&gt;=150000),C4*C7,C4)</f>
        <v>2000</v>
      </c>
      <c r="H37" s="22">
        <f>G37*F37</f>
        <v>220.20000000000002</v>
      </c>
      <c r="I37" s="18">
        <f>H37-E37</f>
        <v>0</v>
      </c>
      <c r="J37" s="19">
        <f t="shared" si="8"/>
        <v>0</v>
      </c>
    </row>
    <row r="38" spans="2:10" x14ac:dyDescent="0.25">
      <c r="B38" s="46"/>
      <c r="C38" s="66"/>
      <c r="D38" s="67"/>
      <c r="E38" s="68"/>
      <c r="F38" s="66"/>
      <c r="G38" s="67"/>
      <c r="H38" s="68"/>
      <c r="I38" s="69"/>
      <c r="J38" s="70"/>
    </row>
    <row r="39" spans="2:10" x14ac:dyDescent="0.25">
      <c r="B39" s="128" t="s">
        <v>43</v>
      </c>
      <c r="C39" s="71"/>
      <c r="D39" s="72"/>
      <c r="E39" s="73">
        <f>SUM(E28:E35,E27)</f>
        <v>264.53176000000002</v>
      </c>
      <c r="F39" s="74"/>
      <c r="G39" s="74"/>
      <c r="H39" s="73">
        <f>SUM(H28:H35,H27)</f>
        <v>285.91866000000005</v>
      </c>
      <c r="I39" s="75">
        <f>H39-E39</f>
        <v>21.386900000000026</v>
      </c>
      <c r="J39" s="76">
        <f>IF((E39)=0,"",(I39/E39))</f>
        <v>8.0848137100815509E-2</v>
      </c>
    </row>
    <row r="40" spans="2:10" x14ac:dyDescent="0.25">
      <c r="B40" s="129" t="s">
        <v>44</v>
      </c>
      <c r="C40" s="45">
        <v>0.13</v>
      </c>
      <c r="D40" s="30"/>
      <c r="E40" s="31">
        <f>E39*C40</f>
        <v>34.389128800000002</v>
      </c>
      <c r="F40" s="32">
        <v>0.13</v>
      </c>
      <c r="G40" s="15"/>
      <c r="H40" s="31">
        <f>H39*F40</f>
        <v>37.169425800000006</v>
      </c>
      <c r="I40" s="33">
        <f>H40-E40</f>
        <v>2.7802970000000045</v>
      </c>
      <c r="J40" s="34">
        <f>IF((E40)=0,"",(I40/E40))</f>
        <v>8.0848137100815537E-2</v>
      </c>
    </row>
    <row r="41" spans="2:10" x14ac:dyDescent="0.25">
      <c r="B41" s="129" t="s">
        <v>45</v>
      </c>
      <c r="C41" s="45">
        <v>0.08</v>
      </c>
      <c r="D41" s="30"/>
      <c r="E41" s="31">
        <f>E39*-C41</f>
        <v>-21.162540800000002</v>
      </c>
      <c r="F41" s="29">
        <v>0.08</v>
      </c>
      <c r="G41" s="15"/>
      <c r="H41" s="31">
        <f>H39*-F41</f>
        <v>-22.873492800000005</v>
      </c>
      <c r="I41" s="33">
        <f>H41-E41</f>
        <v>-1.7109520000000025</v>
      </c>
      <c r="J41" s="34"/>
    </row>
    <row r="42" spans="2:10" x14ac:dyDescent="0.25">
      <c r="B42" s="130" t="s">
        <v>46</v>
      </c>
      <c r="C42" s="77"/>
      <c r="D42" s="78"/>
      <c r="E42" s="35">
        <f>E39+E40+E41</f>
        <v>277.75834800000001</v>
      </c>
      <c r="F42" s="79"/>
      <c r="G42" s="79"/>
      <c r="H42" s="35">
        <f>H39+H40+H41</f>
        <v>300.21459300000004</v>
      </c>
      <c r="I42" s="80">
        <f>H42-E42</f>
        <v>22.456245000000024</v>
      </c>
      <c r="J42" s="81">
        <f>IF((E42)=0,"",(I42/E42))</f>
        <v>8.0848137100815495E-2</v>
      </c>
    </row>
    <row r="43" spans="2:10" x14ac:dyDescent="0.25">
      <c r="B43" s="46"/>
      <c r="C43" s="66"/>
      <c r="D43" s="67"/>
      <c r="E43" s="68"/>
      <c r="F43" s="66"/>
      <c r="G43" s="67"/>
      <c r="H43" s="68"/>
      <c r="I43" s="69"/>
      <c r="J43" s="70"/>
    </row>
  </sheetData>
  <dataConsolidate/>
  <mergeCells count="10">
    <mergeCell ref="B9:B11"/>
    <mergeCell ref="C2:H2"/>
    <mergeCell ref="C3:E3"/>
    <mergeCell ref="C9:E9"/>
    <mergeCell ref="F9:H9"/>
    <mergeCell ref="I9:J9"/>
    <mergeCell ref="I10:I11"/>
    <mergeCell ref="J10:J11"/>
    <mergeCell ref="D10:D11"/>
    <mergeCell ref="G10:G11"/>
  </mergeCells>
  <pageMargins left="0.7" right="0.7" top="0.75" bottom="0.75" header="0.3" footer="0.3"/>
  <pageSetup scale="74" orientation="portrait" r:id="rId1"/>
  <ignoredErrors>
    <ignoredError sqref="C4:C7 C12:J20 C32:J32 C31:F31 H31:J31 C22:J28 G21:J21 C30:E30 G30:J30 D29:J29 C36:J42 D34:E34 G34:J34 D35:E35 G35:J35 D33:E33 G33:J33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'Data for Bill Impacts'!$A$12:$A$14</xm:f>
          </x14:formula1>
          <xm:sqref>C3</xm:sqref>
        </x14:dataValidation>
        <x14:dataValidation type="list" allowBlank="1" showInputMessage="1" showErrorMessage="1">
          <x14:formula1>
            <xm:f>'Data for Bill Impacts'!$A$3:$A$9</xm:f>
          </x14:formula1>
          <xm:sqref>C2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38"/>
  <sheetViews>
    <sheetView topLeftCell="A7" workbookViewId="0">
      <selection activeCell="C29" sqref="C29"/>
    </sheetView>
  </sheetViews>
  <sheetFormatPr defaultRowHeight="15" x14ac:dyDescent="0.25"/>
  <cols>
    <col min="2" max="2" width="39" bestFit="1" customWidth="1"/>
    <col min="5" max="5" width="10.140625" customWidth="1"/>
    <col min="6" max="6" width="9.85546875" bestFit="1" customWidth="1"/>
    <col min="8" max="8" width="10.140625" customWidth="1"/>
  </cols>
  <sheetData>
    <row r="2" spans="2:10" x14ac:dyDescent="0.25">
      <c r="B2" s="1" t="s">
        <v>0</v>
      </c>
      <c r="C2" s="217" t="s">
        <v>66</v>
      </c>
      <c r="D2" s="218"/>
      <c r="E2" s="218"/>
      <c r="F2" s="218"/>
      <c r="G2" s="218"/>
      <c r="H2" s="219"/>
      <c r="I2" s="2"/>
      <c r="J2" s="2"/>
    </row>
    <row r="3" spans="2:10" x14ac:dyDescent="0.25">
      <c r="B3" s="1" t="s">
        <v>1</v>
      </c>
      <c r="C3" s="220" t="s">
        <v>81</v>
      </c>
      <c r="D3" s="221"/>
      <c r="E3" s="222"/>
      <c r="F3" s="36"/>
      <c r="G3" s="36"/>
      <c r="H3" s="37"/>
      <c r="I3" s="37"/>
      <c r="J3" s="37"/>
    </row>
    <row r="4" spans="2:10" ht="15.75" x14ac:dyDescent="0.25">
      <c r="B4" s="1" t="s">
        <v>2</v>
      </c>
      <c r="C4" s="3">
        <f>VLOOKUP($C$2,'Data for Bill Impacts'!$A$3:$AD$9,3,0)</f>
        <v>50000</v>
      </c>
      <c r="D4" s="4" t="s">
        <v>3</v>
      </c>
      <c r="E4" s="5"/>
      <c r="F4" s="37"/>
      <c r="G4" s="37"/>
      <c r="H4" s="38"/>
      <c r="I4" s="38"/>
      <c r="J4" s="38"/>
    </row>
    <row r="5" spans="2:10" ht="15.75" x14ac:dyDescent="0.25">
      <c r="B5" s="1" t="s">
        <v>4</v>
      </c>
      <c r="C5" s="3">
        <f>VLOOKUP($C$2,'Data for Bill Impacts'!$A$3:$AD$9,4,0)</f>
        <v>75</v>
      </c>
      <c r="D5" s="6" t="s">
        <v>5</v>
      </c>
      <c r="E5" s="7"/>
      <c r="F5" s="8"/>
      <c r="G5" s="8"/>
      <c r="H5" s="8"/>
      <c r="I5" s="2"/>
      <c r="J5" s="2"/>
    </row>
    <row r="6" spans="2:10" x14ac:dyDescent="0.25">
      <c r="B6" s="1" t="s">
        <v>6</v>
      </c>
      <c r="C6" s="100">
        <f>VLOOKUP($C$2,'Data for Bill Impacts'!$A$3:$AD$9,2,0)</f>
        <v>1.0654999999999999</v>
      </c>
      <c r="D6" s="2"/>
      <c r="E6" s="2"/>
      <c r="F6" s="2"/>
      <c r="G6" s="2"/>
      <c r="H6" s="2"/>
      <c r="I6" s="2"/>
      <c r="J6" s="2"/>
    </row>
    <row r="7" spans="2:10" x14ac:dyDescent="0.25">
      <c r="B7" s="1" t="s">
        <v>7</v>
      </c>
      <c r="C7" s="9">
        <f>C6</f>
        <v>1.0654999999999999</v>
      </c>
      <c r="D7" s="2"/>
      <c r="E7" s="2"/>
      <c r="F7" s="2"/>
      <c r="G7" s="2"/>
      <c r="H7" s="2"/>
      <c r="I7" s="2"/>
      <c r="J7" s="2"/>
    </row>
    <row r="8" spans="2:10" x14ac:dyDescent="0.25">
      <c r="B8" s="5"/>
      <c r="C8" s="2"/>
      <c r="D8" s="2"/>
      <c r="E8" s="2"/>
      <c r="F8" s="2"/>
      <c r="G8" s="2"/>
      <c r="H8" s="2"/>
      <c r="I8" s="2"/>
      <c r="J8" s="2"/>
    </row>
    <row r="9" spans="2:10" x14ac:dyDescent="0.25">
      <c r="B9" s="223"/>
      <c r="C9" s="228" t="s">
        <v>8</v>
      </c>
      <c r="D9" s="226"/>
      <c r="E9" s="227"/>
      <c r="F9" s="228" t="s">
        <v>9</v>
      </c>
      <c r="G9" s="226"/>
      <c r="H9" s="227"/>
      <c r="I9" s="228" t="s">
        <v>10</v>
      </c>
      <c r="J9" s="227"/>
    </row>
    <row r="10" spans="2:10" x14ac:dyDescent="0.25">
      <c r="B10" s="224"/>
      <c r="C10" s="12" t="s">
        <v>11</v>
      </c>
      <c r="D10" s="229" t="s">
        <v>12</v>
      </c>
      <c r="E10" s="11" t="s">
        <v>13</v>
      </c>
      <c r="F10" s="10" t="s">
        <v>11</v>
      </c>
      <c r="G10" s="229" t="s">
        <v>12</v>
      </c>
      <c r="H10" s="11" t="s">
        <v>13</v>
      </c>
      <c r="I10" s="231" t="s">
        <v>14</v>
      </c>
      <c r="J10" s="233" t="s">
        <v>15</v>
      </c>
    </row>
    <row r="11" spans="2:10" x14ac:dyDescent="0.25">
      <c r="B11" s="225"/>
      <c r="C11" s="14" t="s">
        <v>16</v>
      </c>
      <c r="D11" s="230"/>
      <c r="E11" s="14" t="s">
        <v>16</v>
      </c>
      <c r="F11" s="13" t="s">
        <v>16</v>
      </c>
      <c r="G11" s="230"/>
      <c r="H11" s="14" t="s">
        <v>16</v>
      </c>
      <c r="I11" s="232"/>
      <c r="J11" s="234"/>
    </row>
    <row r="12" spans="2:10" x14ac:dyDescent="0.25">
      <c r="B12" s="109" t="s">
        <v>17</v>
      </c>
      <c r="C12" s="39">
        <f>VLOOKUP($C$2,'Data for Bill Impacts'!$A$3:$AD$9,6,0)</f>
        <v>83.61</v>
      </c>
      <c r="D12" s="15">
        <v>1</v>
      </c>
      <c r="E12" s="16">
        <f>D12*C12</f>
        <v>83.61</v>
      </c>
      <c r="F12" s="60">
        <f>VLOOKUP($C$2,'Data for Bill Impacts'!$A$3:$AD$9,19,0)</f>
        <v>83.61</v>
      </c>
      <c r="G12" s="17">
        <f>D12</f>
        <v>1</v>
      </c>
      <c r="H12" s="16">
        <f>G12*F12</f>
        <v>83.61</v>
      </c>
      <c r="I12" s="18">
        <f t="shared" ref="I12:I31" si="0">H12-E12</f>
        <v>0</v>
      </c>
      <c r="J12" s="19">
        <f>IF(ISERROR(I12/E12), "", I12/E12)</f>
        <v>0</v>
      </c>
    </row>
    <row r="13" spans="2:10" x14ac:dyDescent="0.25">
      <c r="B13" s="110" t="s">
        <v>18</v>
      </c>
      <c r="C13" s="56">
        <f>VLOOKUP($C$2,'Data for Bill Impacts'!$A$3:$AD$9,8,0)</f>
        <v>3.9339</v>
      </c>
      <c r="D13" s="15">
        <f>IF($C5&gt;0, $C5, $C4)</f>
        <v>75</v>
      </c>
      <c r="E13" s="16">
        <f t="shared" ref="E13:E21" si="1">D13*C13</f>
        <v>295.04250000000002</v>
      </c>
      <c r="F13" s="59">
        <f>VLOOKUP($C$2,'Data for Bill Impacts'!$A$3:$AD$9,21,0)</f>
        <v>3.9339</v>
      </c>
      <c r="G13" s="15">
        <f>D13</f>
        <v>75</v>
      </c>
      <c r="H13" s="16">
        <f>G13*F13</f>
        <v>295.04250000000002</v>
      </c>
      <c r="I13" s="18">
        <f t="shared" si="0"/>
        <v>0</v>
      </c>
      <c r="J13" s="19">
        <f t="shared" ref="J13:J21" si="2">IF(ISERROR(I13/E13), "", I13/E13)</f>
        <v>0</v>
      </c>
    </row>
    <row r="14" spans="2:10" x14ac:dyDescent="0.25">
      <c r="B14" s="111" t="s">
        <v>19</v>
      </c>
      <c r="C14" s="39">
        <f>VLOOKUP($C$2,'Data for Bill Impacts'!$A$3:$AD$9,10,0)</f>
        <v>-0.84</v>
      </c>
      <c r="D14" s="15">
        <v>1</v>
      </c>
      <c r="E14" s="16">
        <f t="shared" si="1"/>
        <v>-0.84</v>
      </c>
      <c r="F14" s="60">
        <f>VLOOKUP($C$2,'Data for Bill Impacts'!$A$3:$AD$9,23,0)</f>
        <v>-0.84</v>
      </c>
      <c r="G14" s="17">
        <f>D14</f>
        <v>1</v>
      </c>
      <c r="H14" s="16">
        <f t="shared" ref="H14:H21" si="3">G14*F14</f>
        <v>-0.84</v>
      </c>
      <c r="I14" s="18">
        <f t="shared" si="0"/>
        <v>0</v>
      </c>
      <c r="J14" s="19">
        <f t="shared" si="2"/>
        <v>0</v>
      </c>
    </row>
    <row r="15" spans="2:10" x14ac:dyDescent="0.25">
      <c r="B15" s="110" t="s">
        <v>20</v>
      </c>
      <c r="C15" s="40">
        <f>VLOOKUP($C$2,'Data for Bill Impacts'!$A$3:$AD$9,11,0)+VLOOKUP($C$2,'Data for Bill Impacts'!$A$3:$AD$9,16,0)</f>
        <v>-0.15920000000000001</v>
      </c>
      <c r="D15" s="15">
        <f>D13</f>
        <v>75</v>
      </c>
      <c r="E15" s="16">
        <f t="shared" si="1"/>
        <v>-11.940000000000001</v>
      </c>
      <c r="F15" s="58">
        <f>VLOOKUP($C$2,'Data for Bill Impacts'!$A$3:$AD$9,24,0)+VLOOKUP($C$2,'Data for Bill Impacts'!$A$3:$AD$9,28,0)</f>
        <v>-0.15920000000000001</v>
      </c>
      <c r="G15" s="17">
        <f>D15</f>
        <v>75</v>
      </c>
      <c r="H15" s="16">
        <f t="shared" si="3"/>
        <v>-11.940000000000001</v>
      </c>
      <c r="I15" s="18">
        <f t="shared" si="0"/>
        <v>0</v>
      </c>
      <c r="J15" s="101">
        <f t="shared" si="2"/>
        <v>0</v>
      </c>
    </row>
    <row r="16" spans="2:10" x14ac:dyDescent="0.25">
      <c r="B16" s="112" t="s">
        <v>21</v>
      </c>
      <c r="C16" s="89"/>
      <c r="D16" s="90"/>
      <c r="E16" s="91">
        <f>SUM(E12:E15)</f>
        <v>365.87250000000006</v>
      </c>
      <c r="F16" s="92"/>
      <c r="G16" s="93"/>
      <c r="H16" s="91">
        <f>SUM(H12:H15)</f>
        <v>365.87250000000006</v>
      </c>
      <c r="I16" s="87">
        <f t="shared" si="0"/>
        <v>0</v>
      </c>
      <c r="J16" s="88">
        <f>IF((E16)=0,"",(I16/E16))</f>
        <v>0</v>
      </c>
    </row>
    <row r="17" spans="2:10" x14ac:dyDescent="0.25">
      <c r="B17" s="113" t="s">
        <v>22</v>
      </c>
      <c r="C17" s="40">
        <f>IF((C4*12&gt;=150000), 0, IF(C3="RPP",(#REF!*0.65+#REF!*0.17+#REF!*0.18),IF(C3="Non-RPP (Retailer)",#REF!,C33)))</f>
        <v>0</v>
      </c>
      <c r="D17" s="20">
        <f>IF(C17=0, 0, $C4*C6-C4)</f>
        <v>0</v>
      </c>
      <c r="E17" s="16">
        <f>D17*C17</f>
        <v>0</v>
      </c>
      <c r="F17" s="57">
        <f>IF((C4*12&gt;=150000), 0, IF(C3="RPP",(#REF!*0.65+#REF!*0.17+#REF!*0.18),IF(C3="Non-RPP (Retailer)",#REF!,F33)))</f>
        <v>0</v>
      </c>
      <c r="G17" s="20">
        <f>IF(F17=0, 0, C4*C7-C4)</f>
        <v>0</v>
      </c>
      <c r="H17" s="16">
        <f>G17*F17</f>
        <v>0</v>
      </c>
      <c r="I17" s="18">
        <f>H17-E17</f>
        <v>0</v>
      </c>
      <c r="J17" s="19" t="str">
        <f>IF(ISERROR(I17/E17), "", I17/E17)</f>
        <v/>
      </c>
    </row>
    <row r="18" spans="2:10" x14ac:dyDescent="0.25">
      <c r="B18" s="114" t="s">
        <v>23</v>
      </c>
      <c r="C18" s="39">
        <f>VLOOKUP($C$2,'Data for Bill Impacts'!$A$3:$AD$9,14,0)</f>
        <v>-3.7955000000000001</v>
      </c>
      <c r="D18" s="21">
        <f>D13</f>
        <v>75</v>
      </c>
      <c r="E18" s="16">
        <f t="shared" si="1"/>
        <v>-284.66250000000002</v>
      </c>
      <c r="F18" s="59">
        <f>VLOOKUP($C$2,'Data for Bill Impacts'!$A$3:$AD$9,27,0)</f>
        <v>0.19670000000000001</v>
      </c>
      <c r="G18" s="21">
        <f t="shared" ref="G18:G23" si="4">D18</f>
        <v>75</v>
      </c>
      <c r="H18" s="16">
        <f t="shared" si="3"/>
        <v>14.752500000000001</v>
      </c>
      <c r="I18" s="18">
        <f t="shared" si="0"/>
        <v>299.41500000000002</v>
      </c>
      <c r="J18" s="19">
        <f t="shared" si="2"/>
        <v>-1.0518245290475563</v>
      </c>
    </row>
    <row r="19" spans="2:10" x14ac:dyDescent="0.25">
      <c r="B19" s="114" t="s">
        <v>24</v>
      </c>
      <c r="C19" s="40">
        <v>0</v>
      </c>
      <c r="D19" s="21">
        <f>D13</f>
        <v>75</v>
      </c>
      <c r="E19" s="16">
        <f>D19*C19</f>
        <v>0</v>
      </c>
      <c r="F19" s="59">
        <v>0</v>
      </c>
      <c r="G19" s="21">
        <f t="shared" si="4"/>
        <v>75</v>
      </c>
      <c r="H19" s="16">
        <f>G19*F19</f>
        <v>0</v>
      </c>
      <c r="I19" s="18">
        <f t="shared" si="0"/>
        <v>0</v>
      </c>
      <c r="J19" s="19" t="str">
        <f t="shared" si="2"/>
        <v/>
      </c>
    </row>
    <row r="20" spans="2:10" x14ac:dyDescent="0.25">
      <c r="B20" s="114" t="s">
        <v>25</v>
      </c>
      <c r="C20" s="39">
        <f>IF(C3="RPP",0,VLOOKUP($C$2,'Data for Bill Impacts'!$A$3:$AD$9,15,0))</f>
        <v>1.6999999999999999E-3</v>
      </c>
      <c r="D20" s="21">
        <f>C4</f>
        <v>50000</v>
      </c>
      <c r="E20" s="16">
        <f>D20*C20</f>
        <v>85</v>
      </c>
      <c r="F20" s="59">
        <f>IF(C3="RPP",0,VLOOKUP($C$2,'Data for Bill Impacts'!$A$3:$AD$9,26,0))</f>
        <v>7.7999999999999996E-3</v>
      </c>
      <c r="G20" s="21">
        <f t="shared" si="4"/>
        <v>50000</v>
      </c>
      <c r="H20" s="16">
        <f t="shared" si="3"/>
        <v>390</v>
      </c>
      <c r="I20" s="18">
        <f t="shared" si="0"/>
        <v>305</v>
      </c>
      <c r="J20" s="19">
        <f t="shared" si="2"/>
        <v>3.5882352941176472</v>
      </c>
    </row>
    <row r="21" spans="2:10" x14ac:dyDescent="0.25">
      <c r="B21" s="115" t="s">
        <v>26</v>
      </c>
      <c r="C21" s="56">
        <f>VLOOKUP($C$2,'Data for Bill Impacts'!$A$3:$AD$9,9,0)+VLOOKUP($C$2,'Data for Bill Impacts'!$A$3:$AD$9,12,0)</f>
        <v>0.155</v>
      </c>
      <c r="D21" s="21">
        <f>D13</f>
        <v>75</v>
      </c>
      <c r="E21" s="16">
        <f t="shared" si="1"/>
        <v>11.625</v>
      </c>
      <c r="F21" s="59">
        <f>VLOOKUP($C$2,'Data for Bill Impacts'!$A$3:$AD$9,22,0)+VLOOKUP($C$2,'Data for Bill Impacts'!$A$3:$AD$9,25,0)</f>
        <v>0.155</v>
      </c>
      <c r="G21" s="21">
        <f t="shared" si="4"/>
        <v>75</v>
      </c>
      <c r="H21" s="16">
        <f t="shared" si="3"/>
        <v>11.625</v>
      </c>
      <c r="I21" s="18">
        <f t="shared" si="0"/>
        <v>0</v>
      </c>
      <c r="J21" s="19">
        <f t="shared" si="2"/>
        <v>0</v>
      </c>
    </row>
    <row r="22" spans="2:10" ht="51" x14ac:dyDescent="0.25">
      <c r="B22" s="116" t="s">
        <v>27</v>
      </c>
      <c r="C22" s="39">
        <f>VLOOKUP($C$2,'Data for Bill Impacts'!$A$3:$AD$9,7,0)</f>
        <v>0</v>
      </c>
      <c r="D22" s="15">
        <v>1</v>
      </c>
      <c r="E22" s="16">
        <f>D22*C22</f>
        <v>0</v>
      </c>
      <c r="F22" s="60">
        <f>VLOOKUP($C$2,'Data for Bill Impacts'!$A$3:$AD$9,20,0)</f>
        <v>0</v>
      </c>
      <c r="G22" s="15">
        <f t="shared" si="4"/>
        <v>1</v>
      </c>
      <c r="H22" s="16">
        <f>G22*F22</f>
        <v>0</v>
      </c>
      <c r="I22" s="18">
        <f t="shared" si="0"/>
        <v>0</v>
      </c>
      <c r="J22" s="19" t="str">
        <f>IF(ISERROR(I22/E22), "", I22/E22)</f>
        <v/>
      </c>
    </row>
    <row r="23" spans="2:10" x14ac:dyDescent="0.25">
      <c r="B23" s="115" t="s">
        <v>28</v>
      </c>
      <c r="C23" s="40">
        <v>0</v>
      </c>
      <c r="D23" s="21">
        <f>D13</f>
        <v>75</v>
      </c>
      <c r="E23" s="16">
        <f>D23*C23</f>
        <v>0</v>
      </c>
      <c r="F23" s="57">
        <v>0</v>
      </c>
      <c r="G23" s="21">
        <f t="shared" si="4"/>
        <v>75</v>
      </c>
      <c r="H23" s="16">
        <f>G23*F23</f>
        <v>0</v>
      </c>
      <c r="I23" s="18">
        <f t="shared" si="0"/>
        <v>0</v>
      </c>
      <c r="J23" s="19" t="str">
        <f>IF(ISERROR(I23/E23), "", I23/E23)</f>
        <v/>
      </c>
    </row>
    <row r="24" spans="2:10" ht="25.5" x14ac:dyDescent="0.25">
      <c r="B24" s="117" t="s">
        <v>29</v>
      </c>
      <c r="C24" s="82"/>
      <c r="D24" s="83"/>
      <c r="E24" s="84">
        <f>SUM(E16:E23)</f>
        <v>177.83500000000004</v>
      </c>
      <c r="F24" s="85"/>
      <c r="G24" s="86"/>
      <c r="H24" s="84">
        <f>SUM(H16:H23)</f>
        <v>782.25</v>
      </c>
      <c r="I24" s="87">
        <f t="shared" si="0"/>
        <v>604.41499999999996</v>
      </c>
      <c r="J24" s="88">
        <f>IF((E24)=0,"",(I24/E24))</f>
        <v>3.3987404054320005</v>
      </c>
    </row>
    <row r="25" spans="2:10" x14ac:dyDescent="0.25">
      <c r="B25" s="118" t="s">
        <v>30</v>
      </c>
      <c r="C25" s="61">
        <f>VLOOKUP($C$2,'Data for Bill Impacts'!$A$3:$AD$9,17,0)</f>
        <v>2.5038</v>
      </c>
      <c r="D25" s="20">
        <f>IF($C5&gt;0, $C5, $C4*$C6)</f>
        <v>75</v>
      </c>
      <c r="E25" s="16">
        <f>D25*C25</f>
        <v>187.785</v>
      </c>
      <c r="F25" s="59">
        <f>VLOOKUP($C$2,'Data for Bill Impacts'!$A$3:$AD$9,29,0)</f>
        <v>2.4796999999999998</v>
      </c>
      <c r="G25" s="20">
        <f>D25</f>
        <v>75</v>
      </c>
      <c r="H25" s="16">
        <f>G25*F25</f>
        <v>185.97749999999999</v>
      </c>
      <c r="I25" s="18">
        <f t="shared" si="0"/>
        <v>-1.8075000000000045</v>
      </c>
      <c r="J25" s="19">
        <f>IF(ISERROR(I25/E25), "", I25/E25)</f>
        <v>-9.6253694384535755E-3</v>
      </c>
    </row>
    <row r="26" spans="2:10" ht="25.5" x14ac:dyDescent="0.25">
      <c r="B26" s="119" t="s">
        <v>31</v>
      </c>
      <c r="C26" s="62">
        <f>VLOOKUP($C$2,'Data for Bill Impacts'!$A$3:$AD$9,18,0)</f>
        <v>2.1172</v>
      </c>
      <c r="D26" s="20">
        <f>D25</f>
        <v>75</v>
      </c>
      <c r="E26" s="16">
        <f>D26*C26</f>
        <v>158.79</v>
      </c>
      <c r="F26" s="59">
        <f>VLOOKUP($C$2,'Data for Bill Impacts'!$A$3:$AD$9,30,0)</f>
        <v>2.1133999999999999</v>
      </c>
      <c r="G26" s="20">
        <f>D26</f>
        <v>75</v>
      </c>
      <c r="H26" s="16">
        <f>G26*F26</f>
        <v>158.505</v>
      </c>
      <c r="I26" s="18">
        <f t="shared" si="0"/>
        <v>-0.28499999999999659</v>
      </c>
      <c r="J26" s="19">
        <f>IF(ISERROR(I26/E26), "", I26/E26)</f>
        <v>-1.7948233515964267E-3</v>
      </c>
    </row>
    <row r="27" spans="2:10" ht="25.5" x14ac:dyDescent="0.25">
      <c r="B27" s="117" t="s">
        <v>32</v>
      </c>
      <c r="C27" s="82"/>
      <c r="D27" s="83"/>
      <c r="E27" s="84">
        <f>SUM(E24:E26)</f>
        <v>524.41</v>
      </c>
      <c r="F27" s="94"/>
      <c r="G27" s="93"/>
      <c r="H27" s="84">
        <f>SUM(H24:H26)</f>
        <v>1126.7325000000001</v>
      </c>
      <c r="I27" s="87">
        <f t="shared" si="0"/>
        <v>602.3225000000001</v>
      </c>
      <c r="J27" s="88">
        <f>IF((E27)=0,"",(I27/E27))</f>
        <v>1.1485717282279135</v>
      </c>
    </row>
    <row r="28" spans="2:10" x14ac:dyDescent="0.25">
      <c r="B28" s="120" t="s">
        <v>33</v>
      </c>
      <c r="C28" s="63">
        <v>3.6000000000000003E-3</v>
      </c>
      <c r="D28" s="20">
        <f>C4*C6</f>
        <v>53274.999999999993</v>
      </c>
      <c r="E28" s="22">
        <f t="shared" ref="E28:E31" si="5">D28*C28</f>
        <v>191.79</v>
      </c>
      <c r="F28" s="57">
        <v>3.6000000000000003E-3</v>
      </c>
      <c r="G28" s="20">
        <f>C4*C7</f>
        <v>53274.999999999993</v>
      </c>
      <c r="H28" s="22">
        <f t="shared" ref="H28:H31" si="6">G28*F28</f>
        <v>191.79</v>
      </c>
      <c r="I28" s="18">
        <f t="shared" si="0"/>
        <v>0</v>
      </c>
      <c r="J28" s="19">
        <f t="shared" ref="J28:J33" si="7">IF(ISERROR(I28/E28), "", I28/E28)</f>
        <v>0</v>
      </c>
    </row>
    <row r="29" spans="2:10" x14ac:dyDescent="0.25">
      <c r="B29" s="121" t="s">
        <v>34</v>
      </c>
      <c r="C29" s="40">
        <v>2.9999999999999997E-4</v>
      </c>
      <c r="D29" s="20">
        <f>C4*C6</f>
        <v>53274.999999999993</v>
      </c>
      <c r="E29" s="22">
        <f t="shared" si="5"/>
        <v>15.982499999999996</v>
      </c>
      <c r="F29" s="57">
        <v>2.9999999999999997E-4</v>
      </c>
      <c r="G29" s="20">
        <f>C4*C7</f>
        <v>53274.999999999993</v>
      </c>
      <c r="H29" s="22">
        <f t="shared" si="6"/>
        <v>15.982499999999996</v>
      </c>
      <c r="I29" s="18">
        <f t="shared" si="0"/>
        <v>0</v>
      </c>
      <c r="J29" s="19">
        <f t="shared" si="7"/>
        <v>0</v>
      </c>
    </row>
    <row r="30" spans="2:10" x14ac:dyDescent="0.25">
      <c r="B30" s="122" t="s">
        <v>35</v>
      </c>
      <c r="C30" s="41">
        <v>0.25</v>
      </c>
      <c r="D30" s="15">
        <v>1</v>
      </c>
      <c r="E30" s="22">
        <f t="shared" si="5"/>
        <v>0.25</v>
      </c>
      <c r="F30" s="102">
        <v>0.25</v>
      </c>
      <c r="G30" s="17">
        <v>1</v>
      </c>
      <c r="H30" s="22">
        <f t="shared" si="6"/>
        <v>0.25</v>
      </c>
      <c r="I30" s="18">
        <f t="shared" si="0"/>
        <v>0</v>
      </c>
      <c r="J30" s="19">
        <f t="shared" si="7"/>
        <v>0</v>
      </c>
    </row>
    <row r="31" spans="2:10" x14ac:dyDescent="0.25">
      <c r="B31" s="123" t="s">
        <v>36</v>
      </c>
      <c r="C31" s="43">
        <v>7.0000000000000001E-3</v>
      </c>
      <c r="D31" s="21">
        <f>C4</f>
        <v>50000</v>
      </c>
      <c r="E31" s="106">
        <f t="shared" si="5"/>
        <v>350</v>
      </c>
      <c r="F31" s="105">
        <f>C31</f>
        <v>7.0000000000000001E-3</v>
      </c>
      <c r="G31" s="21">
        <f>D31</f>
        <v>50000</v>
      </c>
      <c r="H31" s="106">
        <f t="shared" si="6"/>
        <v>350</v>
      </c>
      <c r="I31" s="33">
        <f t="shared" si="0"/>
        <v>0</v>
      </c>
      <c r="J31" s="107">
        <f t="shared" si="7"/>
        <v>0</v>
      </c>
    </row>
    <row r="32" spans="2:10" ht="25.5" x14ac:dyDescent="0.25">
      <c r="B32" s="124" t="s">
        <v>37</v>
      </c>
      <c r="C32" s="95"/>
      <c r="D32" s="96"/>
      <c r="E32" s="97"/>
      <c r="F32" s="104"/>
      <c r="G32" s="96"/>
      <c r="H32" s="97"/>
      <c r="I32" s="98"/>
      <c r="J32" s="99"/>
    </row>
    <row r="33" spans="2:10" x14ac:dyDescent="0.25">
      <c r="B33" s="127" t="s">
        <v>42</v>
      </c>
      <c r="C33" s="44">
        <v>0.1101</v>
      </c>
      <c r="D33" s="27">
        <f>IF(AND(C4*12&gt;=150000),C4*C6,C4)</f>
        <v>53274.999999999993</v>
      </c>
      <c r="E33" s="22">
        <f>D33*C33</f>
        <v>5865.5774999999994</v>
      </c>
      <c r="F33" s="28">
        <f>C33</f>
        <v>0.1101</v>
      </c>
      <c r="G33" s="27">
        <f>IF(AND(C4*12&gt;=150000),C4*C7,C4)</f>
        <v>53274.999999999993</v>
      </c>
      <c r="H33" s="22">
        <f>G33*F33</f>
        <v>5865.5774999999994</v>
      </c>
      <c r="I33" s="18">
        <f>H33-E33</f>
        <v>0</v>
      </c>
      <c r="J33" s="19">
        <f t="shared" si="7"/>
        <v>0</v>
      </c>
    </row>
    <row r="34" spans="2:10" x14ac:dyDescent="0.25">
      <c r="B34" s="46"/>
      <c r="C34" s="66"/>
      <c r="D34" s="67"/>
      <c r="E34" s="68"/>
      <c r="F34" s="66"/>
      <c r="G34" s="67"/>
      <c r="H34" s="68"/>
      <c r="I34" s="69"/>
      <c r="J34" s="70"/>
    </row>
    <row r="35" spans="2:10" x14ac:dyDescent="0.25">
      <c r="B35" s="128" t="s">
        <v>43</v>
      </c>
      <c r="C35" s="71"/>
      <c r="D35" s="72"/>
      <c r="E35" s="73">
        <f>SUM(E28:E33,E27)</f>
        <v>6948.0099999999993</v>
      </c>
      <c r="F35" s="74"/>
      <c r="G35" s="74"/>
      <c r="H35" s="73">
        <f>SUM(H28:H33,H27)</f>
        <v>7550.3324999999995</v>
      </c>
      <c r="I35" s="75">
        <f>H35-E35</f>
        <v>602.32250000000022</v>
      </c>
      <c r="J35" s="76">
        <f>IF((E35)=0,"",(I35/E35))</f>
        <v>8.6689929922380699E-2</v>
      </c>
    </row>
    <row r="36" spans="2:10" x14ac:dyDescent="0.25">
      <c r="B36" s="129" t="s">
        <v>44</v>
      </c>
      <c r="C36" s="45">
        <v>0.13</v>
      </c>
      <c r="D36" s="30"/>
      <c r="E36" s="31">
        <f>E35*C36</f>
        <v>903.24129999999991</v>
      </c>
      <c r="F36" s="32">
        <v>0.13</v>
      </c>
      <c r="G36" s="15"/>
      <c r="H36" s="31">
        <f>H35*F36</f>
        <v>981.54322500000001</v>
      </c>
      <c r="I36" s="33">
        <f>H36-E36</f>
        <v>78.301925000000097</v>
      </c>
      <c r="J36" s="34">
        <f>IF((E36)=0,"",(I36/E36))</f>
        <v>8.6689929922380768E-2</v>
      </c>
    </row>
    <row r="37" spans="2:10" x14ac:dyDescent="0.25">
      <c r="B37" s="130" t="s">
        <v>46</v>
      </c>
      <c r="C37" s="77"/>
      <c r="D37" s="78"/>
      <c r="E37" s="35">
        <f>E35+E36</f>
        <v>7851.251299999999</v>
      </c>
      <c r="F37" s="79"/>
      <c r="G37" s="79"/>
      <c r="H37" s="35">
        <f>H35+H36</f>
        <v>8531.8757249999999</v>
      </c>
      <c r="I37" s="80">
        <f>H37-E37</f>
        <v>680.62442500000088</v>
      </c>
      <c r="J37" s="81">
        <f>IF((E37)=0,"",(I37/E37))</f>
        <v>8.6689929922380782E-2</v>
      </c>
    </row>
    <row r="38" spans="2:10" x14ac:dyDescent="0.25">
      <c r="B38" s="46"/>
      <c r="C38" s="66"/>
      <c r="D38" s="67"/>
      <c r="E38" s="68"/>
      <c r="F38" s="66"/>
      <c r="G38" s="67"/>
      <c r="H38" s="68"/>
      <c r="I38" s="69"/>
      <c r="J38" s="70"/>
    </row>
  </sheetData>
  <dataConsolidate/>
  <mergeCells count="10">
    <mergeCell ref="C2:H2"/>
    <mergeCell ref="C3:E3"/>
    <mergeCell ref="B9:B11"/>
    <mergeCell ref="C9:E9"/>
    <mergeCell ref="F9:H9"/>
    <mergeCell ref="I9:J9"/>
    <mergeCell ref="D10:D11"/>
    <mergeCell ref="G10:G11"/>
    <mergeCell ref="I10:I11"/>
    <mergeCell ref="J10:J11"/>
  </mergeCells>
  <pageMargins left="0.7" right="0.7" top="0.75" bottom="0.75" header="0.3" footer="0.3"/>
  <pageSetup scale="72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'Data for Bill Impacts'!$A$3:$A$9</xm:f>
          </x14:formula1>
          <xm:sqref>C2</xm:sqref>
        </x14:dataValidation>
        <x14:dataValidation type="list" allowBlank="1" showInputMessage="1" showErrorMessage="1">
          <x14:formula1>
            <xm:f>'Data for Bill Impacts'!$A$12:$A$14</xm:f>
          </x14:formula1>
          <xm:sqref>C3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42"/>
  <sheetViews>
    <sheetView topLeftCell="A13" workbookViewId="0">
      <selection activeCell="C29" sqref="C29"/>
    </sheetView>
  </sheetViews>
  <sheetFormatPr defaultRowHeight="15" x14ac:dyDescent="0.25"/>
  <cols>
    <col min="2" max="2" width="39" bestFit="1" customWidth="1"/>
    <col min="6" max="6" width="9.85546875" bestFit="1" customWidth="1"/>
  </cols>
  <sheetData>
    <row r="2" spans="2:10" x14ac:dyDescent="0.25">
      <c r="B2" s="1" t="s">
        <v>0</v>
      </c>
      <c r="C2" s="217" t="s">
        <v>85</v>
      </c>
      <c r="D2" s="218"/>
      <c r="E2" s="218"/>
      <c r="F2" s="218"/>
      <c r="G2" s="218"/>
      <c r="H2" s="219"/>
      <c r="I2" s="2"/>
      <c r="J2" s="2"/>
    </row>
    <row r="3" spans="2:10" x14ac:dyDescent="0.25">
      <c r="B3" s="1" t="s">
        <v>1</v>
      </c>
      <c r="C3" s="220" t="s">
        <v>48</v>
      </c>
      <c r="D3" s="221"/>
      <c r="E3" s="222"/>
      <c r="F3" s="36"/>
      <c r="G3" s="36"/>
      <c r="H3" s="37"/>
      <c r="I3" s="37"/>
      <c r="J3" s="37"/>
    </row>
    <row r="4" spans="2:10" ht="15.75" x14ac:dyDescent="0.25">
      <c r="B4" s="1" t="s">
        <v>2</v>
      </c>
      <c r="C4" s="3">
        <f>VLOOKUP($C$2,'Data for Bill Impacts'!$A$3:$AD$9,3,0)</f>
        <v>500</v>
      </c>
      <c r="D4" s="4" t="s">
        <v>3</v>
      </c>
      <c r="E4" s="5"/>
      <c r="F4" s="37"/>
      <c r="G4" s="37"/>
      <c r="H4" s="38"/>
      <c r="I4" s="38"/>
      <c r="J4" s="38"/>
    </row>
    <row r="5" spans="2:10" ht="15.75" x14ac:dyDescent="0.25">
      <c r="B5" s="1" t="s">
        <v>4</v>
      </c>
      <c r="C5" s="3">
        <f>VLOOKUP($C$2,'Data for Bill Impacts'!$A$3:$AD$9,4,0)</f>
        <v>0</v>
      </c>
      <c r="D5" s="6" t="s">
        <v>5</v>
      </c>
      <c r="E5" s="7"/>
      <c r="F5" s="8"/>
      <c r="G5" s="8"/>
      <c r="H5" s="8"/>
      <c r="I5" s="2"/>
      <c r="J5" s="2"/>
    </row>
    <row r="6" spans="2:10" x14ac:dyDescent="0.25">
      <c r="B6" s="1" t="s">
        <v>6</v>
      </c>
      <c r="C6" s="100">
        <f>VLOOKUP($C$2,'Data for Bill Impacts'!$A$3:$AD$9,2,0)</f>
        <v>1.0654999999999999</v>
      </c>
      <c r="D6" s="2"/>
      <c r="E6" s="2"/>
      <c r="F6" s="2"/>
      <c r="G6" s="2"/>
      <c r="H6" s="2"/>
      <c r="I6" s="2"/>
      <c r="J6" s="2"/>
    </row>
    <row r="7" spans="2:10" x14ac:dyDescent="0.25">
      <c r="B7" s="1" t="s">
        <v>7</v>
      </c>
      <c r="C7" s="9">
        <f>C6</f>
        <v>1.0654999999999999</v>
      </c>
      <c r="D7" s="2"/>
      <c r="E7" s="2"/>
      <c r="F7" s="2"/>
      <c r="G7" s="2"/>
      <c r="H7" s="2"/>
      <c r="I7" s="2"/>
      <c r="J7" s="2"/>
    </row>
    <row r="8" spans="2:10" x14ac:dyDescent="0.25">
      <c r="B8" s="5"/>
      <c r="C8" s="2"/>
      <c r="D8" s="2"/>
      <c r="E8" s="2"/>
      <c r="F8" s="2"/>
      <c r="G8" s="2"/>
      <c r="H8" s="2"/>
      <c r="I8" s="2"/>
      <c r="J8" s="2"/>
    </row>
    <row r="9" spans="2:10" x14ac:dyDescent="0.25">
      <c r="B9" s="223"/>
      <c r="C9" s="228" t="s">
        <v>8</v>
      </c>
      <c r="D9" s="226"/>
      <c r="E9" s="227"/>
      <c r="F9" s="228" t="s">
        <v>9</v>
      </c>
      <c r="G9" s="226"/>
      <c r="H9" s="227"/>
      <c r="I9" s="228" t="s">
        <v>10</v>
      </c>
      <c r="J9" s="227"/>
    </row>
    <row r="10" spans="2:10" x14ac:dyDescent="0.25">
      <c r="B10" s="224"/>
      <c r="C10" s="12" t="s">
        <v>11</v>
      </c>
      <c r="D10" s="229" t="s">
        <v>12</v>
      </c>
      <c r="E10" s="11" t="s">
        <v>13</v>
      </c>
      <c r="F10" s="10" t="s">
        <v>11</v>
      </c>
      <c r="G10" s="229" t="s">
        <v>12</v>
      </c>
      <c r="H10" s="11" t="s">
        <v>13</v>
      </c>
      <c r="I10" s="231" t="s">
        <v>14</v>
      </c>
      <c r="J10" s="233" t="s">
        <v>15</v>
      </c>
    </row>
    <row r="11" spans="2:10" x14ac:dyDescent="0.25">
      <c r="B11" s="225"/>
      <c r="C11" s="14" t="s">
        <v>16</v>
      </c>
      <c r="D11" s="230"/>
      <c r="E11" s="14" t="s">
        <v>16</v>
      </c>
      <c r="F11" s="13" t="s">
        <v>16</v>
      </c>
      <c r="G11" s="230"/>
      <c r="H11" s="14" t="s">
        <v>16</v>
      </c>
      <c r="I11" s="232"/>
      <c r="J11" s="234"/>
    </row>
    <row r="12" spans="2:10" x14ac:dyDescent="0.25">
      <c r="B12" s="109" t="s">
        <v>17</v>
      </c>
      <c r="C12" s="39">
        <f>VLOOKUP($C$2,'Data for Bill Impacts'!$A$3:$AD$9,6,0)</f>
        <v>19.510000000000002</v>
      </c>
      <c r="D12" s="15">
        <v>1</v>
      </c>
      <c r="E12" s="16">
        <f>D12*C12</f>
        <v>19.510000000000002</v>
      </c>
      <c r="F12" s="60">
        <f>VLOOKUP($C$2,'Data for Bill Impacts'!$A$3:$AD$9,19,0)</f>
        <v>19.510000000000002</v>
      </c>
      <c r="G12" s="17">
        <f>D12</f>
        <v>1</v>
      </c>
      <c r="H12" s="16">
        <f>G12*F12</f>
        <v>19.510000000000002</v>
      </c>
      <c r="I12" s="18">
        <f t="shared" ref="I12:I31" si="0">H12-E12</f>
        <v>0</v>
      </c>
      <c r="J12" s="19">
        <f>IF(ISERROR(I12/E12), "", I12/E12)</f>
        <v>0</v>
      </c>
    </row>
    <row r="13" spans="2:10" x14ac:dyDescent="0.25">
      <c r="B13" s="110" t="s">
        <v>18</v>
      </c>
      <c r="C13" s="56">
        <f>VLOOKUP($C$2,'Data for Bill Impacts'!$A$3:$AD$9,8,0)</f>
        <v>2.5000000000000001E-3</v>
      </c>
      <c r="D13" s="15">
        <f>IF($C5&gt;0, $C5, $C4)</f>
        <v>500</v>
      </c>
      <c r="E13" s="16">
        <f t="shared" ref="E13:E18" si="1">D13*C13</f>
        <v>1.25</v>
      </c>
      <c r="F13" s="59">
        <f>VLOOKUP($C$2,'Data for Bill Impacts'!$A$3:$AD$9,21,0)</f>
        <v>2.5000000000000001E-3</v>
      </c>
      <c r="G13" s="15">
        <f>D13</f>
        <v>500</v>
      </c>
      <c r="H13" s="16">
        <f>G13*F13</f>
        <v>1.25</v>
      </c>
      <c r="I13" s="18">
        <f t="shared" si="0"/>
        <v>0</v>
      </c>
      <c r="J13" s="19">
        <f t="shared" ref="J13:J21" si="2">IF(ISERROR(I13/E13), "", I13/E13)</f>
        <v>0</v>
      </c>
    </row>
    <row r="14" spans="2:10" x14ac:dyDescent="0.25">
      <c r="B14" s="111" t="s">
        <v>19</v>
      </c>
      <c r="C14" s="39">
        <f>VLOOKUP($C$2,'Data for Bill Impacts'!$A$3:$AD$9,10,0)</f>
        <v>-0.2</v>
      </c>
      <c r="D14" s="15">
        <v>1</v>
      </c>
      <c r="E14" s="16">
        <f t="shared" si="1"/>
        <v>-0.2</v>
      </c>
      <c r="F14" s="60">
        <f>VLOOKUP($C$2,'Data for Bill Impacts'!$A$3:$AD$9,23,0)</f>
        <v>-0.2</v>
      </c>
      <c r="G14" s="17">
        <f>D14</f>
        <v>1</v>
      </c>
      <c r="H14" s="16">
        <f t="shared" ref="H14:H21" si="3">G14*F14</f>
        <v>-0.2</v>
      </c>
      <c r="I14" s="18">
        <f t="shared" si="0"/>
        <v>0</v>
      </c>
      <c r="J14" s="19">
        <f t="shared" si="2"/>
        <v>0</v>
      </c>
    </row>
    <row r="15" spans="2:10" x14ac:dyDescent="0.25">
      <c r="B15" s="110" t="s">
        <v>20</v>
      </c>
      <c r="C15" s="40">
        <f>VLOOKUP($C$2,'Data for Bill Impacts'!$A$3:$AD$9,11,0)+VLOOKUP($C$2,'Data for Bill Impacts'!$A$3:$AD$9,16,0)</f>
        <v>-1.33E-3</v>
      </c>
      <c r="D15" s="15">
        <f>D13</f>
        <v>500</v>
      </c>
      <c r="E15" s="16">
        <f t="shared" si="1"/>
        <v>-0.66500000000000004</v>
      </c>
      <c r="F15" s="58">
        <f>VLOOKUP($C$2,'Data for Bill Impacts'!$A$3:$AD$9,24,0)+VLOOKUP($C$2,'Data for Bill Impacts'!$A$3:$AD$9,28,0)</f>
        <v>-1.33E-3</v>
      </c>
      <c r="G15" s="17">
        <f>D15</f>
        <v>500</v>
      </c>
      <c r="H15" s="16">
        <f t="shared" si="3"/>
        <v>-0.66500000000000004</v>
      </c>
      <c r="I15" s="18">
        <f t="shared" si="0"/>
        <v>0</v>
      </c>
      <c r="J15" s="101">
        <f t="shared" si="2"/>
        <v>0</v>
      </c>
    </row>
    <row r="16" spans="2:10" x14ac:dyDescent="0.25">
      <c r="B16" s="112" t="s">
        <v>21</v>
      </c>
      <c r="C16" s="89"/>
      <c r="D16" s="90"/>
      <c r="E16" s="91">
        <f>SUM(E12:E15)</f>
        <v>19.895000000000003</v>
      </c>
      <c r="F16" s="92"/>
      <c r="G16" s="93"/>
      <c r="H16" s="91">
        <f>SUM(H12:H15)</f>
        <v>19.895000000000003</v>
      </c>
      <c r="I16" s="87">
        <f t="shared" si="0"/>
        <v>0</v>
      </c>
      <c r="J16" s="88">
        <f>IF((E16)=0,"",(I16/E16))</f>
        <v>0</v>
      </c>
    </row>
    <row r="17" spans="2:10" x14ac:dyDescent="0.25">
      <c r="B17" s="113" t="s">
        <v>22</v>
      </c>
      <c r="C17" s="40">
        <f>IF((C4*12&gt;=150000), 0, IF(C3="RPP",(C33*0.65+C34*0.17+C35*0.18),IF(C3="Non-RPP (Retailer)",C36,C37)))</f>
        <v>8.2160000000000011E-2</v>
      </c>
      <c r="D17" s="20">
        <f>IF(C17=0, 0, $C4*C6-C4)</f>
        <v>32.75</v>
      </c>
      <c r="E17" s="16">
        <f>D17*C17</f>
        <v>2.6907400000000004</v>
      </c>
      <c r="F17" s="57">
        <f>IF((C4*12&gt;=150000), 0, IF(C3="RPP",(F33*0.65+F34*0.17+F35*0.18),IF(C3="Non-RPP (Retailer)",F36,F37)))</f>
        <v>8.2160000000000011E-2</v>
      </c>
      <c r="G17" s="20">
        <f>IF(F17=0, 0, C4*C7-C4)</f>
        <v>32.75</v>
      </c>
      <c r="H17" s="16">
        <f>G17*F17</f>
        <v>2.6907400000000004</v>
      </c>
      <c r="I17" s="18">
        <f>H17-E17</f>
        <v>0</v>
      </c>
      <c r="J17" s="19">
        <f>IF(ISERROR(I17/E17), "", I17/E17)</f>
        <v>0</v>
      </c>
    </row>
    <row r="18" spans="2:10" x14ac:dyDescent="0.25">
      <c r="B18" s="114" t="s">
        <v>23</v>
      </c>
      <c r="C18" s="39">
        <f>VLOOKUP($C$2,'Data for Bill Impacts'!$A$3:$AD$9,14,0)</f>
        <v>-1.04E-2</v>
      </c>
      <c r="D18" s="21">
        <f>D13</f>
        <v>500</v>
      </c>
      <c r="E18" s="16">
        <f t="shared" si="1"/>
        <v>-5.2</v>
      </c>
      <c r="F18" s="59">
        <f>VLOOKUP($C$2,'Data for Bill Impacts'!$A$3:$AD$9,27,0)</f>
        <v>5.0000000000000001E-4</v>
      </c>
      <c r="G18" s="21">
        <f t="shared" ref="G18:G23" si="4">D18</f>
        <v>500</v>
      </c>
      <c r="H18" s="16">
        <f t="shared" si="3"/>
        <v>0.25</v>
      </c>
      <c r="I18" s="18">
        <f t="shared" si="0"/>
        <v>5.45</v>
      </c>
      <c r="J18" s="19">
        <f t="shared" si="2"/>
        <v>-1.0480769230769231</v>
      </c>
    </row>
    <row r="19" spans="2:10" x14ac:dyDescent="0.25">
      <c r="B19" s="114" t="s">
        <v>24</v>
      </c>
      <c r="C19" s="40">
        <v>0</v>
      </c>
      <c r="D19" s="21">
        <f>D13</f>
        <v>500</v>
      </c>
      <c r="E19" s="16">
        <f>D19*C19</f>
        <v>0</v>
      </c>
      <c r="F19" s="59">
        <v>0</v>
      </c>
      <c r="G19" s="21">
        <f t="shared" si="4"/>
        <v>500</v>
      </c>
      <c r="H19" s="16">
        <f>G19*F19</f>
        <v>0</v>
      </c>
      <c r="I19" s="18">
        <f t="shared" si="0"/>
        <v>0</v>
      </c>
      <c r="J19" s="19" t="str">
        <f t="shared" si="2"/>
        <v/>
      </c>
    </row>
    <row r="20" spans="2:10" x14ac:dyDescent="0.25">
      <c r="B20" s="114" t="s">
        <v>25</v>
      </c>
      <c r="C20" s="39">
        <f>IF(C3="RPP",0,VLOOKUP($C$2,'Data for Bill Impacts'!$A$3:$AD$9,15,0))</f>
        <v>0</v>
      </c>
      <c r="D20" s="21">
        <f>D13</f>
        <v>500</v>
      </c>
      <c r="E20" s="16">
        <f>D20*C20</f>
        <v>0</v>
      </c>
      <c r="F20" s="60">
        <f>IF(C3="RPP",0,VLOOKUP($C$2,'Data for Bill Impacts'!$A$3:$AD$9,26,0))</f>
        <v>0</v>
      </c>
      <c r="G20" s="21">
        <f t="shared" si="4"/>
        <v>500</v>
      </c>
      <c r="H20" s="16">
        <f t="shared" si="3"/>
        <v>0</v>
      </c>
      <c r="I20" s="18">
        <f t="shared" si="0"/>
        <v>0</v>
      </c>
      <c r="J20" s="19" t="str">
        <f t="shared" si="2"/>
        <v/>
      </c>
    </row>
    <row r="21" spans="2:10" x14ac:dyDescent="0.25">
      <c r="B21" s="115" t="s">
        <v>26</v>
      </c>
      <c r="C21" s="56">
        <f>VLOOKUP($C$2,'Data for Bill Impacts'!$A$3:$AD$9,9,0)+VLOOKUP($C$2,'Data for Bill Impacts'!$A$3:$AD$9,12,0)</f>
        <v>4.0000000000000002E-4</v>
      </c>
      <c r="D21" s="21">
        <f>D13</f>
        <v>500</v>
      </c>
      <c r="E21" s="16">
        <f t="shared" ref="E21" si="5">D21*C21</f>
        <v>0.2</v>
      </c>
      <c r="F21" s="59">
        <f>VLOOKUP($C$2,'Data for Bill Impacts'!$A$3:$AD$9,22,0)+VLOOKUP($C$2,'Data for Bill Impacts'!$A$3:$AD$9,25,0)</f>
        <v>4.0000000000000002E-4</v>
      </c>
      <c r="G21" s="21">
        <f t="shared" si="4"/>
        <v>500</v>
      </c>
      <c r="H21" s="16">
        <f t="shared" si="3"/>
        <v>0.2</v>
      </c>
      <c r="I21" s="18">
        <f t="shared" si="0"/>
        <v>0</v>
      </c>
      <c r="J21" s="19">
        <f t="shared" si="2"/>
        <v>0</v>
      </c>
    </row>
    <row r="22" spans="2:10" ht="51" x14ac:dyDescent="0.25">
      <c r="B22" s="116" t="s">
        <v>27</v>
      </c>
      <c r="C22" s="39">
        <f>VLOOKUP($C$2,'Data for Bill Impacts'!$A$3:$AD$9,7,0)</f>
        <v>0</v>
      </c>
      <c r="D22" s="15">
        <v>1</v>
      </c>
      <c r="E22" s="16">
        <f>D22*C22</f>
        <v>0</v>
      </c>
      <c r="F22" s="60">
        <f>VLOOKUP($C$2,'Data for Bill Impacts'!$A$3:$AD$9,20,0)</f>
        <v>0</v>
      </c>
      <c r="G22" s="15">
        <f t="shared" si="4"/>
        <v>1</v>
      </c>
      <c r="H22" s="16">
        <f>G22*F22</f>
        <v>0</v>
      </c>
      <c r="I22" s="18">
        <f t="shared" si="0"/>
        <v>0</v>
      </c>
      <c r="J22" s="19" t="str">
        <f>IF(ISERROR(I22/E22), "", I22/E22)</f>
        <v/>
      </c>
    </row>
    <row r="23" spans="2:10" x14ac:dyDescent="0.25">
      <c r="B23" s="115" t="s">
        <v>28</v>
      </c>
      <c r="C23" s="40">
        <v>0</v>
      </c>
      <c r="D23" s="21">
        <f>D13</f>
        <v>500</v>
      </c>
      <c r="E23" s="16">
        <f>D23*C23</f>
        <v>0</v>
      </c>
      <c r="F23" s="57">
        <v>0</v>
      </c>
      <c r="G23" s="21">
        <f t="shared" si="4"/>
        <v>500</v>
      </c>
      <c r="H23" s="16">
        <f>G23*F23</f>
        <v>0</v>
      </c>
      <c r="I23" s="18">
        <f t="shared" si="0"/>
        <v>0</v>
      </c>
      <c r="J23" s="19" t="str">
        <f>IF(ISERROR(I23/E23), "", I23/E23)</f>
        <v/>
      </c>
    </row>
    <row r="24" spans="2:10" ht="25.5" x14ac:dyDescent="0.25">
      <c r="B24" s="117" t="s">
        <v>29</v>
      </c>
      <c r="C24" s="82"/>
      <c r="D24" s="83"/>
      <c r="E24" s="84">
        <f>SUM(E16:E23)</f>
        <v>17.585740000000005</v>
      </c>
      <c r="F24" s="85"/>
      <c r="G24" s="86"/>
      <c r="H24" s="84">
        <f>SUM(H16:H23)</f>
        <v>23.035740000000004</v>
      </c>
      <c r="I24" s="87">
        <f t="shared" si="0"/>
        <v>5.4499999999999993</v>
      </c>
      <c r="J24" s="88">
        <f>IF((E24)=0,"",(I24/E24))</f>
        <v>0.30991018859598729</v>
      </c>
    </row>
    <row r="25" spans="2:10" x14ac:dyDescent="0.25">
      <c r="B25" s="118" t="s">
        <v>30</v>
      </c>
      <c r="C25" s="61">
        <f>VLOOKUP($C$2,'Data for Bill Impacts'!$A$3:$AD$9,17,0)</f>
        <v>5.8999999999999999E-3</v>
      </c>
      <c r="D25" s="20">
        <f>IF($C5&gt;0, $C5, $C4*$C6)</f>
        <v>532.75</v>
      </c>
      <c r="E25" s="16">
        <f>D25*C25</f>
        <v>3.1432249999999997</v>
      </c>
      <c r="F25" s="59">
        <f>VLOOKUP($C$2,'Data for Bill Impacts'!$A$3:$AD$9,29,0)</f>
        <v>5.7999999999999996E-3</v>
      </c>
      <c r="G25" s="20">
        <f>D25</f>
        <v>532.75</v>
      </c>
      <c r="H25" s="16">
        <f>G25*F25</f>
        <v>3.08995</v>
      </c>
      <c r="I25" s="18">
        <f t="shared" si="0"/>
        <v>-5.3274999999999739E-2</v>
      </c>
      <c r="J25" s="19">
        <f>IF(ISERROR(I25/E25), "", I25/E25)</f>
        <v>-1.6949152542372801E-2</v>
      </c>
    </row>
    <row r="26" spans="2:10" ht="25.5" x14ac:dyDescent="0.25">
      <c r="B26" s="119" t="s">
        <v>31</v>
      </c>
      <c r="C26" s="62">
        <f>VLOOKUP($C$2,'Data for Bill Impacts'!$A$3:$AD$9,18,0)</f>
        <v>5.0000000000000001E-3</v>
      </c>
      <c r="D26" s="20">
        <f>D25</f>
        <v>532.75</v>
      </c>
      <c r="E26" s="16">
        <f>D26*C26</f>
        <v>2.6637499999999998</v>
      </c>
      <c r="F26" s="59">
        <f>VLOOKUP($C$2,'Data for Bill Impacts'!$A$3:$AD$9,30,0)</f>
        <v>5.0000000000000001E-3</v>
      </c>
      <c r="G26" s="20">
        <f>D26</f>
        <v>532.75</v>
      </c>
      <c r="H26" s="16">
        <f>G26*F26</f>
        <v>2.6637499999999998</v>
      </c>
      <c r="I26" s="18">
        <f t="shared" si="0"/>
        <v>0</v>
      </c>
      <c r="J26" s="19">
        <f>IF(ISERROR(I26/E26), "", I26/E26)</f>
        <v>0</v>
      </c>
    </row>
    <row r="27" spans="2:10" ht="25.5" x14ac:dyDescent="0.25">
      <c r="B27" s="117" t="s">
        <v>32</v>
      </c>
      <c r="C27" s="82"/>
      <c r="D27" s="83"/>
      <c r="E27" s="84">
        <f>SUM(E24:E26)</f>
        <v>23.392715000000006</v>
      </c>
      <c r="F27" s="94"/>
      <c r="G27" s="93"/>
      <c r="H27" s="84">
        <f>SUM(H24:H26)</f>
        <v>28.789440000000006</v>
      </c>
      <c r="I27" s="87">
        <f t="shared" si="0"/>
        <v>5.396725</v>
      </c>
      <c r="J27" s="88">
        <f>IF((E27)=0,"",(I27/E27))</f>
        <v>0.23070109647383805</v>
      </c>
    </row>
    <row r="28" spans="2:10" x14ac:dyDescent="0.25">
      <c r="B28" s="120" t="s">
        <v>33</v>
      </c>
      <c r="C28" s="63">
        <v>3.6000000000000003E-3</v>
      </c>
      <c r="D28" s="20">
        <f>C4*C6</f>
        <v>532.75</v>
      </c>
      <c r="E28" s="22">
        <f t="shared" ref="E28:E35" si="6">D28*C28</f>
        <v>1.9179000000000002</v>
      </c>
      <c r="F28" s="57">
        <v>3.6000000000000003E-3</v>
      </c>
      <c r="G28" s="20">
        <f>C4*C7</f>
        <v>532.75</v>
      </c>
      <c r="H28" s="22">
        <f t="shared" ref="H28:H35" si="7">G28*F28</f>
        <v>1.9179000000000002</v>
      </c>
      <c r="I28" s="18">
        <f t="shared" si="0"/>
        <v>0</v>
      </c>
      <c r="J28" s="19">
        <f t="shared" ref="J28:J37" si="8">IF(ISERROR(I28/E28), "", I28/E28)</f>
        <v>0</v>
      </c>
    </row>
    <row r="29" spans="2:10" x14ac:dyDescent="0.25">
      <c r="B29" s="121" t="s">
        <v>34</v>
      </c>
      <c r="C29" s="40">
        <v>2.9999999999999997E-4</v>
      </c>
      <c r="D29" s="20">
        <f>C4*C6</f>
        <v>532.75</v>
      </c>
      <c r="E29" s="22">
        <f t="shared" si="6"/>
        <v>0.15982499999999999</v>
      </c>
      <c r="F29" s="57">
        <v>2.9999999999999997E-4</v>
      </c>
      <c r="G29" s="20">
        <f>C4*C7</f>
        <v>532.75</v>
      </c>
      <c r="H29" s="22">
        <f t="shared" si="7"/>
        <v>0.15982499999999999</v>
      </c>
      <c r="I29" s="18">
        <f t="shared" si="0"/>
        <v>0</v>
      </c>
      <c r="J29" s="19">
        <f t="shared" si="8"/>
        <v>0</v>
      </c>
    </row>
    <row r="30" spans="2:10" x14ac:dyDescent="0.25">
      <c r="B30" s="122" t="s">
        <v>35</v>
      </c>
      <c r="C30" s="41">
        <v>0.25</v>
      </c>
      <c r="D30" s="15">
        <v>1</v>
      </c>
      <c r="E30" s="22">
        <f t="shared" si="6"/>
        <v>0.25</v>
      </c>
      <c r="F30" s="102">
        <v>0.25</v>
      </c>
      <c r="G30" s="17">
        <v>1</v>
      </c>
      <c r="H30" s="22">
        <f t="shared" si="7"/>
        <v>0.25</v>
      </c>
      <c r="I30" s="18">
        <f t="shared" si="0"/>
        <v>0</v>
      </c>
      <c r="J30" s="19">
        <f t="shared" si="8"/>
        <v>0</v>
      </c>
    </row>
    <row r="31" spans="2:10" x14ac:dyDescent="0.25">
      <c r="B31" s="123" t="s">
        <v>36</v>
      </c>
      <c r="C31" s="43">
        <v>7.0000000000000001E-3</v>
      </c>
      <c r="D31" s="21">
        <f>D13</f>
        <v>500</v>
      </c>
      <c r="E31" s="106">
        <f t="shared" si="6"/>
        <v>3.5</v>
      </c>
      <c r="F31" s="105">
        <f>C31</f>
        <v>7.0000000000000001E-3</v>
      </c>
      <c r="G31" s="21">
        <f>D31</f>
        <v>500</v>
      </c>
      <c r="H31" s="106">
        <f t="shared" si="7"/>
        <v>3.5</v>
      </c>
      <c r="I31" s="33">
        <f t="shared" si="0"/>
        <v>0</v>
      </c>
      <c r="J31" s="107">
        <f t="shared" si="8"/>
        <v>0</v>
      </c>
    </row>
    <row r="32" spans="2:10" ht="25.5" x14ac:dyDescent="0.25">
      <c r="B32" s="124" t="s">
        <v>37</v>
      </c>
      <c r="C32" s="95"/>
      <c r="D32" s="96"/>
      <c r="E32" s="97"/>
      <c r="F32" s="104"/>
      <c r="G32" s="96"/>
      <c r="H32" s="97"/>
      <c r="I32" s="98"/>
      <c r="J32" s="99"/>
    </row>
    <row r="33" spans="2:10" x14ac:dyDescent="0.25">
      <c r="B33" s="125" t="s">
        <v>38</v>
      </c>
      <c r="C33" s="43">
        <v>6.5000000000000002E-2</v>
      </c>
      <c r="D33" s="27">
        <f>IF(AND(C4*12&gt;=150000),0.65*C4*C6,0.65*C4)</f>
        <v>325</v>
      </c>
      <c r="E33" s="22">
        <f t="shared" si="6"/>
        <v>21.125</v>
      </c>
      <c r="F33" s="105">
        <v>6.5000000000000002E-2</v>
      </c>
      <c r="G33" s="27">
        <f>IF(AND(C4*12&gt;=150000),0.65*C4*C7,0.65*C4)</f>
        <v>325</v>
      </c>
      <c r="H33" s="22">
        <f t="shared" si="7"/>
        <v>21.125</v>
      </c>
      <c r="I33" s="18">
        <f>H33-E33</f>
        <v>0</v>
      </c>
      <c r="J33" s="19">
        <f t="shared" si="8"/>
        <v>0</v>
      </c>
    </row>
    <row r="34" spans="2:10" x14ac:dyDescent="0.25">
      <c r="B34" s="125" t="s">
        <v>39</v>
      </c>
      <c r="C34" s="43">
        <v>9.5000000000000001E-2</v>
      </c>
      <c r="D34" s="27">
        <f>IF(AND(C4*12&gt;=150000),0.17*C4*C6,0.17*C4)</f>
        <v>85</v>
      </c>
      <c r="E34" s="22">
        <f t="shared" si="6"/>
        <v>8.0749999999999993</v>
      </c>
      <c r="F34" s="105">
        <v>9.5000000000000001E-2</v>
      </c>
      <c r="G34" s="27">
        <f>IF(AND(C4*12&gt;=150000),0.17*C4*C7,0.17*C4)</f>
        <v>85</v>
      </c>
      <c r="H34" s="22">
        <f t="shared" si="7"/>
        <v>8.0749999999999993</v>
      </c>
      <c r="I34" s="18">
        <f>H34-E34</f>
        <v>0</v>
      </c>
      <c r="J34" s="19">
        <f t="shared" si="8"/>
        <v>0</v>
      </c>
    </row>
    <row r="35" spans="2:10" x14ac:dyDescent="0.25">
      <c r="B35" s="126" t="s">
        <v>40</v>
      </c>
      <c r="C35" s="43">
        <v>0.13200000000000001</v>
      </c>
      <c r="D35" s="27">
        <f>IF(AND(C4*12&gt;=150000),0.18*C4*C6,0.18*C4)</f>
        <v>90</v>
      </c>
      <c r="E35" s="22">
        <f t="shared" si="6"/>
        <v>11.88</v>
      </c>
      <c r="F35" s="105">
        <v>0.13200000000000001</v>
      </c>
      <c r="G35" s="27">
        <f>IF(AND(C4*12&gt;=150000),0.18*C4*C7,0.18*C4)</f>
        <v>90</v>
      </c>
      <c r="H35" s="22">
        <f t="shared" si="7"/>
        <v>11.88</v>
      </c>
      <c r="I35" s="18">
        <f>H35-E35</f>
        <v>0</v>
      </c>
      <c r="J35" s="19">
        <f t="shared" si="8"/>
        <v>0</v>
      </c>
    </row>
    <row r="36" spans="2:10" hidden="1" x14ac:dyDescent="0.25">
      <c r="B36" s="125" t="s">
        <v>41</v>
      </c>
      <c r="C36" s="44">
        <v>0.1101</v>
      </c>
      <c r="D36" s="27">
        <f>IF(AND(C4*12&gt;=150000),C4*C6,C4)</f>
        <v>500</v>
      </c>
      <c r="E36" s="22">
        <f>D36*C36</f>
        <v>55.050000000000004</v>
      </c>
      <c r="F36" s="28">
        <f>C36</f>
        <v>0.1101</v>
      </c>
      <c r="G36" s="27">
        <f>IF(AND(C4*12&gt;=150000),C4*C7,C4)</f>
        <v>500</v>
      </c>
      <c r="H36" s="22">
        <f>G36*F36</f>
        <v>55.050000000000004</v>
      </c>
      <c r="I36" s="18">
        <f>H36-E36</f>
        <v>0</v>
      </c>
      <c r="J36" s="19">
        <f t="shared" si="8"/>
        <v>0</v>
      </c>
    </row>
    <row r="37" spans="2:10" hidden="1" x14ac:dyDescent="0.25">
      <c r="B37" s="127" t="s">
        <v>42</v>
      </c>
      <c r="C37" s="44">
        <v>0.1101</v>
      </c>
      <c r="D37" s="27">
        <f>IF(AND(C4*12&gt;=150000),C4*C6,C4)</f>
        <v>500</v>
      </c>
      <c r="E37" s="22">
        <f>D37*C37</f>
        <v>55.050000000000004</v>
      </c>
      <c r="F37" s="28">
        <f>C37</f>
        <v>0.1101</v>
      </c>
      <c r="G37" s="27">
        <f>IF(AND(C4*12&gt;=150000),C4*C7,C4)</f>
        <v>500</v>
      </c>
      <c r="H37" s="22">
        <f>G37*F37</f>
        <v>55.050000000000004</v>
      </c>
      <c r="I37" s="18">
        <f>H37-E37</f>
        <v>0</v>
      </c>
      <c r="J37" s="19">
        <f t="shared" si="8"/>
        <v>0</v>
      </c>
    </row>
    <row r="38" spans="2:10" x14ac:dyDescent="0.25">
      <c r="B38" s="46"/>
      <c r="C38" s="66"/>
      <c r="D38" s="67"/>
      <c r="E38" s="68"/>
      <c r="F38" s="66"/>
      <c r="G38" s="67"/>
      <c r="H38" s="68"/>
      <c r="I38" s="69"/>
      <c r="J38" s="70"/>
    </row>
    <row r="39" spans="2:10" x14ac:dyDescent="0.25">
      <c r="B39" s="128" t="s">
        <v>43</v>
      </c>
      <c r="C39" s="71"/>
      <c r="D39" s="72"/>
      <c r="E39" s="73">
        <f>SUM(E28:E35,E27)</f>
        <v>70.300440000000009</v>
      </c>
      <c r="F39" s="74"/>
      <c r="G39" s="74"/>
      <c r="H39" s="73">
        <f>SUM(H28:H35,H27)</f>
        <v>75.697165000000012</v>
      </c>
      <c r="I39" s="75">
        <f>H39-E39</f>
        <v>5.3967250000000035</v>
      </c>
      <c r="J39" s="76">
        <f>IF((E39)=0,"",(I39/E39))</f>
        <v>7.6766589227606583E-2</v>
      </c>
    </row>
    <row r="40" spans="2:10" x14ac:dyDescent="0.25">
      <c r="B40" s="129" t="s">
        <v>44</v>
      </c>
      <c r="C40" s="45">
        <v>0.13</v>
      </c>
      <c r="D40" s="30"/>
      <c r="E40" s="31">
        <f>E39*C40</f>
        <v>9.1390572000000017</v>
      </c>
      <c r="F40" s="32">
        <v>0.13</v>
      </c>
      <c r="G40" s="15"/>
      <c r="H40" s="31">
        <f>H39*F40</f>
        <v>9.8406314500000018</v>
      </c>
      <c r="I40" s="33">
        <f>H40-E40</f>
        <v>0.70157425000000018</v>
      </c>
      <c r="J40" s="34">
        <f>IF((E40)=0,"",(I40/E40))</f>
        <v>7.6766589227606541E-2</v>
      </c>
    </row>
    <row r="41" spans="2:10" x14ac:dyDescent="0.25">
      <c r="B41" s="130" t="s">
        <v>46</v>
      </c>
      <c r="C41" s="77"/>
      <c r="D41" s="78"/>
      <c r="E41" s="35">
        <f>E39+E40</f>
        <v>79.439497200000005</v>
      </c>
      <c r="F41" s="79"/>
      <c r="G41" s="79"/>
      <c r="H41" s="35">
        <f>H39+H40</f>
        <v>85.537796450000016</v>
      </c>
      <c r="I41" s="80">
        <f>H41-E41</f>
        <v>6.0982992500000108</v>
      </c>
      <c r="J41" s="81">
        <f>IF((E41)=0,"",(I41/E41))</f>
        <v>7.6766589227606666E-2</v>
      </c>
    </row>
    <row r="42" spans="2:10" x14ac:dyDescent="0.25">
      <c r="B42" s="46"/>
      <c r="C42" s="66"/>
      <c r="D42" s="67"/>
      <c r="E42" s="68"/>
      <c r="F42" s="66"/>
      <c r="G42" s="67"/>
      <c r="H42" s="68"/>
      <c r="I42" s="69"/>
      <c r="J42" s="70"/>
    </row>
  </sheetData>
  <dataConsolidate/>
  <mergeCells count="10">
    <mergeCell ref="C2:H2"/>
    <mergeCell ref="C3:E3"/>
    <mergeCell ref="B9:B11"/>
    <mergeCell ref="C9:E9"/>
    <mergeCell ref="F9:H9"/>
    <mergeCell ref="I9:J9"/>
    <mergeCell ref="D10:D11"/>
    <mergeCell ref="G10:G11"/>
    <mergeCell ref="I10:I11"/>
    <mergeCell ref="J10:J11"/>
  </mergeCells>
  <pageMargins left="0.7" right="0.7" top="0.75" bottom="0.75" header="0.3" footer="0.3"/>
  <pageSetup scale="74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'Data for Bill Impacts'!$A$3:$A$9</xm:f>
          </x14:formula1>
          <xm:sqref>C2</xm:sqref>
        </x14:dataValidation>
        <x14:dataValidation type="list" allowBlank="1" showInputMessage="1" showErrorMessage="1">
          <x14:formula1>
            <xm:f>'Data for Bill Impacts'!$A$12:$A$14</xm:f>
          </x14:formula1>
          <xm:sqref>C3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40"/>
  <sheetViews>
    <sheetView topLeftCell="A7" workbookViewId="0">
      <selection activeCell="C29" sqref="C29"/>
    </sheetView>
  </sheetViews>
  <sheetFormatPr defaultRowHeight="12.75" x14ac:dyDescent="0.2"/>
  <cols>
    <col min="1" max="1" width="9.140625" style="146"/>
    <col min="2" max="2" width="39" style="146" bestFit="1" customWidth="1"/>
    <col min="3" max="3" width="9.7109375" style="146" bestFit="1" customWidth="1"/>
    <col min="4" max="4" width="9.140625" style="146"/>
    <col min="5" max="5" width="10.140625" style="146" customWidth="1"/>
    <col min="6" max="6" width="9.85546875" style="146" bestFit="1" customWidth="1"/>
    <col min="7" max="7" width="9.140625" style="146"/>
    <col min="8" max="8" width="10.140625" style="146" customWidth="1"/>
    <col min="9" max="16384" width="9.140625" style="146"/>
  </cols>
  <sheetData>
    <row r="2" spans="2:10" x14ac:dyDescent="0.2">
      <c r="B2" s="1" t="s">
        <v>0</v>
      </c>
      <c r="C2" s="217" t="s">
        <v>83</v>
      </c>
      <c r="D2" s="218"/>
      <c r="E2" s="218"/>
      <c r="F2" s="218"/>
      <c r="G2" s="218"/>
      <c r="H2" s="219"/>
      <c r="I2" s="5"/>
      <c r="J2" s="5"/>
    </row>
    <row r="3" spans="2:10" x14ac:dyDescent="0.2">
      <c r="B3" s="1" t="s">
        <v>1</v>
      </c>
      <c r="C3" s="220" t="s">
        <v>48</v>
      </c>
      <c r="D3" s="221"/>
      <c r="E3" s="222"/>
      <c r="F3" s="147"/>
      <c r="G3" s="147"/>
      <c r="H3" s="137"/>
      <c r="I3" s="137"/>
      <c r="J3" s="137"/>
    </row>
    <row r="4" spans="2:10" x14ac:dyDescent="0.2">
      <c r="B4" s="1" t="s">
        <v>2</v>
      </c>
      <c r="C4" s="3">
        <f>VLOOKUP($C$2,'Data for Bill Impacts'!$A$3:$AD$9,3,0)</f>
        <v>77</v>
      </c>
      <c r="D4" s="4" t="s">
        <v>3</v>
      </c>
      <c r="E4" s="5"/>
      <c r="F4" s="137"/>
      <c r="G4" s="137"/>
      <c r="H4" s="148"/>
      <c r="I4" s="148"/>
      <c r="J4" s="148"/>
    </row>
    <row r="5" spans="2:10" x14ac:dyDescent="0.2">
      <c r="B5" s="1" t="s">
        <v>4</v>
      </c>
      <c r="C5" s="166">
        <f>VLOOKUP($C$2,'Data for Bill Impacts'!$A$3:$AD$9,4,0)</f>
        <v>0.21</v>
      </c>
      <c r="D5" s="6" t="s">
        <v>5</v>
      </c>
      <c r="E5" s="7"/>
      <c r="F5" s="7"/>
      <c r="G5" s="7"/>
      <c r="H5" s="7"/>
      <c r="I5" s="5"/>
      <c r="J5" s="5"/>
    </row>
    <row r="6" spans="2:10" x14ac:dyDescent="0.2">
      <c r="B6" s="1" t="s">
        <v>6</v>
      </c>
      <c r="C6" s="100">
        <f>VLOOKUP($C$2,'Data for Bill Impacts'!$A$3:$AD$9,2,0)</f>
        <v>1.0654999999999999</v>
      </c>
      <c r="D6" s="5"/>
      <c r="E6" s="5"/>
      <c r="F6" s="5"/>
      <c r="G6" s="5"/>
      <c r="H6" s="5"/>
      <c r="I6" s="5"/>
      <c r="J6" s="5"/>
    </row>
    <row r="7" spans="2:10" x14ac:dyDescent="0.2">
      <c r="B7" s="1" t="s">
        <v>7</v>
      </c>
      <c r="C7" s="9">
        <f>C6</f>
        <v>1.0654999999999999</v>
      </c>
      <c r="D7" s="5"/>
      <c r="E7" s="5"/>
      <c r="F7" s="5"/>
      <c r="G7" s="5"/>
      <c r="H7" s="5"/>
      <c r="I7" s="5"/>
      <c r="J7" s="5"/>
    </row>
    <row r="8" spans="2:10" x14ac:dyDescent="0.2">
      <c r="B8" s="5"/>
      <c r="C8" s="5"/>
      <c r="D8" s="5"/>
      <c r="E8" s="5"/>
      <c r="F8" s="5"/>
      <c r="G8" s="5"/>
      <c r="H8" s="5"/>
      <c r="I8" s="5"/>
      <c r="J8" s="5"/>
    </row>
    <row r="9" spans="2:10" x14ac:dyDescent="0.2">
      <c r="B9" s="223"/>
      <c r="C9" s="228" t="s">
        <v>8</v>
      </c>
      <c r="D9" s="226"/>
      <c r="E9" s="227"/>
      <c r="F9" s="228" t="s">
        <v>9</v>
      </c>
      <c r="G9" s="226"/>
      <c r="H9" s="227"/>
      <c r="I9" s="228" t="s">
        <v>10</v>
      </c>
      <c r="J9" s="227"/>
    </row>
    <row r="10" spans="2:10" x14ac:dyDescent="0.2">
      <c r="B10" s="224"/>
      <c r="C10" s="12" t="s">
        <v>11</v>
      </c>
      <c r="D10" s="229" t="s">
        <v>12</v>
      </c>
      <c r="E10" s="11" t="s">
        <v>13</v>
      </c>
      <c r="F10" s="10" t="s">
        <v>11</v>
      </c>
      <c r="G10" s="229" t="s">
        <v>12</v>
      </c>
      <c r="H10" s="11" t="s">
        <v>13</v>
      </c>
      <c r="I10" s="231" t="s">
        <v>14</v>
      </c>
      <c r="J10" s="233" t="s">
        <v>15</v>
      </c>
    </row>
    <row r="11" spans="2:10" x14ac:dyDescent="0.2">
      <c r="B11" s="225"/>
      <c r="C11" s="14" t="s">
        <v>16</v>
      </c>
      <c r="D11" s="230"/>
      <c r="E11" s="14" t="s">
        <v>16</v>
      </c>
      <c r="F11" s="13" t="s">
        <v>16</v>
      </c>
      <c r="G11" s="230"/>
      <c r="H11" s="14" t="s">
        <v>16</v>
      </c>
      <c r="I11" s="235"/>
      <c r="J11" s="236"/>
    </row>
    <row r="12" spans="2:10" x14ac:dyDescent="0.2">
      <c r="B12" s="138" t="s">
        <v>17</v>
      </c>
      <c r="C12" s="39">
        <f>VLOOKUP($C$2,'Data for Bill Impacts'!$A$3:$AD$9,6,0)</f>
        <v>14.23</v>
      </c>
      <c r="D12" s="15">
        <v>1</v>
      </c>
      <c r="E12" s="16">
        <f>D12*C12</f>
        <v>14.23</v>
      </c>
      <c r="F12" s="60">
        <f>VLOOKUP($C$2,'Data for Bill Impacts'!$A$3:$AD$9,19,0)</f>
        <v>14.23</v>
      </c>
      <c r="G12" s="17">
        <f>D12</f>
        <v>1</v>
      </c>
      <c r="H12" s="16">
        <f>G12*F12</f>
        <v>14.23</v>
      </c>
      <c r="I12" s="18">
        <f t="shared" ref="I12:I31" si="0">H12-E12</f>
        <v>0</v>
      </c>
      <c r="J12" s="19">
        <f>IF(ISERROR(I12/E12), "", I12/E12)</f>
        <v>0</v>
      </c>
    </row>
    <row r="13" spans="2:10" x14ac:dyDescent="0.2">
      <c r="B13" s="115" t="s">
        <v>18</v>
      </c>
      <c r="C13" s="56">
        <f>VLOOKUP($C$2,'Data for Bill Impacts'!$A$3:$AD$9,8,0)</f>
        <v>36.726100000000002</v>
      </c>
      <c r="D13" s="15">
        <f>IF($C5&gt;0, $C5, $C4)</f>
        <v>0.21</v>
      </c>
      <c r="E13" s="16">
        <f t="shared" ref="E13:E21" si="1">D13*C13</f>
        <v>7.7124810000000004</v>
      </c>
      <c r="F13" s="59">
        <f>VLOOKUP($C$2,'Data for Bill Impacts'!$A$3:$AD$9,21,0)</f>
        <v>36.726100000000002</v>
      </c>
      <c r="G13" s="15">
        <f>D13</f>
        <v>0.21</v>
      </c>
      <c r="H13" s="16">
        <f>G13*F13</f>
        <v>7.7124810000000004</v>
      </c>
      <c r="I13" s="18">
        <f t="shared" si="0"/>
        <v>0</v>
      </c>
      <c r="J13" s="19">
        <f t="shared" ref="J13:J21" si="2">IF(ISERROR(I13/E13), "", I13/E13)</f>
        <v>0</v>
      </c>
    </row>
    <row r="14" spans="2:10" x14ac:dyDescent="0.2">
      <c r="B14" s="139" t="s">
        <v>19</v>
      </c>
      <c r="C14" s="39">
        <f>VLOOKUP($C$2,'Data for Bill Impacts'!$A$3:$AD$9,10,0)</f>
        <v>-0.14000000000000001</v>
      </c>
      <c r="D14" s="15">
        <v>1</v>
      </c>
      <c r="E14" s="16">
        <f t="shared" si="1"/>
        <v>-0.14000000000000001</v>
      </c>
      <c r="F14" s="60">
        <f>VLOOKUP($C$2,'Data for Bill Impacts'!$A$3:$AD$9,23,0)</f>
        <v>-0.14000000000000001</v>
      </c>
      <c r="G14" s="17">
        <f>D14</f>
        <v>1</v>
      </c>
      <c r="H14" s="16">
        <f t="shared" ref="H14:H21" si="3">G14*F14</f>
        <v>-0.14000000000000001</v>
      </c>
      <c r="I14" s="18">
        <f t="shared" si="0"/>
        <v>0</v>
      </c>
      <c r="J14" s="19">
        <f t="shared" si="2"/>
        <v>0</v>
      </c>
    </row>
    <row r="15" spans="2:10" x14ac:dyDescent="0.2">
      <c r="B15" s="115" t="s">
        <v>20</v>
      </c>
      <c r="C15" s="40">
        <f>VLOOKUP($C$2,'Data for Bill Impacts'!$A$3:$AD$9,11,0)+VLOOKUP($C$2,'Data for Bill Impacts'!$A$3:$AD$9,16,0)</f>
        <v>-3.9104000000000001</v>
      </c>
      <c r="D15" s="15">
        <f>D13</f>
        <v>0.21</v>
      </c>
      <c r="E15" s="16">
        <f t="shared" si="1"/>
        <v>-0.82118400000000003</v>
      </c>
      <c r="F15" s="58">
        <f>VLOOKUP($C$2,'Data for Bill Impacts'!$A$3:$AD$9,24,0)+VLOOKUP($C$2,'Data for Bill Impacts'!$A$3:$AD$9,28,0)</f>
        <v>-3.9104000000000001</v>
      </c>
      <c r="G15" s="17">
        <f>D15</f>
        <v>0.21</v>
      </c>
      <c r="H15" s="16">
        <f t="shared" si="3"/>
        <v>-0.82118400000000003</v>
      </c>
      <c r="I15" s="18">
        <f t="shared" si="0"/>
        <v>0</v>
      </c>
      <c r="J15" s="101">
        <f t="shared" si="2"/>
        <v>0</v>
      </c>
    </row>
    <row r="16" spans="2:10" x14ac:dyDescent="0.2">
      <c r="B16" s="112" t="s">
        <v>21</v>
      </c>
      <c r="C16" s="89"/>
      <c r="D16" s="90"/>
      <c r="E16" s="91">
        <f>SUM(E12:E15)</f>
        <v>20.981297000000001</v>
      </c>
      <c r="F16" s="92"/>
      <c r="G16" s="93"/>
      <c r="H16" s="91">
        <f>SUM(H12:H15)</f>
        <v>20.981297000000001</v>
      </c>
      <c r="I16" s="87">
        <f t="shared" si="0"/>
        <v>0</v>
      </c>
      <c r="J16" s="88">
        <f>IF((E16)=0,"",(I16/E16))</f>
        <v>0</v>
      </c>
    </row>
    <row r="17" spans="2:10" x14ac:dyDescent="0.2">
      <c r="B17" s="113" t="s">
        <v>22</v>
      </c>
      <c r="C17" s="40">
        <f>IF((C4*12&gt;=150000), 0, IF(C3="RPP",(C33*0.65+C34*0.17+C35*0.18),IF(C3="Non-RPP (Retailer)",C36,C37)))</f>
        <v>8.2160000000000011E-2</v>
      </c>
      <c r="D17" s="20">
        <f>IF(C17=0, 0, $C4*C6-C4)</f>
        <v>5.0434999999999945</v>
      </c>
      <c r="E17" s="16">
        <f>D17*C17</f>
        <v>0.4143739599999996</v>
      </c>
      <c r="F17" s="58">
        <f>IF((C4*12&gt;=150000), 0, IF(C3="RPP",(F33*0.65+F34*0.17+F35*0.18),IF(C3="Non-RPP (Retailer)",F36,F37)))</f>
        <v>8.2160000000000011E-2</v>
      </c>
      <c r="G17" s="20">
        <f>IF(F17=0, 0, C4*C7-C4)</f>
        <v>5.0434999999999945</v>
      </c>
      <c r="H17" s="16">
        <f>G17*F17</f>
        <v>0.4143739599999996</v>
      </c>
      <c r="I17" s="18">
        <f>H17-E17</f>
        <v>0</v>
      </c>
      <c r="J17" s="19">
        <f>IF(ISERROR(I17/E17), "", I17/E17)</f>
        <v>0</v>
      </c>
    </row>
    <row r="18" spans="2:10" x14ac:dyDescent="0.2">
      <c r="B18" s="114" t="s">
        <v>23</v>
      </c>
      <c r="C18" s="39">
        <f>VLOOKUP($C$2,'Data for Bill Impacts'!$A$3:$AD$9,14,0)</f>
        <v>-3.7412000000000001</v>
      </c>
      <c r="D18" s="21">
        <f>D13</f>
        <v>0.21</v>
      </c>
      <c r="E18" s="16">
        <f t="shared" si="1"/>
        <v>-0.78565200000000002</v>
      </c>
      <c r="F18" s="59">
        <f>VLOOKUP($C$2,'Data for Bill Impacts'!$A$3:$AD$9,27,0)</f>
        <v>0.19320000000000001</v>
      </c>
      <c r="G18" s="21">
        <f t="shared" ref="G18:G23" si="4">D18</f>
        <v>0.21</v>
      </c>
      <c r="H18" s="16">
        <f t="shared" si="3"/>
        <v>4.0572000000000004E-2</v>
      </c>
      <c r="I18" s="18">
        <f t="shared" si="0"/>
        <v>0.82622400000000007</v>
      </c>
      <c r="J18" s="19">
        <f t="shared" si="2"/>
        <v>-1.0516411846466376</v>
      </c>
    </row>
    <row r="19" spans="2:10" x14ac:dyDescent="0.2">
      <c r="B19" s="114" t="s">
        <v>24</v>
      </c>
      <c r="C19" s="40">
        <v>0</v>
      </c>
      <c r="D19" s="21">
        <f>D13</f>
        <v>0.21</v>
      </c>
      <c r="E19" s="16">
        <f>D19*C19</f>
        <v>0</v>
      </c>
      <c r="F19" s="59">
        <v>0</v>
      </c>
      <c r="G19" s="21">
        <f t="shared" si="4"/>
        <v>0.21</v>
      </c>
      <c r="H19" s="16">
        <f>G19*F19</f>
        <v>0</v>
      </c>
      <c r="I19" s="18">
        <f t="shared" si="0"/>
        <v>0</v>
      </c>
      <c r="J19" s="19" t="str">
        <f t="shared" si="2"/>
        <v/>
      </c>
    </row>
    <row r="20" spans="2:10" x14ac:dyDescent="0.2">
      <c r="B20" s="114" t="s">
        <v>25</v>
      </c>
      <c r="C20" s="39">
        <f>IF(C3="RPP",0,VLOOKUP($C$2,'Data for Bill Impacts'!$A$3:$AD$9,15,0))</f>
        <v>0</v>
      </c>
      <c r="D20" s="21">
        <f>C4</f>
        <v>77</v>
      </c>
      <c r="E20" s="16">
        <f>D20*C20</f>
        <v>0</v>
      </c>
      <c r="F20" s="59">
        <f>IF(C3="RPP",0,VLOOKUP($C$2,'Data for Bill Impacts'!$A$3:$AD$9,26,0))</f>
        <v>0</v>
      </c>
      <c r="G20" s="21">
        <f t="shared" si="4"/>
        <v>77</v>
      </c>
      <c r="H20" s="16">
        <f t="shared" si="3"/>
        <v>0</v>
      </c>
      <c r="I20" s="18">
        <f t="shared" si="0"/>
        <v>0</v>
      </c>
      <c r="J20" s="19" t="str">
        <f t="shared" si="2"/>
        <v/>
      </c>
    </row>
    <row r="21" spans="2:10" x14ac:dyDescent="0.2">
      <c r="B21" s="115" t="s">
        <v>26</v>
      </c>
      <c r="C21" s="56">
        <f>VLOOKUP($C$2,'Data for Bill Impacts'!$A$3:$AD$9,9,0)+VLOOKUP($C$2,'Data for Bill Impacts'!$A$3:$AD$9,12,0)</f>
        <v>0.1099</v>
      </c>
      <c r="D21" s="21">
        <f>D13</f>
        <v>0.21</v>
      </c>
      <c r="E21" s="16">
        <f t="shared" si="1"/>
        <v>2.3078999999999999E-2</v>
      </c>
      <c r="F21" s="59">
        <f>VLOOKUP($C$2,'Data for Bill Impacts'!$A$3:$AD$9,22,0)+VLOOKUP($C$2,'Data for Bill Impacts'!$A$3:$AD$9,25,0)</f>
        <v>0.1099</v>
      </c>
      <c r="G21" s="21">
        <f t="shared" si="4"/>
        <v>0.21</v>
      </c>
      <c r="H21" s="16">
        <f t="shared" si="3"/>
        <v>2.3078999999999999E-2</v>
      </c>
      <c r="I21" s="18">
        <f t="shared" si="0"/>
        <v>0</v>
      </c>
      <c r="J21" s="19">
        <f t="shared" si="2"/>
        <v>0</v>
      </c>
    </row>
    <row r="22" spans="2:10" ht="51" x14ac:dyDescent="0.2">
      <c r="B22" s="116" t="s">
        <v>27</v>
      </c>
      <c r="C22" s="39">
        <f>VLOOKUP($C$2,'Data for Bill Impacts'!$A$3:$AD$9,7,0)</f>
        <v>0</v>
      </c>
      <c r="D22" s="15">
        <v>1</v>
      </c>
      <c r="E22" s="16">
        <f>D22*C22</f>
        <v>0</v>
      </c>
      <c r="F22" s="60">
        <f>VLOOKUP($C$2,'Data for Bill Impacts'!$A$3:$AD$9,20,0)</f>
        <v>0</v>
      </c>
      <c r="G22" s="15">
        <f t="shared" si="4"/>
        <v>1</v>
      </c>
      <c r="H22" s="16">
        <f>G22*F22</f>
        <v>0</v>
      </c>
      <c r="I22" s="18">
        <f t="shared" si="0"/>
        <v>0</v>
      </c>
      <c r="J22" s="19" t="str">
        <f>IF(ISERROR(I22/E22), "", I22/E22)</f>
        <v/>
      </c>
    </row>
    <row r="23" spans="2:10" x14ac:dyDescent="0.2">
      <c r="B23" s="115" t="s">
        <v>28</v>
      </c>
      <c r="C23" s="40">
        <v>0</v>
      </c>
      <c r="D23" s="21">
        <f>D13</f>
        <v>0.21</v>
      </c>
      <c r="E23" s="16">
        <f>D23*C23</f>
        <v>0</v>
      </c>
      <c r="F23" s="57">
        <v>0</v>
      </c>
      <c r="G23" s="21">
        <f t="shared" si="4"/>
        <v>0.21</v>
      </c>
      <c r="H23" s="16">
        <f>G23*F23</f>
        <v>0</v>
      </c>
      <c r="I23" s="18">
        <f t="shared" si="0"/>
        <v>0</v>
      </c>
      <c r="J23" s="19" t="str">
        <f>IF(ISERROR(I23/E23), "", I23/E23)</f>
        <v/>
      </c>
    </row>
    <row r="24" spans="2:10" ht="25.5" x14ac:dyDescent="0.2">
      <c r="B24" s="117" t="s">
        <v>29</v>
      </c>
      <c r="C24" s="82"/>
      <c r="D24" s="83"/>
      <c r="E24" s="84">
        <f>SUM(E16:E23)</f>
        <v>20.633097960000001</v>
      </c>
      <c r="F24" s="85"/>
      <c r="G24" s="86"/>
      <c r="H24" s="84">
        <f>SUM(H16:H23)</f>
        <v>21.45932196</v>
      </c>
      <c r="I24" s="87">
        <f t="shared" si="0"/>
        <v>0.82622399999999985</v>
      </c>
      <c r="J24" s="88">
        <f>IF((E24)=0,"",(I24/E24))</f>
        <v>4.004362319229738E-2</v>
      </c>
    </row>
    <row r="25" spans="2:10" x14ac:dyDescent="0.2">
      <c r="B25" s="140" t="s">
        <v>30</v>
      </c>
      <c r="C25" s="61">
        <f>VLOOKUP($C$2,'Data for Bill Impacts'!$A$3:$AD$9,17,0)</f>
        <v>1.8176000000000001</v>
      </c>
      <c r="D25" s="20">
        <f>IF($C5&gt;0, $C5, $C4*$C6)</f>
        <v>0.21</v>
      </c>
      <c r="E25" s="16">
        <f>D25*C25</f>
        <v>0.38169600000000004</v>
      </c>
      <c r="F25" s="59">
        <f>VLOOKUP($C$2,'Data for Bill Impacts'!$A$3:$AD$9,29,0)</f>
        <v>1.8001</v>
      </c>
      <c r="G25" s="20">
        <f>D25</f>
        <v>0.21</v>
      </c>
      <c r="H25" s="16">
        <f>G25*F25</f>
        <v>0.378021</v>
      </c>
      <c r="I25" s="18">
        <f t="shared" si="0"/>
        <v>-3.6750000000000393E-3</v>
      </c>
      <c r="J25" s="19">
        <f>IF(ISERROR(I25/E25), "", I25/E25)</f>
        <v>-9.6280809859155946E-3</v>
      </c>
    </row>
    <row r="26" spans="2:10" ht="25.5" x14ac:dyDescent="0.2">
      <c r="B26" s="141" t="s">
        <v>31</v>
      </c>
      <c r="C26" s="62">
        <f>VLOOKUP($C$2,'Data for Bill Impacts'!$A$3:$AD$9,18,0)</f>
        <v>1.5528</v>
      </c>
      <c r="D26" s="20">
        <f>D25</f>
        <v>0.21</v>
      </c>
      <c r="E26" s="16">
        <f>D26*C26</f>
        <v>0.32608799999999999</v>
      </c>
      <c r="F26" s="59">
        <f>VLOOKUP($C$2,'Data for Bill Impacts'!$A$3:$AD$9,30,0)</f>
        <v>1.55</v>
      </c>
      <c r="G26" s="20">
        <f>D26</f>
        <v>0.21</v>
      </c>
      <c r="H26" s="16">
        <f>G26*F26</f>
        <v>0.32550000000000001</v>
      </c>
      <c r="I26" s="18">
        <f t="shared" si="0"/>
        <v>-5.8799999999997743E-4</v>
      </c>
      <c r="J26" s="19">
        <f>IF(ISERROR(I26/E26), "", I26/E26)</f>
        <v>-1.8031942297783955E-3</v>
      </c>
    </row>
    <row r="27" spans="2:10" ht="25.5" x14ac:dyDescent="0.2">
      <c r="B27" s="117" t="s">
        <v>32</v>
      </c>
      <c r="C27" s="82"/>
      <c r="D27" s="83"/>
      <c r="E27" s="84">
        <f>SUM(E24:E26)</f>
        <v>21.340881960000001</v>
      </c>
      <c r="F27" s="94"/>
      <c r="G27" s="93"/>
      <c r="H27" s="84">
        <f>SUM(H24:H26)</f>
        <v>22.162842960000003</v>
      </c>
      <c r="I27" s="87">
        <f t="shared" si="0"/>
        <v>0.82196100000000172</v>
      </c>
      <c r="J27" s="88">
        <f>IF((E27)=0,"",(I27/E27))</f>
        <v>3.8515793374455348E-2</v>
      </c>
    </row>
    <row r="28" spans="2:10" x14ac:dyDescent="0.2">
      <c r="B28" s="142" t="s">
        <v>33</v>
      </c>
      <c r="C28" s="63">
        <v>3.6000000000000003E-3</v>
      </c>
      <c r="D28" s="20">
        <f>C4*C6</f>
        <v>82.043499999999995</v>
      </c>
      <c r="E28" s="22">
        <f t="shared" ref="E28:E31" si="5">D28*C28</f>
        <v>0.29535660000000002</v>
      </c>
      <c r="F28" s="57">
        <v>3.6000000000000003E-3</v>
      </c>
      <c r="G28" s="20">
        <f>C4*C7</f>
        <v>82.043499999999995</v>
      </c>
      <c r="H28" s="22">
        <f t="shared" ref="H28:H31" si="6">G28*F28</f>
        <v>0.29535660000000002</v>
      </c>
      <c r="I28" s="18">
        <f t="shared" si="0"/>
        <v>0</v>
      </c>
      <c r="J28" s="19">
        <f t="shared" ref="J28:J31" si="7">IF(ISERROR(I28/E28), "", I28/E28)</f>
        <v>0</v>
      </c>
    </row>
    <row r="29" spans="2:10" x14ac:dyDescent="0.2">
      <c r="B29" s="143" t="s">
        <v>34</v>
      </c>
      <c r="C29" s="40">
        <v>2.9999999999999997E-4</v>
      </c>
      <c r="D29" s="20">
        <f>C4*C6</f>
        <v>82.043499999999995</v>
      </c>
      <c r="E29" s="22">
        <f t="shared" si="5"/>
        <v>2.4613049999999997E-2</v>
      </c>
      <c r="F29" s="57">
        <v>2.9999999999999997E-4</v>
      </c>
      <c r="G29" s="20">
        <f>C4*C7</f>
        <v>82.043499999999995</v>
      </c>
      <c r="H29" s="22">
        <f t="shared" si="6"/>
        <v>2.4613049999999997E-2</v>
      </c>
      <c r="I29" s="18">
        <f t="shared" si="0"/>
        <v>0</v>
      </c>
      <c r="J29" s="19">
        <f t="shared" si="7"/>
        <v>0</v>
      </c>
    </row>
    <row r="30" spans="2:10" x14ac:dyDescent="0.2">
      <c r="B30" s="125" t="s">
        <v>35</v>
      </c>
      <c r="C30" s="41">
        <v>0.25</v>
      </c>
      <c r="D30" s="15">
        <v>1</v>
      </c>
      <c r="E30" s="22">
        <f t="shared" si="5"/>
        <v>0.25</v>
      </c>
      <c r="F30" s="102">
        <v>0.25</v>
      </c>
      <c r="G30" s="17">
        <v>1</v>
      </c>
      <c r="H30" s="22">
        <f t="shared" si="6"/>
        <v>0.25</v>
      </c>
      <c r="I30" s="18">
        <f t="shared" si="0"/>
        <v>0</v>
      </c>
      <c r="J30" s="19">
        <f t="shared" si="7"/>
        <v>0</v>
      </c>
    </row>
    <row r="31" spans="2:10" x14ac:dyDescent="0.2">
      <c r="B31" s="144" t="s">
        <v>36</v>
      </c>
      <c r="C31" s="43">
        <v>7.0000000000000001E-3</v>
      </c>
      <c r="D31" s="21">
        <f>C4</f>
        <v>77</v>
      </c>
      <c r="E31" s="106">
        <f t="shared" si="5"/>
        <v>0.53900000000000003</v>
      </c>
      <c r="F31" s="105">
        <f>C31</f>
        <v>7.0000000000000001E-3</v>
      </c>
      <c r="G31" s="21">
        <f>D31</f>
        <v>77</v>
      </c>
      <c r="H31" s="106">
        <f t="shared" si="6"/>
        <v>0.53900000000000003</v>
      </c>
      <c r="I31" s="33">
        <f t="shared" si="0"/>
        <v>0</v>
      </c>
      <c r="J31" s="107">
        <f t="shared" si="7"/>
        <v>0</v>
      </c>
    </row>
    <row r="32" spans="2:10" ht="25.5" x14ac:dyDescent="0.2">
      <c r="B32" s="145" t="s">
        <v>37</v>
      </c>
      <c r="C32" s="95"/>
      <c r="D32" s="96"/>
      <c r="E32" s="97"/>
      <c r="F32" s="104"/>
      <c r="G32" s="96"/>
      <c r="H32" s="97"/>
      <c r="I32" s="98"/>
      <c r="J32" s="99"/>
    </row>
    <row r="33" spans="2:10" x14ac:dyDescent="0.2">
      <c r="B33" s="150" t="s">
        <v>38</v>
      </c>
      <c r="C33" s="151">
        <v>6.5000000000000002E-2</v>
      </c>
      <c r="D33" s="161">
        <f>IF(AND(C4*12&gt;=150000),0.65*C4*C6,0.65*C4)</f>
        <v>50.050000000000004</v>
      </c>
      <c r="E33" s="153">
        <f t="shared" ref="E33:E35" si="8">D33*C33</f>
        <v>3.2532500000000004</v>
      </c>
      <c r="F33" s="164">
        <v>6.5000000000000002E-2</v>
      </c>
      <c r="G33" s="152">
        <f>IF(AND(C4*12&gt;=150000),0.65*C4*C7,0.65*C4)</f>
        <v>50.050000000000004</v>
      </c>
      <c r="H33" s="154">
        <f t="shared" ref="H33:H35" si="9">G33*F33</f>
        <v>3.2532500000000004</v>
      </c>
      <c r="I33" s="155">
        <f>H33-E33</f>
        <v>0</v>
      </c>
      <c r="J33" s="156">
        <f t="shared" ref="J33:J35" si="10">IF(ISERROR(I33/E33), "", I33/E33)</f>
        <v>0</v>
      </c>
    </row>
    <row r="34" spans="2:10" x14ac:dyDescent="0.2">
      <c r="B34" s="157" t="s">
        <v>39</v>
      </c>
      <c r="C34" s="158">
        <v>9.5000000000000001E-2</v>
      </c>
      <c r="D34" s="162">
        <f>IF(AND(C4*12&gt;=150000),0.17*C4*C6,0.17*C4)</f>
        <v>13.090000000000002</v>
      </c>
      <c r="E34" s="105">
        <f t="shared" si="8"/>
        <v>1.2435500000000002</v>
      </c>
      <c r="F34" s="165">
        <v>9.5000000000000001E-2</v>
      </c>
      <c r="G34" s="106">
        <f>IF(AND(C4*12&gt;=150000),0.17*C4*C7,0.17*C4)</f>
        <v>13.090000000000002</v>
      </c>
      <c r="H34" s="33">
        <f t="shared" si="9"/>
        <v>1.2435500000000002</v>
      </c>
      <c r="I34" s="159">
        <f>H34-E34</f>
        <v>0</v>
      </c>
      <c r="J34" s="160">
        <f t="shared" si="10"/>
        <v>0</v>
      </c>
    </row>
    <row r="35" spans="2:10" x14ac:dyDescent="0.2">
      <c r="B35" s="127" t="s">
        <v>40</v>
      </c>
      <c r="C35" s="135">
        <v>0.13200000000000001</v>
      </c>
      <c r="D35" s="163">
        <f>IF(AND(C4*12&gt;=150000),0.18*C4*C6,0.18*C4)</f>
        <v>13.86</v>
      </c>
      <c r="E35" s="133">
        <f t="shared" si="8"/>
        <v>1.82952</v>
      </c>
      <c r="F35" s="135">
        <v>0.13200000000000001</v>
      </c>
      <c r="G35" s="132">
        <f>IF(AND(C4*12&gt;=150000),0.18*C4*C7,0.18*C4)</f>
        <v>13.86</v>
      </c>
      <c r="H35" s="134">
        <f t="shared" si="9"/>
        <v>1.82952</v>
      </c>
      <c r="I35" s="136">
        <f>H35-E35</f>
        <v>0</v>
      </c>
      <c r="J35" s="149">
        <f t="shared" si="10"/>
        <v>0</v>
      </c>
    </row>
    <row r="36" spans="2:10" x14ac:dyDescent="0.2">
      <c r="B36" s="46"/>
      <c r="C36" s="66"/>
      <c r="D36" s="67"/>
      <c r="E36" s="68"/>
      <c r="F36" s="66"/>
      <c r="G36" s="67"/>
      <c r="H36" s="68"/>
      <c r="I36" s="69"/>
      <c r="J36" s="70"/>
    </row>
    <row r="37" spans="2:10" x14ac:dyDescent="0.2">
      <c r="B37" s="128" t="s">
        <v>43</v>
      </c>
      <c r="C37" s="71"/>
      <c r="D37" s="72"/>
      <c r="E37" s="73">
        <f>SUM(E28:E35,E27)</f>
        <v>28.776171609999999</v>
      </c>
      <c r="F37" s="74"/>
      <c r="G37" s="74"/>
      <c r="H37" s="73">
        <f>SUM(H28:H35,H27)</f>
        <v>29.59813261</v>
      </c>
      <c r="I37" s="75">
        <f>H37-E37</f>
        <v>0.82196100000000172</v>
      </c>
      <c r="J37" s="76">
        <f>IF((E37)=0,"",(I37/E37))</f>
        <v>2.856394558456005E-2</v>
      </c>
    </row>
    <row r="38" spans="2:10" x14ac:dyDescent="0.2">
      <c r="B38" s="129" t="s">
        <v>44</v>
      </c>
      <c r="C38" s="45">
        <v>0.13</v>
      </c>
      <c r="D38" s="30"/>
      <c r="E38" s="31">
        <f>E37*C38</f>
        <v>3.7409023093</v>
      </c>
      <c r="F38" s="32">
        <v>0.13</v>
      </c>
      <c r="G38" s="15"/>
      <c r="H38" s="31">
        <f>H37*F38</f>
        <v>3.8477572393000004</v>
      </c>
      <c r="I38" s="33">
        <f>H38-E38</f>
        <v>0.10685493000000035</v>
      </c>
      <c r="J38" s="34">
        <f>IF((E38)=0,"",(I38/E38))</f>
        <v>2.8563945584560081E-2</v>
      </c>
    </row>
    <row r="39" spans="2:10" x14ac:dyDescent="0.2">
      <c r="B39" s="130" t="s">
        <v>46</v>
      </c>
      <c r="C39" s="77"/>
      <c r="D39" s="78"/>
      <c r="E39" s="35">
        <f>E37+E38</f>
        <v>32.517073919299996</v>
      </c>
      <c r="F39" s="79"/>
      <c r="G39" s="79"/>
      <c r="H39" s="35">
        <f>H37+H38</f>
        <v>33.445889849300002</v>
      </c>
      <c r="I39" s="80">
        <f>H39-E39</f>
        <v>0.92881593000000606</v>
      </c>
      <c r="J39" s="81">
        <f>IF((E39)=0,"",(I39/E39))</f>
        <v>2.8563945584560178E-2</v>
      </c>
    </row>
    <row r="40" spans="2:10" x14ac:dyDescent="0.2">
      <c r="B40" s="46"/>
      <c r="C40" s="66"/>
      <c r="D40" s="67"/>
      <c r="E40" s="68"/>
      <c r="F40" s="66"/>
      <c r="G40" s="67"/>
      <c r="H40" s="68"/>
      <c r="I40" s="69"/>
      <c r="J40" s="70"/>
    </row>
  </sheetData>
  <dataConsolidate/>
  <mergeCells count="10">
    <mergeCell ref="I9:J9"/>
    <mergeCell ref="D10:D11"/>
    <mergeCell ref="G10:G11"/>
    <mergeCell ref="I10:I11"/>
    <mergeCell ref="J10:J11"/>
    <mergeCell ref="C2:H2"/>
    <mergeCell ref="C3:E3"/>
    <mergeCell ref="B9:B11"/>
    <mergeCell ref="C9:E9"/>
    <mergeCell ref="F9:H9"/>
  </mergeCells>
  <pageMargins left="0.7" right="0.7" top="0.75" bottom="0.75" header="0.3" footer="0.3"/>
  <pageSetup scale="72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'Data for Bill Impacts'!$A$12:$A$14</xm:f>
          </x14:formula1>
          <xm:sqref>C3</xm:sqref>
        </x14:dataValidation>
        <x14:dataValidation type="list" allowBlank="1" showInputMessage="1" showErrorMessage="1">
          <x14:formula1>
            <xm:f>'Data for Bill Impacts'!$A$3:$A$9</xm:f>
          </x14:formula1>
          <xm:sqref>C2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gulatory Affairs Proceeding" ma:contentTypeID="0x01010061EC7F66509FFD4DA0B1B261A86BE77300E5F08829179C5F46A38FF1F3C706465A" ma:contentTypeVersion="19" ma:contentTypeDescription="Meta data that will be applied to all documents added to the proceeding document folder" ma:contentTypeScope="" ma:versionID="632e20216e2d24e829abe3dd66b3e1e6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targetNamespace="http://schemas.microsoft.com/office/2006/metadata/properties" ma:root="true" ma:fieldsID="43c61579b24f5dac6cc45e53e16df8da" ns2:_="" ns3:_="" ns4:_="" ns5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 minOccurs="0"/>
                <xsd:element ref="ns2:Document_x0020_Type" minOccurs="0"/>
                <xsd:element ref="ns2:Issue_x0020_Date" minOccurs="0"/>
                <xsd:element ref="ns2:Jurisdiction" minOccurs="0"/>
                <xsd:element ref="ns3:Authoring_x0020_Party" minOccurs="0"/>
                <xsd:element ref="ns3:Filing_x0020_Status" minOccurs="0"/>
                <xsd:element ref="ns4:Hydro_x0020_One_x0020_Data_x0020_Classification" minOccurs="0"/>
                <xsd:element ref="ns5:RA_x0020_Conta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nillable="true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nillable="true" ma:displayName="Document Type" ma:default="Correspondence" ma:description="Please choose the type of document being submitted." ma:format="Dropdown" ma:internalName="Document_x0020_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nillable="true" ma:displayName="Issue Date" ma:description="Date the document was issued." ma:format="DateOnly" ma:internalName="Issue_x0020_Date" ma:readOnly="false">
      <xsd:simpleType>
        <xsd:restriction base="dms:DateTime"/>
      </xsd:simpleType>
    </xsd:element>
    <xsd:element name="Jurisdiction" ma:index="13" nillable="true" ma:displayName="Jurisdiction" ma:default="OEB" ma:description="Jurisdiction the proceeding is happening in." ma:format="RadioButtons" ma:internalName="Jurisdiction">
      <xsd:simpleType>
        <xsd:restriction base="dms:Choice">
          <xsd:enumeration value="OEB"/>
          <xsd:enumeration value="Canada"/>
          <xsd:enumeration value="United States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4" nillable="true" ma:displayName="Authoring Party" ma:default="Hydro One Networks - HONI" ma:format="Dropdown" ma:internalName="Authoring_x0020_Party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5" nillable="true" ma:displayName="Filing Status" ma:default="Draft" ma:description="Filed means that the document has been sent to the OEB." ma:format="RadioButtons" ma:internalName="Filing_x0020_Status" ma:readOnly="false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6" nillable="true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internalName="Hydro_x0020_One_x0020_Data_x0020_Classification" ma:readOnly="false">
      <xsd:simpleType>
        <xsd:restriction base="dms:Choice">
          <xsd:enumeration value="Internal Use (Only Internal information is not for release to the public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7" nillable="true" ma:displayName="RA Contact" ma:default="182932 - AC" ma:format="Dropdown" ma:internalName="RA_x0020_Contact" ma:readOnly="false">
      <xsd:simpleType>
        <xsd:union memberTypes="dms:Text">
          <xsd:simpleType>
            <xsd:restriction base="dms:Choice">
              <xsd:enumeration value="182932 - AC"/>
              <xsd:enumeration value="176200 - AS"/>
              <xsd:enumeration value="584633 - OH"/>
              <xsd:enumeration value="183940 - IM"/>
              <xsd:enumeration value="208166 - HA"/>
              <xsd:enumeration value="177998 - EM"/>
              <xsd:enumeration value="184748 - JR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ing_x0020_Status xmlns="ea909525-6dd5-47d7-9eed-71e77e5cedc6">Draft</Filing_x0020_Status>
    <Case_x0020_Number_x002f_Docket_x0020_Number xmlns="f9175001-c430-4d57-adde-c1c10539e919">EB-2017-0050</Case_x0020_Number_x002f_Docket_x0020_Number>
    <Issue_x0020_Date xmlns="f9175001-c430-4d57-adde-c1c10539e919" xsi:nil="true"/>
    <Authoring_x0020_Party xmlns="ea909525-6dd5-47d7-9eed-71e77e5cedc6">Hydro One Networks - HONI</Authoring_x0020_Party>
    <Applicant xmlns="f9175001-c430-4d57-adde-c1c10539e919">
      <Value>Hydro One Networks</Value>
    </Applicant>
    <Jurisdiction xmlns="f9175001-c430-4d57-adde-c1c10539e919">OEB</Jurisdiction>
    <Case_x0020_Type xmlns="f9175001-c430-4d57-adde-c1c10539e919">Electricity</Case_x0020_Type>
    <Document_x0020_Type xmlns="f9175001-c430-4d57-adde-c1c10539e919">Correspondence</Document_x0020_Type>
    <RA_x0020_Contact xmlns="31a38067-a042-4e0e-9037-517587b10700">182932 - AC</RA_x0020_Contact>
    <Hydro_x0020_One_x0020_Data_x0020_Classification xmlns="f0af1d65-dfd0-4b99-b523-def3a954563f">Internal Use (Only Internal information is not for release to the public)</Hydro_x0020_One_x0020_Data_x0020_Classification>
  </documentManagement>
</p:properties>
</file>

<file path=customXml/itemProps1.xml><?xml version="1.0" encoding="utf-8"?>
<ds:datastoreItem xmlns:ds="http://schemas.openxmlformats.org/officeDocument/2006/customXml" ds:itemID="{80A20D4B-C072-4D76-8E83-D91FB1586D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175001-c430-4d57-adde-c1c10539e919"/>
    <ds:schemaRef ds:uri="ea909525-6dd5-47d7-9eed-71e77e5cedc6"/>
    <ds:schemaRef ds:uri="f0af1d65-dfd0-4b99-b523-def3a954563f"/>
    <ds:schemaRef ds:uri="31a38067-a042-4e0e-9037-517587b10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AA6C93-9D05-4C49-9DE4-E4B1C2C87E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1CEA66-12E6-4655-BDFA-CE06BA369B5A}">
  <ds:schemaRefs>
    <ds:schemaRef ds:uri="ea909525-6dd5-47d7-9eed-71e77e5cedc6"/>
    <ds:schemaRef ds:uri="f9175001-c430-4d57-adde-c1c10539e919"/>
    <ds:schemaRef ds:uri="http://purl.org/dc/elements/1.1/"/>
    <ds:schemaRef ds:uri="http://purl.org/dc/terms/"/>
    <ds:schemaRef ds:uri="http://www.w3.org/XML/1998/namespace"/>
    <ds:schemaRef ds:uri="http://schemas.microsoft.com/office/2006/metadata/properties"/>
    <ds:schemaRef ds:uri="http://purl.org/dc/dcmitype/"/>
    <ds:schemaRef ds:uri="31a38067-a042-4e0e-9037-517587b10700"/>
    <ds:schemaRef ds:uri="f0af1d65-dfd0-4b99-b523-def3a95456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Data for Bill Impacts</vt:lpstr>
      <vt:lpstr>Summary</vt:lpstr>
      <vt:lpstr>Residential_Low</vt:lpstr>
      <vt:lpstr>Residential_Typical</vt:lpstr>
      <vt:lpstr>Residential_High</vt:lpstr>
      <vt:lpstr>GS&lt;50 kW</vt:lpstr>
      <vt:lpstr>GS 50-4,999 kW</vt:lpstr>
      <vt:lpstr>USL</vt:lpstr>
      <vt:lpstr>Sentinel Lighting</vt:lpstr>
      <vt:lpstr>Street Lighting</vt:lpstr>
      <vt:lpstr>Embedded Distributor</vt:lpstr>
      <vt:lpstr>Residential_Retailer</vt:lpstr>
      <vt:lpstr>GS&lt;50 kW_Retailer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SHETH Nikita</dc:creator>
  <cp:lastModifiedBy>SHETH Nikita</cp:lastModifiedBy>
  <cp:lastPrinted>2017-12-14T15:51:54Z</cp:lastPrinted>
  <dcterms:created xsi:type="dcterms:W3CDTF">2017-12-14T13:23:27Z</dcterms:created>
  <dcterms:modified xsi:type="dcterms:W3CDTF">2018-01-03T18:37:12Z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0x01010061EC7F66509FFD4DA0B1B261A86BE77300E5F08829179C5F46A38FF1F3C706465A</vt:lpwstr>
  </property>
</Properties>
</file>