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440" windowHeight="12075"/>
  </bookViews>
  <sheets>
    <sheet name="Variance" sheetId="4" r:id="rId1"/>
    <sheet name="Billing Determinants" sheetId="1" r:id="rId2"/>
    <sheet name="Allocating Def-Var Balances" sheetId="2" r:id="rId3"/>
    <sheet name="Final Blanaces by Rate Class" sheetId="7" r:id="rId4"/>
    <sheet name="Calculation of Def-Var RR" sheetId="5" r:id="rId5"/>
    <sheet name="GA" sheetId="3" r:id="rId6"/>
  </sheets>
  <externalReferences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G10" i="4" l="1"/>
  <c r="G12" i="4" s="1"/>
  <c r="G9" i="4"/>
  <c r="G8" i="4"/>
  <c r="G7" i="4"/>
  <c r="G6" i="4"/>
  <c r="G4" i="4"/>
  <c r="G2" i="4"/>
  <c r="F10" i="4"/>
  <c r="F12" i="4" s="1"/>
  <c r="F9" i="4"/>
  <c r="F8" i="4"/>
  <c r="F7" i="4"/>
  <c r="F6" i="4"/>
  <c r="F4" i="4"/>
  <c r="F2" i="4"/>
  <c r="D3" i="4" l="1"/>
  <c r="D4" i="4"/>
  <c r="D5" i="4"/>
  <c r="D6" i="4"/>
  <c r="D7" i="4"/>
  <c r="D8" i="4"/>
  <c r="D9" i="4"/>
  <c r="D10" i="4"/>
  <c r="D12" i="4" s="1"/>
  <c r="D2" i="4"/>
  <c r="C3" i="4"/>
  <c r="C4" i="4"/>
  <c r="E4" i="4" s="1"/>
  <c r="C5" i="4"/>
  <c r="C6" i="4"/>
  <c r="C7" i="4"/>
  <c r="C8" i="4"/>
  <c r="E8" i="4" s="1"/>
  <c r="C9" i="4"/>
  <c r="C10" i="4"/>
  <c r="C12" i="4" s="1"/>
  <c r="C2" i="4"/>
  <c r="E5" i="4" l="1"/>
  <c r="H2" i="4"/>
  <c r="E2" i="4"/>
  <c r="E7" i="4"/>
  <c r="E3" i="4"/>
  <c r="E9" i="4"/>
  <c r="D13" i="4"/>
  <c r="D14" i="4" s="1"/>
  <c r="C13" i="4"/>
  <c r="E10" i="4"/>
  <c r="E12" i="4" s="1"/>
  <c r="E6" i="4"/>
  <c r="E13" i="4" l="1"/>
  <c r="E14" i="4" s="1"/>
  <c r="C14" i="4"/>
  <c r="J22" i="5"/>
  <c r="J21" i="5"/>
  <c r="J20" i="5"/>
  <c r="J18" i="5"/>
  <c r="J17" i="5"/>
  <c r="C53" i="3"/>
  <c r="F3" i="4"/>
  <c r="F13" i="4" s="1"/>
  <c r="F14" i="4" s="1"/>
  <c r="I2" i="4"/>
  <c r="G3" i="4"/>
  <c r="G13" i="4" s="1"/>
  <c r="G14" i="4" s="1"/>
  <c r="I3" i="4" l="1"/>
  <c r="J3" i="4"/>
  <c r="I4" i="4"/>
  <c r="J4" i="4"/>
  <c r="I5" i="4"/>
  <c r="J5" i="4"/>
  <c r="I6" i="4"/>
  <c r="J6" i="4"/>
  <c r="I7" i="4"/>
  <c r="J7" i="4"/>
  <c r="I8" i="4"/>
  <c r="J8" i="4"/>
  <c r="I9" i="4"/>
  <c r="J9" i="4"/>
  <c r="I10" i="4"/>
  <c r="I12" i="4" s="1"/>
  <c r="J10" i="4"/>
  <c r="J12" i="4" s="1"/>
  <c r="J2" i="4"/>
  <c r="H3" i="4"/>
  <c r="H4" i="4"/>
  <c r="H5" i="4"/>
  <c r="H6" i="4"/>
  <c r="H7" i="4"/>
  <c r="I24" i="2" s="1"/>
  <c r="H8" i="4"/>
  <c r="J24" i="2" s="1"/>
  <c r="H9" i="4"/>
  <c r="K24" i="2" s="1"/>
  <c r="H10" i="4"/>
  <c r="H12" i="4" s="1"/>
  <c r="C39" i="3"/>
  <c r="D34" i="3" s="1"/>
  <c r="C25" i="3"/>
  <c r="D19" i="3" s="1"/>
  <c r="C37" i="2"/>
  <c r="C36" i="2"/>
  <c r="C35" i="2"/>
  <c r="C34" i="2"/>
  <c r="C33" i="2"/>
  <c r="C32" i="2"/>
  <c r="D13" i="5"/>
  <c r="L24" i="1"/>
  <c r="D33" i="2" s="1"/>
  <c r="K24" i="1"/>
  <c r="H24" i="1"/>
  <c r="G24" i="1"/>
  <c r="F24" i="1"/>
  <c r="E24" i="1"/>
  <c r="D24" i="1"/>
  <c r="C24" i="1"/>
  <c r="C19" i="2" s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E32" i="2" s="1"/>
  <c r="E25" i="3" l="1"/>
  <c r="E19" i="3" s="1"/>
  <c r="I13" i="4"/>
  <c r="I14" i="4" s="1"/>
  <c r="K2" i="4"/>
  <c r="L2" i="4" s="1"/>
  <c r="J13" i="4"/>
  <c r="J14" i="4" s="1"/>
  <c r="G24" i="2"/>
  <c r="G17" i="2" s="1"/>
  <c r="H13" i="4"/>
  <c r="H24" i="2"/>
  <c r="K3" i="4"/>
  <c r="L3" i="4" s="1"/>
  <c r="M3" i="4" s="1"/>
  <c r="K9" i="4"/>
  <c r="L9" i="4" s="1"/>
  <c r="M9" i="4" s="1"/>
  <c r="K7" i="4"/>
  <c r="L7" i="4" s="1"/>
  <c r="M7" i="4" s="1"/>
  <c r="F24" i="2"/>
  <c r="F16" i="2" s="1"/>
  <c r="C16" i="2"/>
  <c r="E36" i="2"/>
  <c r="E33" i="2"/>
  <c r="E35" i="2"/>
  <c r="C20" i="2"/>
  <c r="D16" i="2"/>
  <c r="D32" i="2"/>
  <c r="D40" i="2" s="1"/>
  <c r="D17" i="2"/>
  <c r="C17" i="2"/>
  <c r="E37" i="2"/>
  <c r="C18" i="2"/>
  <c r="C22" i="2"/>
  <c r="E34" i="2"/>
  <c r="C21" i="2"/>
  <c r="C24" i="2" s="1"/>
  <c r="I24" i="1"/>
  <c r="E22" i="2" s="1"/>
  <c r="K10" i="4"/>
  <c r="K12" i="4" s="1"/>
  <c r="K6" i="4"/>
  <c r="L6" i="4" s="1"/>
  <c r="M6" i="4" s="1"/>
  <c r="K4" i="4"/>
  <c r="L4" i="4" s="1"/>
  <c r="M4" i="4" s="1"/>
  <c r="K8" i="4"/>
  <c r="K5" i="4"/>
  <c r="L5" i="4" s="1"/>
  <c r="M5" i="4" s="1"/>
  <c r="D32" i="3"/>
  <c r="D24" i="3"/>
  <c r="D20" i="3"/>
  <c r="D33" i="3"/>
  <c r="D37" i="3"/>
  <c r="D22" i="3"/>
  <c r="D35" i="3"/>
  <c r="D18" i="3"/>
  <c r="D21" i="3"/>
  <c r="D36" i="3"/>
  <c r="D23" i="3"/>
  <c r="I19" i="2"/>
  <c r="C40" i="2"/>
  <c r="J19" i="2"/>
  <c r="J16" i="2"/>
  <c r="J20" i="2"/>
  <c r="J24" i="1"/>
  <c r="H14" i="4" l="1"/>
  <c r="K13" i="4"/>
  <c r="K14" i="4" s="1"/>
  <c r="M2" i="4"/>
  <c r="G40" i="2"/>
  <c r="F20" i="2"/>
  <c r="F19" i="2"/>
  <c r="K40" i="2"/>
  <c r="I40" i="2"/>
  <c r="I35" i="2" s="1"/>
  <c r="F17" i="2"/>
  <c r="L10" i="4"/>
  <c r="L12" i="4" s="1"/>
  <c r="M12" i="4" s="1"/>
  <c r="E39" i="3"/>
  <c r="E37" i="3" s="1"/>
  <c r="F40" i="2"/>
  <c r="F34" i="2" s="1"/>
  <c r="J21" i="2"/>
  <c r="F21" i="2"/>
  <c r="F18" i="2"/>
  <c r="E40" i="2"/>
  <c r="D24" i="2"/>
  <c r="J18" i="2"/>
  <c r="F22" i="2"/>
  <c r="J22" i="2"/>
  <c r="E17" i="2"/>
  <c r="K17" i="2" s="1"/>
  <c r="K22" i="2"/>
  <c r="H22" i="2"/>
  <c r="E20" i="2"/>
  <c r="E19" i="2"/>
  <c r="E16" i="2"/>
  <c r="E21" i="2"/>
  <c r="J17" i="2"/>
  <c r="E18" i="2"/>
  <c r="K18" i="2" s="1"/>
  <c r="J40" i="2"/>
  <c r="J37" i="2" s="1"/>
  <c r="L8" i="4"/>
  <c r="M8" i="4" s="1"/>
  <c r="H40" i="2"/>
  <c r="H37" i="2" s="1"/>
  <c r="I20" i="2"/>
  <c r="I21" i="2"/>
  <c r="I16" i="2"/>
  <c r="I22" i="2"/>
  <c r="I18" i="2"/>
  <c r="E23" i="3"/>
  <c r="E21" i="3"/>
  <c r="E24" i="3"/>
  <c r="E20" i="3"/>
  <c r="E18" i="3"/>
  <c r="E22" i="3"/>
  <c r="I17" i="2"/>
  <c r="J36" i="2" l="1"/>
  <c r="C22" i="7"/>
  <c r="C50" i="7" s="1"/>
  <c r="G23" i="5" s="1"/>
  <c r="I23" i="5" s="1"/>
  <c r="C18" i="7"/>
  <c r="M10" i="4"/>
  <c r="L13" i="4"/>
  <c r="I32" i="2"/>
  <c r="F36" i="2"/>
  <c r="E36" i="3"/>
  <c r="D50" i="3" s="1"/>
  <c r="E50" i="3" s="1"/>
  <c r="I34" i="2"/>
  <c r="I37" i="2"/>
  <c r="F37" i="2"/>
  <c r="I36" i="2"/>
  <c r="I33" i="2"/>
  <c r="E32" i="3"/>
  <c r="D46" i="3" s="1"/>
  <c r="E46" i="3" s="1"/>
  <c r="E33" i="3"/>
  <c r="D47" i="3" s="1"/>
  <c r="E47" i="3" s="1"/>
  <c r="E35" i="3"/>
  <c r="D49" i="3" s="1"/>
  <c r="E49" i="3" s="1"/>
  <c r="E34" i="3"/>
  <c r="D48" i="3" s="1"/>
  <c r="E48" i="3" s="1"/>
  <c r="D22" i="7"/>
  <c r="F32" i="2"/>
  <c r="F33" i="2"/>
  <c r="F35" i="2"/>
  <c r="H17" i="2"/>
  <c r="C17" i="7" s="1"/>
  <c r="K21" i="2"/>
  <c r="H21" i="2"/>
  <c r="K16" i="2"/>
  <c r="E24" i="2"/>
  <c r="H16" i="2"/>
  <c r="H19" i="2"/>
  <c r="K19" i="2"/>
  <c r="H18" i="2"/>
  <c r="D18" i="7" s="1"/>
  <c r="K20" i="2"/>
  <c r="H20" i="2"/>
  <c r="J33" i="2"/>
  <c r="J34" i="2"/>
  <c r="J35" i="2"/>
  <c r="J32" i="2"/>
  <c r="H35" i="2"/>
  <c r="H33" i="2"/>
  <c r="H36" i="2"/>
  <c r="H32" i="2"/>
  <c r="H34" i="2"/>
  <c r="D52" i="3"/>
  <c r="E52" i="3" s="1"/>
  <c r="D51" i="3"/>
  <c r="E51" i="3" s="1"/>
  <c r="K34" i="2"/>
  <c r="K32" i="2"/>
  <c r="K36" i="2"/>
  <c r="K33" i="2"/>
  <c r="K35" i="2"/>
  <c r="K37" i="2"/>
  <c r="G33" i="2"/>
  <c r="G32" i="2"/>
  <c r="L14" i="4" l="1"/>
  <c r="M14" i="4" s="1"/>
  <c r="C20" i="7"/>
  <c r="C19" i="7"/>
  <c r="C21" i="7"/>
  <c r="C32" i="7"/>
  <c r="C46" i="7" s="1"/>
  <c r="G19" i="5" s="1"/>
  <c r="I19" i="5" s="1"/>
  <c r="C31" i="7"/>
  <c r="C45" i="7" s="1"/>
  <c r="G18" i="5" s="1"/>
  <c r="M13" i="4"/>
  <c r="C30" i="7"/>
  <c r="C35" i="7"/>
  <c r="C34" i="7"/>
  <c r="C48" i="7" s="1"/>
  <c r="G21" i="5" s="1"/>
  <c r="C33" i="7"/>
  <c r="C47" i="7" s="1"/>
  <c r="G20" i="5" s="1"/>
  <c r="D50" i="7"/>
  <c r="H23" i="5" s="1"/>
  <c r="J23" i="5" s="1"/>
  <c r="D49" i="7"/>
  <c r="D32" i="7"/>
  <c r="D46" i="7" s="1"/>
  <c r="H19" i="5" s="1"/>
  <c r="J19" i="5" s="1"/>
  <c r="D45" i="7"/>
  <c r="D53" i="3"/>
  <c r="D39" i="3"/>
  <c r="D25" i="3"/>
  <c r="C49" i="7" l="1"/>
  <c r="G22" i="5" s="1"/>
  <c r="I22" i="5" s="1"/>
  <c r="I20" i="5"/>
  <c r="I18" i="5"/>
  <c r="I21" i="5"/>
  <c r="D48" i="7"/>
  <c r="D47" i="7"/>
  <c r="D24" i="7"/>
  <c r="D44" i="7"/>
  <c r="C38" i="7"/>
  <c r="D38" i="7"/>
  <c r="D52" i="7" l="1"/>
  <c r="G16" i="2"/>
  <c r="C16" i="7" s="1"/>
  <c r="C24" i="7" l="1"/>
  <c r="C44" i="7"/>
  <c r="G17" i="5" s="1"/>
  <c r="I17" i="5" l="1"/>
  <c r="C52" i="7"/>
</calcChain>
</file>

<file path=xl/sharedStrings.xml><?xml version="1.0" encoding="utf-8"?>
<sst xmlns="http://schemas.openxmlformats.org/spreadsheetml/2006/main" count="213" uniqueCount="73">
  <si>
    <r>
      <t xml:space="preserve">Total Metered </t>
    </r>
    <r>
      <rPr>
        <b/>
        <sz val="10"/>
        <color rgb="FFFF0000"/>
        <rFont val="Arial"/>
        <family val="2"/>
      </rPr>
      <t>kWh</t>
    </r>
  </si>
  <si>
    <r>
      <t xml:space="preserve">Total Metered </t>
    </r>
    <r>
      <rPr>
        <b/>
        <sz val="10"/>
        <color rgb="FFFF0000"/>
        <rFont val="Arial"/>
        <family val="2"/>
      </rPr>
      <t>kW</t>
    </r>
  </si>
  <si>
    <r>
      <t xml:space="preserve">Metered </t>
    </r>
    <r>
      <rPr>
        <b/>
        <sz val="10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Non-RPP Customers (excluding WMP)</t>
    </r>
  </si>
  <si>
    <r>
      <t xml:space="preserve">Metered </t>
    </r>
    <r>
      <rPr>
        <b/>
        <sz val="10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Non-RPP Customers (excluding WMP)</t>
    </r>
  </si>
  <si>
    <r>
      <t xml:space="preserve">Metered </t>
    </r>
    <r>
      <rPr>
        <b/>
        <sz val="11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Wholesale Market Participants (WMP)</t>
    </r>
  </si>
  <si>
    <r>
      <t xml:space="preserve">Metered </t>
    </r>
    <r>
      <rPr>
        <b/>
        <sz val="11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Wholesale Market Participants (WMP)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</si>
  <si>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consumption
</t>
    </r>
    <r>
      <rPr>
        <b/>
        <i/>
        <sz val="10"/>
        <rFont val="Arial"/>
        <family val="2"/>
      </rPr>
      <t>(if applicable)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</si>
  <si>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consumption 
</t>
    </r>
    <r>
      <rPr>
        <b/>
        <i/>
        <sz val="10"/>
        <rFont val="Arial"/>
        <family val="2"/>
      </rPr>
      <t>(if applicable)</t>
    </r>
  </si>
  <si>
    <r>
      <t xml:space="preserve">1568 LRAM Variance Account Class Allocation                           </t>
    </r>
    <r>
      <rPr>
        <b/>
        <sz val="10"/>
        <color rgb="FFFF0000"/>
        <rFont val="Arial"/>
        <family val="2"/>
      </rPr>
      <t>($ amounts)</t>
    </r>
  </si>
  <si>
    <t>Rate Class</t>
  </si>
  <si>
    <t>Unit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</si>
  <si>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</si>
  <si>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</si>
  <si>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</si>
  <si>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</si>
  <si>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</si>
  <si>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UNMETERED SCATTERED LOAD SERVICE CLASSIFICATION</t>
  </si>
  <si>
    <t>SENTINEL LIGHTING SERVICE CLASSIFICATION</t>
  </si>
  <si>
    <t>STREET LIGHTING SERVICE CLASSIFICATION</t>
  </si>
  <si>
    <t>EMBEDDED DISTRIBUTOR SERVICE CLASSIFICATION</t>
  </si>
  <si>
    <t>Total</t>
  </si>
  <si>
    <t>LV Variance Account</t>
  </si>
  <si>
    <t>Smart Metering Entity Charge Variance Account</t>
  </si>
  <si>
    <t>RSVA - Retail Transmission Network Charge</t>
  </si>
  <si>
    <t>RSVA - Retail Transmission Connection Charge</t>
  </si>
  <si>
    <t>RSVA - Global Adjustment</t>
  </si>
  <si>
    <t>Total Group 1 Balance excluding Account 1589 - Global Adjustment</t>
  </si>
  <si>
    <t>Total Group 1 Balance</t>
  </si>
  <si>
    <t>Account Description</t>
  </si>
  <si>
    <t>Variance ($)</t>
  </si>
  <si>
    <t>Account Number</t>
  </si>
  <si>
    <t>allocated based on Total less WMP</t>
  </si>
  <si>
    <t>Default Rate Rider Recovery Period (in months)</t>
  </si>
  <si>
    <t>Proposed Rate Rider Recovery Period (in months)</t>
  </si>
  <si>
    <t>% of total kWh</t>
  </si>
  <si>
    <t>Total GA $ allocated to Current Class B Customers</t>
  </si>
  <si>
    <t xml:space="preserve"> </t>
  </si>
  <si>
    <t>Total Metered kWh</t>
  </si>
  <si>
    <t>Metered kW 
or kVA</t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</si>
  <si>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consumption 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</si>
  <si>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consumption </t>
    </r>
  </si>
  <si>
    <t>Allocation of GA Account (1589): Pre-Integration</t>
  </si>
  <si>
    <t>Allocation of GA Account (1589): Post-Integration</t>
  </si>
  <si>
    <t>RSVA - Wholesale Market Service Charge</t>
  </si>
  <si>
    <t>Variance WMS – Sub-account CBR Class A</t>
  </si>
  <si>
    <t>Variance WMS – Sub-account CBR Class B</t>
  </si>
  <si>
    <t>RSVA - Power</t>
  </si>
  <si>
    <t>Number of Customers for Residential and GS&lt;50 classes</t>
  </si>
  <si>
    <t xml:space="preserve">Deferral/Variance Account Rate Rider </t>
  </si>
  <si>
    <t xml:space="preserve">Deferral/Variance Account Rate Rider for Non-WMP 
(if applicable) </t>
  </si>
  <si>
    <t>GA Rider Amount</t>
  </si>
  <si>
    <t>Principal balances for pre-integration period ($)</t>
  </si>
  <si>
    <t>Principal balances for post-integration period ($)</t>
  </si>
  <si>
    <t>Total Claim ($)</t>
  </si>
  <si>
    <t>Allocation of Group 1 Account Balances to All Customers</t>
  </si>
  <si>
    <t xml:space="preserve">Allocation of Group 1 Account Balances to Non-WMP Customers Only (If Applicable) </t>
  </si>
  <si>
    <t>Allocation of Group 1 Accounts: Pre-Integration</t>
  </si>
  <si>
    <t>Allocation of Group 1 Accounts: Post-Integration</t>
  </si>
  <si>
    <t>Allocation of Group 1 Accounts: Total</t>
  </si>
  <si>
    <t>Total Metered Non-RPP Consumption excluding WMP</t>
  </si>
  <si>
    <t xml:space="preserve">Allocation of Group 1 Account Balances to All Classes </t>
  </si>
  <si>
    <t xml:space="preserve">Allocation of Group 1 Account Balances to Non-WMP Classes Only (If Applicable) </t>
  </si>
  <si>
    <t>Total claim per continuity schedule ($)</t>
  </si>
  <si>
    <t>Total Interest per continuity schedule ($)</t>
  </si>
  <si>
    <t>Total YE 2016 Principal balances per continuity schedule ($)</t>
  </si>
  <si>
    <t>% of Customer Numbers</t>
  </si>
  <si>
    <t>% of  Total kWh</t>
  </si>
  <si>
    <t>% of  Total kWh adjusted for WMP</t>
  </si>
  <si>
    <t>GA Rate Rider (Recovery over 22 months)</t>
  </si>
  <si>
    <t>Interest for post-integration period ($)</t>
  </si>
  <si>
    <t>Total claim for post-integration period ($)</t>
  </si>
  <si>
    <t>Total claim for pre-integration period ($)</t>
  </si>
  <si>
    <t xml:space="preserve">Interest for pre-integration period ($)(projected to December 31, 2017)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</si>
</sst>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#,##0;[Red]\(#,##0\)"/>
    <numFmt numFmtId="165" formatCode="_-* #,##0.00_-;\-* #,##0.00_-;_-* &quot;-&quot;??_-;_-@_-"/>
    <numFmt numFmtId="166" formatCode="_(* #,##0_);_(* \(#,##0\);_(* &quot;-&quot;??_);_(@_)"/>
    <numFmt numFmtId="167" formatCode="&quot;$&quot;#,##0;[Red]\(&quot;$&quot;#,##0\)"/>
    <numFmt numFmtId="168" formatCode="0.0%"/>
    <numFmt numFmtId="169" formatCode="_ #,##0;[Red]\(#,##0\)"/>
    <numFmt numFmtId="170" formatCode="&quot;$&quot;#,##0.0000_);[Red]\(&quot;$&quot;#,##0.00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Book Antiqua"/>
      <family val="1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</cellStyleXfs>
  <cellXfs count="184">
    <xf numFmtId="0" fontId="0" fillId="0" borderId="0" xfId="0"/>
    <xf numFmtId="0" fontId="0" fillId="2" borderId="0" xfId="0" applyFill="1" applyBorder="1" applyProtection="1"/>
    <xf numFmtId="0" fontId="0" fillId="2" borderId="0" xfId="0" applyFill="1" applyBorder="1" applyProtection="1">
      <protection locked="0"/>
    </xf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2" fillId="2" borderId="0" xfId="0" applyFont="1" applyFill="1" applyBorder="1" applyProtection="1"/>
    <xf numFmtId="3" fontId="0" fillId="2" borderId="2" xfId="0" applyNumberFormat="1" applyFill="1" applyBorder="1" applyProtection="1"/>
    <xf numFmtId="0" fontId="0" fillId="2" borderId="0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vertical="top" wrapText="1"/>
    </xf>
    <xf numFmtId="0" fontId="0" fillId="0" borderId="0" xfId="0" applyProtection="1"/>
    <xf numFmtId="0" fontId="0" fillId="2" borderId="1" xfId="0" applyFill="1" applyBorder="1" applyAlignment="1" applyProtection="1">
      <alignment vertical="top" wrapText="1"/>
    </xf>
    <xf numFmtId="0" fontId="0" fillId="2" borderId="2" xfId="0" applyFill="1" applyBorder="1" applyAlignment="1" applyProtection="1">
      <alignment vertical="top" wrapText="1"/>
    </xf>
    <xf numFmtId="0" fontId="0" fillId="2" borderId="0" xfId="0" applyFill="1" applyProtection="1"/>
    <xf numFmtId="0" fontId="6" fillId="0" borderId="0" xfId="3" applyFont="1" applyAlignment="1" applyProtection="1">
      <alignment horizontal="left" vertical="center"/>
    </xf>
    <xf numFmtId="0" fontId="6" fillId="0" borderId="6" xfId="3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3" borderId="1" xfId="0" applyFill="1" applyBorder="1" applyAlignment="1" applyProtection="1">
      <alignment horizontal="center" vertical="center"/>
      <protection locked="0"/>
    </xf>
    <xf numFmtId="164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7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Protection="1">
      <protection locked="0"/>
    </xf>
    <xf numFmtId="164" fontId="0" fillId="2" borderId="3" xfId="0" applyNumberFormat="1" applyFill="1" applyBorder="1" applyProtection="1"/>
    <xf numFmtId="164" fontId="0" fillId="2" borderId="7" xfId="0" applyNumberFormat="1" applyFill="1" applyBorder="1" applyProtection="1"/>
    <xf numFmtId="3" fontId="0" fillId="4" borderId="1" xfId="0" applyNumberFormat="1" applyFill="1" applyBorder="1" applyProtection="1">
      <protection locked="0"/>
    </xf>
    <xf numFmtId="3" fontId="0" fillId="4" borderId="6" xfId="0" applyNumberFormat="1" applyFill="1" applyBorder="1" applyProtection="1">
      <protection locked="0"/>
    </xf>
    <xf numFmtId="166" fontId="0" fillId="4" borderId="7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164" fontId="0" fillId="4" borderId="9" xfId="0" applyNumberFormat="1" applyFill="1" applyBorder="1" applyAlignment="1" applyProtection="1">
      <alignment horizontal="center" vertical="center"/>
      <protection locked="0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Protection="1">
      <protection locked="0"/>
    </xf>
    <xf numFmtId="164" fontId="0" fillId="2" borderId="10" xfId="0" applyNumberFormat="1" applyFill="1" applyBorder="1" applyProtection="1"/>
    <xf numFmtId="164" fontId="0" fillId="2" borderId="5" xfId="0" applyNumberFormat="1" applyFill="1" applyBorder="1" applyProtection="1"/>
    <xf numFmtId="3" fontId="0" fillId="4" borderId="4" xfId="0" applyNumberFormat="1" applyFill="1" applyBorder="1" applyProtection="1">
      <protection locked="0"/>
    </xf>
    <xf numFmtId="0" fontId="0" fillId="0" borderId="11" xfId="0" applyBorder="1" applyAlignment="1" applyProtection="1">
      <alignment wrapText="1"/>
    </xf>
    <xf numFmtId="0" fontId="0" fillId="3" borderId="11" xfId="0" applyFill="1" applyBorder="1" applyAlignment="1" applyProtection="1">
      <alignment horizontal="center" vertical="center"/>
      <protection locked="0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4" borderId="13" xfId="0" applyNumberFormat="1" applyFill="1" applyBorder="1" applyAlignment="1" applyProtection="1">
      <alignment horizontal="center" vertical="center"/>
      <protection locked="0"/>
    </xf>
    <xf numFmtId="0" fontId="0" fillId="4" borderId="13" xfId="0" applyFill="1" applyBorder="1" applyProtection="1">
      <protection locked="0"/>
    </xf>
    <xf numFmtId="164" fontId="0" fillId="2" borderId="14" xfId="0" applyNumberFormat="1" applyFill="1" applyBorder="1" applyProtection="1"/>
    <xf numFmtId="164" fontId="0" fillId="2" borderId="13" xfId="0" applyNumberFormat="1" applyFill="1" applyBorder="1" applyProtection="1"/>
    <xf numFmtId="3" fontId="0" fillId="4" borderId="15" xfId="0" applyNumberFormat="1" applyFill="1" applyBorder="1" applyProtection="1">
      <protection locked="0"/>
    </xf>
    <xf numFmtId="3" fontId="0" fillId="4" borderId="13" xfId="0" applyNumberFormat="1" applyFill="1" applyBorder="1" applyProtection="1">
      <protection locked="0"/>
    </xf>
    <xf numFmtId="0" fontId="7" fillId="0" borderId="0" xfId="0" applyFont="1" applyAlignment="1" applyProtection="1">
      <alignment vertical="center"/>
    </xf>
    <xf numFmtId="3" fontId="0" fillId="0" borderId="0" xfId="0" applyNumberFormat="1" applyProtection="1"/>
    <xf numFmtId="3" fontId="0" fillId="0" borderId="0" xfId="0" applyNumberFormat="1" applyBorder="1" applyProtection="1"/>
    <xf numFmtId="0" fontId="0" fillId="0" borderId="0" xfId="0" applyProtection="1">
      <protection locked="0"/>
    </xf>
    <xf numFmtId="0" fontId="9" fillId="0" borderId="0" xfId="0" applyFont="1" applyProtection="1"/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14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 applyProtection="1">
      <alignment horizontal="left" vertical="top"/>
    </xf>
    <xf numFmtId="0" fontId="16" fillId="0" borderId="0" xfId="5" applyFont="1" applyAlignment="1" applyProtection="1">
      <alignment horizontal="left" vertical="top"/>
    </xf>
    <xf numFmtId="0" fontId="5" fillId="0" borderId="0" xfId="5" applyFill="1" applyProtection="1"/>
    <xf numFmtId="0" fontId="21" fillId="0" borderId="0" xfId="5" applyFont="1" applyFill="1" applyAlignment="1" applyProtection="1">
      <alignment horizontal="center"/>
    </xf>
    <xf numFmtId="0" fontId="5" fillId="0" borderId="0" xfId="5" applyFill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168" fontId="0" fillId="0" borderId="0" xfId="2" applyNumberFormat="1" applyFont="1" applyProtection="1"/>
    <xf numFmtId="169" fontId="0" fillId="0" borderId="0" xfId="0" applyNumberFormat="1" applyProtection="1"/>
    <xf numFmtId="0" fontId="0" fillId="0" borderId="11" xfId="0" applyBorder="1" applyAlignment="1" applyProtection="1">
      <alignment horizontal="left" vertical="top" wrapText="1"/>
    </xf>
    <xf numFmtId="0" fontId="0" fillId="0" borderId="11" xfId="0" applyBorder="1" applyProtection="1"/>
    <xf numFmtId="168" fontId="0" fillId="0" borderId="11" xfId="2" applyNumberFormat="1" applyFont="1" applyBorder="1" applyProtection="1"/>
    <xf numFmtId="168" fontId="0" fillId="0" borderId="0" xfId="0" applyNumberFormat="1" applyProtection="1"/>
    <xf numFmtId="0" fontId="0" fillId="0" borderId="0" xfId="0" applyAlignment="1" applyProtection="1">
      <alignment horizontal="center"/>
    </xf>
    <xf numFmtId="0" fontId="6" fillId="2" borderId="17" xfId="6" applyFont="1" applyFill="1" applyBorder="1" applyAlignment="1" applyProtection="1">
      <alignment horizontal="center"/>
    </xf>
    <xf numFmtId="0" fontId="6" fillId="5" borderId="17" xfId="6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/>
    <xf numFmtId="0" fontId="0" fillId="0" borderId="0" xfId="0" applyAlignment="1" applyProtection="1">
      <alignment horizontal="center" vertical="center"/>
    </xf>
    <xf numFmtId="164" fontId="0" fillId="0" borderId="0" xfId="0" applyNumberFormat="1" applyProtection="1"/>
    <xf numFmtId="167" fontId="0" fillId="0" borderId="0" xfId="0" applyNumberFormat="1" applyProtection="1"/>
    <xf numFmtId="0" fontId="2" fillId="0" borderId="18" xfId="0" applyFont="1" applyBorder="1" applyProtection="1"/>
    <xf numFmtId="164" fontId="0" fillId="0" borderId="18" xfId="0" applyNumberFormat="1" applyBorder="1" applyProtection="1"/>
    <xf numFmtId="168" fontId="0" fillId="0" borderId="18" xfId="2" applyNumberFormat="1" applyFont="1" applyBorder="1" applyProtection="1"/>
    <xf numFmtId="0" fontId="15" fillId="0" borderId="0" xfId="0" applyFont="1" applyAlignment="1" applyProtection="1">
      <alignment vertical="top" wrapText="1"/>
    </xf>
    <xf numFmtId="0" fontId="7" fillId="0" borderId="0" xfId="0" applyFont="1" applyProtection="1"/>
    <xf numFmtId="0" fontId="0" fillId="0" borderId="0" xfId="0" applyAlignment="1" applyProtection="1">
      <alignment horizontal="center" vertical="top"/>
    </xf>
    <xf numFmtId="169" fontId="0" fillId="0" borderId="0" xfId="0" applyNumberFormat="1" applyAlignment="1" applyProtection="1">
      <alignment horizontal="right" vertical="top"/>
    </xf>
    <xf numFmtId="0" fontId="6" fillId="0" borderId="0" xfId="6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/>
    <xf numFmtId="0" fontId="6" fillId="0" borderId="0" xfId="6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wrapText="1"/>
    </xf>
    <xf numFmtId="0" fontId="2" fillId="0" borderId="0" xfId="0" applyFont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6" fillId="0" borderId="0" xfId="6" applyFont="1" applyAlignment="1" applyProtection="1">
      <alignment vertical="center"/>
    </xf>
    <xf numFmtId="0" fontId="6" fillId="0" borderId="0" xfId="6" applyFont="1" applyFill="1" applyAlignment="1" applyProtection="1">
      <alignment horizontal="center" vertical="center"/>
    </xf>
    <xf numFmtId="0" fontId="17" fillId="0" borderId="0" xfId="5" applyFont="1" applyBorder="1" applyAlignment="1" applyProtection="1">
      <alignment horizontal="left" vertical="center"/>
    </xf>
    <xf numFmtId="0" fontId="17" fillId="0" borderId="0" xfId="5" applyFont="1" applyBorder="1" applyAlignment="1" applyProtection="1">
      <alignment vertical="center"/>
    </xf>
    <xf numFmtId="0" fontId="5" fillId="0" borderId="0" xfId="5" applyFont="1" applyBorder="1" applyAlignment="1" applyProtection="1">
      <alignment horizontal="right" vertical="center"/>
    </xf>
    <xf numFmtId="0" fontId="18" fillId="0" borderId="0" xfId="5" applyFont="1" applyBorder="1" applyAlignment="1" applyProtection="1">
      <alignment horizontal="right" vertical="center" wrapText="1"/>
    </xf>
    <xf numFmtId="0" fontId="20" fillId="0" borderId="16" xfId="5" applyFont="1" applyBorder="1" applyAlignment="1" applyProtection="1">
      <alignment horizontal="left" vertical="center"/>
    </xf>
    <xf numFmtId="0" fontId="17" fillId="0" borderId="16" xfId="5" applyFont="1" applyBorder="1" applyAlignment="1" applyProtection="1">
      <alignment vertical="center"/>
    </xf>
    <xf numFmtId="0" fontId="6" fillId="0" borderId="16" xfId="5" applyFont="1" applyBorder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8" fontId="0" fillId="0" borderId="0" xfId="0" applyNumberFormat="1"/>
    <xf numFmtId="0" fontId="2" fillId="0" borderId="0" xfId="0" applyFont="1" applyBorder="1" applyProtection="1"/>
    <xf numFmtId="164" fontId="0" fillId="0" borderId="0" xfId="0" applyNumberFormat="1" applyBorder="1" applyProtection="1"/>
    <xf numFmtId="167" fontId="0" fillId="0" borderId="0" xfId="0" applyNumberFormat="1" applyBorder="1" applyProtection="1"/>
    <xf numFmtId="0" fontId="0" fillId="0" borderId="0" xfId="0" applyBorder="1" applyAlignment="1" applyProtection="1">
      <alignment horizontal="center" vertical="center"/>
    </xf>
    <xf numFmtId="170" fontId="0" fillId="0" borderId="0" xfId="0" applyNumberFormat="1" applyBorder="1"/>
    <xf numFmtId="0" fontId="0" fillId="0" borderId="0" xfId="0" applyBorder="1" applyAlignment="1" applyProtection="1">
      <alignment horizontal="center"/>
    </xf>
    <xf numFmtId="0" fontId="0" fillId="0" borderId="11" xfId="0" applyBorder="1" applyAlignment="1" applyProtection="1">
      <alignment horizontal="center" vertical="center"/>
    </xf>
    <xf numFmtId="164" fontId="0" fillId="0" borderId="11" xfId="0" applyNumberFormat="1" applyBorder="1" applyProtection="1"/>
    <xf numFmtId="167" fontId="0" fillId="0" borderId="11" xfId="0" applyNumberFormat="1" applyBorder="1" applyProtection="1"/>
    <xf numFmtId="170" fontId="0" fillId="0" borderId="11" xfId="0" applyNumberFormat="1" applyBorder="1"/>
    <xf numFmtId="0" fontId="0" fillId="0" borderId="11" xfId="0" applyBorder="1" applyAlignment="1" applyProtection="1">
      <alignment horizontal="center"/>
    </xf>
    <xf numFmtId="0" fontId="17" fillId="0" borderId="21" xfId="5" applyFont="1" applyBorder="1" applyAlignment="1" applyProtection="1">
      <alignment horizontal="left" vertical="center"/>
    </xf>
    <xf numFmtId="0" fontId="17" fillId="0" borderId="21" xfId="5" applyFont="1" applyBorder="1" applyAlignment="1" applyProtection="1">
      <alignment vertical="center"/>
    </xf>
    <xf numFmtId="38" fontId="0" fillId="0" borderId="0" xfId="0" applyNumberFormat="1" applyProtection="1"/>
    <xf numFmtId="0" fontId="0" fillId="0" borderId="0" xfId="0" applyBorder="1" applyProtection="1"/>
    <xf numFmtId="0" fontId="6" fillId="0" borderId="0" xfId="5" applyFont="1" applyBorder="1" applyAlignment="1" applyProtection="1">
      <alignment horizontal="right" vertical="center"/>
    </xf>
    <xf numFmtId="0" fontId="5" fillId="0" borderId="0" xfId="5" applyFill="1" applyBorder="1" applyAlignment="1" applyProtection="1">
      <alignment horizontal="center"/>
    </xf>
    <xf numFmtId="0" fontId="21" fillId="0" borderId="0" xfId="5" applyFont="1" applyFill="1" applyBorder="1" applyAlignment="1" applyProtection="1">
      <alignment horizontal="center"/>
    </xf>
    <xf numFmtId="168" fontId="0" fillId="0" borderId="0" xfId="2" applyNumberFormat="1" applyFont="1" applyBorder="1" applyProtection="1"/>
    <xf numFmtId="169" fontId="0" fillId="0" borderId="0" xfId="0" applyNumberFormat="1" applyBorder="1" applyProtection="1"/>
    <xf numFmtId="168" fontId="0" fillId="0" borderId="0" xfId="0" applyNumberFormat="1" applyBorder="1" applyProtection="1"/>
    <xf numFmtId="169" fontId="0" fillId="0" borderId="0" xfId="0" applyNumberFormat="1" applyFill="1" applyBorder="1" applyProtection="1"/>
    <xf numFmtId="166" fontId="0" fillId="0" borderId="0" xfId="1" applyNumberFormat="1" applyFont="1" applyProtection="1"/>
    <xf numFmtId="3" fontId="0" fillId="4" borderId="22" xfId="0" applyNumberFormat="1" applyFill="1" applyBorder="1" applyProtection="1">
      <protection locked="0"/>
    </xf>
    <xf numFmtId="0" fontId="0" fillId="0" borderId="21" xfId="0" applyBorder="1" applyAlignment="1" applyProtection="1">
      <alignment horizontal="left" vertical="top"/>
    </xf>
    <xf numFmtId="0" fontId="5" fillId="0" borderId="21" xfId="5" applyFill="1" applyBorder="1" applyProtection="1"/>
    <xf numFmtId="0" fontId="21" fillId="0" borderId="21" xfId="5" applyFont="1" applyFill="1" applyBorder="1" applyAlignment="1" applyProtection="1">
      <alignment horizontal="center"/>
    </xf>
    <xf numFmtId="0" fontId="5" fillId="0" borderId="21" xfId="5" applyFill="1" applyBorder="1" applyAlignment="1" applyProtection="1">
      <alignment horizontal="center"/>
    </xf>
    <xf numFmtId="0" fontId="0" fillId="0" borderId="0" xfId="0" applyBorder="1" applyAlignment="1" applyProtection="1">
      <alignment horizontal="left" vertical="top" wrapText="1"/>
    </xf>
    <xf numFmtId="0" fontId="8" fillId="0" borderId="16" xfId="0" applyFont="1" applyFill="1" applyBorder="1" applyAlignment="1" applyProtection="1">
      <alignment horizontal="center" vertical="center" wrapText="1"/>
    </xf>
    <xf numFmtId="6" fontId="0" fillId="0" borderId="0" xfId="0" applyNumberFormat="1"/>
    <xf numFmtId="166" fontId="0" fillId="4" borderId="13" xfId="1" applyNumberFormat="1" applyFont="1" applyFill="1" applyBorder="1" applyProtection="1">
      <protection locked="0"/>
    </xf>
    <xf numFmtId="6" fontId="0" fillId="0" borderId="0" xfId="0" applyNumberFormat="1" applyFont="1"/>
    <xf numFmtId="6" fontId="0" fillId="0" borderId="0" xfId="0" applyNumberFormat="1" applyFont="1" applyFill="1"/>
    <xf numFmtId="6" fontId="0" fillId="0" borderId="0" xfId="0" applyNumberFormat="1" applyProtection="1"/>
    <xf numFmtId="6" fontId="0" fillId="0" borderId="11" xfId="0" applyNumberFormat="1" applyBorder="1" applyProtection="1"/>
    <xf numFmtId="6" fontId="0" fillId="0" borderId="0" xfId="2" applyNumberFormat="1" applyFont="1" applyBorder="1" applyProtection="1"/>
    <xf numFmtId="6" fontId="0" fillId="0" borderId="11" xfId="2" applyNumberFormat="1" applyFont="1" applyBorder="1" applyProtection="1"/>
    <xf numFmtId="6" fontId="0" fillId="0" borderId="0" xfId="2" applyNumberFormat="1" applyFont="1" applyProtection="1"/>
    <xf numFmtId="6" fontId="0" fillId="0" borderId="0" xfId="0" applyNumberFormat="1" applyAlignment="1" applyProtection="1">
      <alignment horizontal="center" vertical="center"/>
    </xf>
    <xf numFmtId="6" fontId="0" fillId="0" borderId="0" xfId="0" applyNumberFormat="1" applyAlignment="1" applyProtection="1">
      <alignment horizontal="center"/>
    </xf>
    <xf numFmtId="170" fontId="0" fillId="0" borderId="0" xfId="0" applyNumberFormat="1" applyAlignment="1" applyProtection="1">
      <alignment horizontal="center" vertical="center"/>
    </xf>
    <xf numFmtId="6" fontId="0" fillId="0" borderId="0" xfId="0" applyNumberFormat="1" applyFill="1" applyProtection="1"/>
    <xf numFmtId="167" fontId="0" fillId="0" borderId="18" xfId="0" applyNumberFormat="1" applyFill="1" applyBorder="1" applyProtection="1"/>
    <xf numFmtId="0" fontId="6" fillId="2" borderId="5" xfId="3" applyNumberFormat="1" applyFont="1" applyFill="1" applyBorder="1" applyAlignment="1" applyProtection="1">
      <alignment horizontal="center" vertical="center" wrapText="1"/>
    </xf>
    <xf numFmtId="0" fontId="6" fillId="2" borderId="7" xfId="3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164" fontId="6" fillId="2" borderId="5" xfId="3" applyNumberFormat="1" applyFont="1" applyFill="1" applyBorder="1" applyAlignment="1" applyProtection="1">
      <alignment horizontal="center" vertical="center" wrapText="1"/>
    </xf>
    <xf numFmtId="164" fontId="6" fillId="2" borderId="7" xfId="3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left" vertical="top" wrapText="1"/>
    </xf>
    <xf numFmtId="0" fontId="0" fillId="3" borderId="2" xfId="0" applyFill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10" fontId="6" fillId="2" borderId="5" xfId="3" applyNumberFormat="1" applyFont="1" applyFill="1" applyBorder="1" applyAlignment="1" applyProtection="1">
      <alignment horizontal="center" vertical="center" wrapText="1"/>
    </xf>
    <xf numFmtId="10" fontId="6" fillId="2" borderId="7" xfId="3" applyNumberFormat="1" applyFont="1" applyFill="1" applyBorder="1" applyAlignment="1" applyProtection="1">
      <alignment horizontal="center" vertical="center" wrapText="1"/>
    </xf>
    <xf numFmtId="0" fontId="6" fillId="0" borderId="0" xfId="5" applyFont="1" applyBorder="1" applyAlignment="1" applyProtection="1">
      <alignment horizontal="center" vertical="center" wrapText="1"/>
    </xf>
    <xf numFmtId="0" fontId="6" fillId="0" borderId="16" xfId="5" applyFont="1" applyBorder="1" applyAlignment="1" applyProtection="1">
      <alignment horizontal="center" vertical="center" wrapText="1"/>
    </xf>
    <xf numFmtId="0" fontId="6" fillId="0" borderId="21" xfId="6" applyFont="1" applyFill="1" applyBorder="1" applyAlignment="1" applyProtection="1">
      <alignment horizontal="center" vertical="center" wrapText="1"/>
    </xf>
    <xf numFmtId="0" fontId="6" fillId="0" borderId="16" xfId="6" applyFont="1" applyFill="1" applyBorder="1" applyAlignment="1" applyProtection="1">
      <alignment horizontal="center" vertical="center" wrapText="1"/>
    </xf>
    <xf numFmtId="0" fontId="6" fillId="0" borderId="0" xfId="5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right" vertical="center" wrapText="1"/>
    </xf>
    <xf numFmtId="0" fontId="6" fillId="6" borderId="0" xfId="6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15" fillId="0" borderId="0" xfId="0" applyFont="1" applyAlignment="1" applyProtection="1">
      <alignment horizontal="left" vertical="top" wrapText="1"/>
    </xf>
    <xf numFmtId="0" fontId="6" fillId="0" borderId="0" xfId="6" applyFont="1" applyAlignment="1" applyProtection="1">
      <alignment horizontal="right" vertical="top" indent="2"/>
    </xf>
    <xf numFmtId="0" fontId="6" fillId="0" borderId="19" xfId="6" applyFont="1" applyBorder="1" applyAlignment="1" applyProtection="1">
      <alignment horizontal="right" vertical="top" indent="2"/>
    </xf>
    <xf numFmtId="0" fontId="6" fillId="0" borderId="0" xfId="6" applyFont="1" applyFill="1" applyAlignment="1" applyProtection="1">
      <alignment horizontal="right" vertical="center" wrapText="1"/>
    </xf>
    <xf numFmtId="0" fontId="6" fillId="0" borderId="20" xfId="6" applyFont="1" applyFill="1" applyBorder="1" applyAlignment="1" applyProtection="1">
      <alignment horizontal="right" vertical="center" wrapText="1"/>
    </xf>
    <xf numFmtId="0" fontId="6" fillId="0" borderId="0" xfId="6" applyFont="1" applyFill="1" applyAlignment="1" applyProtection="1">
      <alignment horizontal="center" vertical="center" wrapText="1"/>
    </xf>
    <xf numFmtId="0" fontId="22" fillId="0" borderId="0" xfId="0" applyFont="1" applyAlignment="1" applyProtection="1">
      <alignment wrapText="1"/>
    </xf>
    <xf numFmtId="0" fontId="0" fillId="0" borderId="0" xfId="0" applyAlignment="1" applyProtection="1"/>
  </cellXfs>
  <cellStyles count="7">
    <cellStyle name="Comma" xfId="1" builtinId="3"/>
    <cellStyle name="Comma 5 2" xfId="4"/>
    <cellStyle name="Normal" xfId="0" builtinId="0"/>
    <cellStyle name="Normal_6. Cost Allocation for Def-Var" xfId="3"/>
    <cellStyle name="Normal_Sheet6" xfId="5"/>
    <cellStyle name="Normal_Sheet7" xfId="6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970720</xdr:colOff>
      <xdr:row>10</xdr:row>
      <xdr:rowOff>29816</xdr:rowOff>
    </xdr:to>
    <xdr:grpSp>
      <xdr:nvGrpSpPr>
        <xdr:cNvPr id="2" name="Group 1"/>
        <xdr:cNvGrpSpPr/>
      </xdr:nvGrpSpPr>
      <xdr:grpSpPr>
        <a:xfrm>
          <a:off x="0" y="9525"/>
          <a:ext cx="8857420" cy="1972916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2018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31750</xdr:rowOff>
    </xdr:from>
    <xdr:to>
      <xdr:col>7</xdr:col>
      <xdr:colOff>605595</xdr:colOff>
      <xdr:row>10</xdr:row>
      <xdr:rowOff>0</xdr:rowOff>
    </xdr:to>
    <xdr:grpSp>
      <xdr:nvGrpSpPr>
        <xdr:cNvPr id="2" name="Group 1"/>
        <xdr:cNvGrpSpPr/>
      </xdr:nvGrpSpPr>
      <xdr:grpSpPr>
        <a:xfrm>
          <a:off x="0" y="31750"/>
          <a:ext cx="10054395" cy="1873250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2018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31750</xdr:rowOff>
    </xdr:from>
    <xdr:to>
      <xdr:col>7</xdr:col>
      <xdr:colOff>605595</xdr:colOff>
      <xdr:row>10</xdr:row>
      <xdr:rowOff>0</xdr:rowOff>
    </xdr:to>
    <xdr:grpSp>
      <xdr:nvGrpSpPr>
        <xdr:cNvPr id="2" name="Group 1"/>
        <xdr:cNvGrpSpPr/>
      </xdr:nvGrpSpPr>
      <xdr:grpSpPr>
        <a:xfrm>
          <a:off x="0" y="31750"/>
          <a:ext cx="10711620" cy="1873250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2018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10766</xdr:rowOff>
    </xdr:to>
    <xdr:grpSp>
      <xdr:nvGrpSpPr>
        <xdr:cNvPr id="8" name="Group 7"/>
        <xdr:cNvGrpSpPr/>
      </xdr:nvGrpSpPr>
      <xdr:grpSpPr>
        <a:xfrm>
          <a:off x="0" y="0"/>
          <a:ext cx="13763625" cy="1915766"/>
          <a:chOff x="200024" y="4499942"/>
          <a:chExt cx="8857420" cy="1915766"/>
        </a:xfrm>
      </xdr:grpSpPr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0" name="TextBox 9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1" name="Rectangle 10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2018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2" name="Pictur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Rectangle 12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685800</xdr:colOff>
      <xdr:row>11</xdr:row>
      <xdr:rowOff>95250</xdr:rowOff>
    </xdr:to>
    <xdr:grpSp>
      <xdr:nvGrpSpPr>
        <xdr:cNvPr id="2" name="Group 1"/>
        <xdr:cNvGrpSpPr/>
      </xdr:nvGrpSpPr>
      <xdr:grpSpPr>
        <a:xfrm>
          <a:off x="0" y="0"/>
          <a:ext cx="8591550" cy="2190750"/>
          <a:chOff x="-1027361" y="4499942"/>
          <a:chExt cx="10970547" cy="2107343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1027361" y="4499942"/>
            <a:ext cx="10970547" cy="2107343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154798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2018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NI_Haldimand_2018_IRM_Rate_Generator_Model_20Dec2017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cq%20LDC%20RSVA%20Balances%20Revised%20Final%2020171219DW%20Dec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>
        <row r="21">
          <cell r="BO21">
            <v>60553.080000000016</v>
          </cell>
          <cell r="BS21">
            <v>1017.4369832786886</v>
          </cell>
        </row>
        <row r="22">
          <cell r="BO22">
            <v>-2635.9099999999989</v>
          </cell>
          <cell r="BS22">
            <v>-35.40601000000008</v>
          </cell>
        </row>
        <row r="23">
          <cell r="BO23">
            <v>-545195.8188207671</v>
          </cell>
          <cell r="BS23">
            <v>-6316.6748634365667</v>
          </cell>
        </row>
        <row r="24">
          <cell r="BO24">
            <v>0</v>
          </cell>
          <cell r="BS24">
            <v>0</v>
          </cell>
        </row>
        <row r="25">
          <cell r="BO25">
            <v>-8248.6008672008611</v>
          </cell>
          <cell r="BS25">
            <v>-291.32349915168197</v>
          </cell>
        </row>
        <row r="26">
          <cell r="BO26">
            <v>-28676.576350573727</v>
          </cell>
          <cell r="BS26">
            <v>-842.40216646355702</v>
          </cell>
        </row>
        <row r="27">
          <cell r="BO27">
            <v>98461.52415018485</v>
          </cell>
          <cell r="BS27">
            <v>1478.290744392373</v>
          </cell>
        </row>
        <row r="28">
          <cell r="BO28">
            <v>126908.90933299507</v>
          </cell>
          <cell r="BS28">
            <v>7887.3293476791168</v>
          </cell>
        </row>
        <row r="29">
          <cell r="BO29">
            <v>2108666.2690840885</v>
          </cell>
          <cell r="BS29">
            <v>32897.871857492879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Breakdown Summary"/>
    </sheetNames>
    <sheetDataSet>
      <sheetData sheetId="0">
        <row r="14">
          <cell r="F14">
            <v>3720478.97</v>
          </cell>
        </row>
        <row r="23">
          <cell r="F23">
            <v>-1938241.84</v>
          </cell>
          <cell r="AE23">
            <v>2425.076893333337</v>
          </cell>
        </row>
        <row r="24">
          <cell r="F24">
            <v>621750.80000000005</v>
          </cell>
          <cell r="AE24">
            <v>4456.1341333333385</v>
          </cell>
        </row>
        <row r="25">
          <cell r="F25">
            <v>-2348367.0699999998</v>
          </cell>
          <cell r="AE25">
            <v>-5873.9196266666613</v>
          </cell>
        </row>
        <row r="26">
          <cell r="F26">
            <v>106220.178549836</v>
          </cell>
          <cell r="AE26">
            <v>-199.79210938590271</v>
          </cell>
        </row>
        <row r="27">
          <cell r="F27">
            <v>-83248.490000000005</v>
          </cell>
          <cell r="AE27">
            <v>-2172.6188633333331</v>
          </cell>
        </row>
        <row r="28">
          <cell r="F28">
            <v>-10565.92</v>
          </cell>
          <cell r="AE28">
            <v>233.47642333333334</v>
          </cell>
        </row>
        <row r="29">
          <cell r="F29">
            <v>55633.47</v>
          </cell>
          <cell r="AE29">
            <v>486.66858999999994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D20" sqref="D20"/>
    </sheetView>
  </sheetViews>
  <sheetFormatPr defaultRowHeight="15" x14ac:dyDescent="0.25"/>
  <cols>
    <col min="1" max="1" width="79.42578125" style="52" bestFit="1" customWidth="1"/>
    <col min="2" max="2" width="9.28515625" style="52" customWidth="1"/>
    <col min="3" max="13" width="21.140625" style="52" customWidth="1"/>
    <col min="14" max="16384" width="9.140625" style="52"/>
  </cols>
  <sheetData>
    <row r="1" spans="1:13" s="51" customFormat="1" ht="60" x14ac:dyDescent="0.25">
      <c r="A1" s="50" t="s">
        <v>28</v>
      </c>
      <c r="B1" s="50" t="s">
        <v>30</v>
      </c>
      <c r="C1" s="50" t="s">
        <v>64</v>
      </c>
      <c r="D1" s="50" t="s">
        <v>63</v>
      </c>
      <c r="E1" s="50" t="s">
        <v>62</v>
      </c>
      <c r="F1" s="50" t="s">
        <v>51</v>
      </c>
      <c r="G1" s="50" t="s">
        <v>72</v>
      </c>
      <c r="H1" s="50" t="s">
        <v>71</v>
      </c>
      <c r="I1" s="50" t="s">
        <v>52</v>
      </c>
      <c r="J1" s="50" t="s">
        <v>69</v>
      </c>
      <c r="K1" s="50" t="s">
        <v>70</v>
      </c>
      <c r="L1" s="50" t="s">
        <v>53</v>
      </c>
      <c r="M1" s="50" t="s">
        <v>29</v>
      </c>
    </row>
    <row r="2" spans="1:13" x14ac:dyDescent="0.25">
      <c r="A2" s="53" t="s">
        <v>21</v>
      </c>
      <c r="B2" s="54">
        <v>1550</v>
      </c>
      <c r="C2" s="143">
        <f>'[1]3. Continuity Schedule'!$BO21</f>
        <v>60553.080000000016</v>
      </c>
      <c r="D2" s="143">
        <f>'[1]3. Continuity Schedule'!$BS21</f>
        <v>1017.4369832786886</v>
      </c>
      <c r="E2" s="143">
        <f>C2+D2</f>
        <v>61570.516983278707</v>
      </c>
      <c r="F2" s="143">
        <f>'[2]RSVA Breakdown Summary'!$F$29</f>
        <v>55633.47</v>
      </c>
      <c r="G2" s="143">
        <f>'[2]RSVA Breakdown Summary'!$AE$29</f>
        <v>486.66858999999994</v>
      </c>
      <c r="H2" s="143">
        <f>F2+G2</f>
        <v>56120.138590000002</v>
      </c>
      <c r="I2" s="143">
        <f>C2-F2</f>
        <v>4919.6100000000151</v>
      </c>
      <c r="J2" s="143">
        <f>D2-G2</f>
        <v>530.76839327868856</v>
      </c>
      <c r="K2" s="143">
        <f>I2+J2</f>
        <v>5450.3783932787037</v>
      </c>
      <c r="L2" s="144">
        <f>H2+K2</f>
        <v>61570.516983278707</v>
      </c>
      <c r="M2" s="143">
        <f>E2-L2</f>
        <v>0</v>
      </c>
    </row>
    <row r="3" spans="1:13" x14ac:dyDescent="0.25">
      <c r="A3" s="53" t="s">
        <v>22</v>
      </c>
      <c r="B3" s="54">
        <v>1551</v>
      </c>
      <c r="C3" s="143">
        <f>'[1]3. Continuity Schedule'!$BO22</f>
        <v>-2635.9099999999989</v>
      </c>
      <c r="D3" s="143">
        <f>'[1]3. Continuity Schedule'!$BS22</f>
        <v>-35.40601000000008</v>
      </c>
      <c r="E3" s="143">
        <f>C3+D3</f>
        <v>-2671.3160099999991</v>
      </c>
      <c r="F3" s="143">
        <f>C3</f>
        <v>-2635.9099999999989</v>
      </c>
      <c r="G3" s="143">
        <f>D3</f>
        <v>-35.40601000000008</v>
      </c>
      <c r="H3" s="143">
        <f t="shared" ref="H3:H10" si="0">F3+G3</f>
        <v>-2671.3160099999991</v>
      </c>
      <c r="I3" s="143">
        <f t="shared" ref="I3:I11" si="1">C3-F3</f>
        <v>0</v>
      </c>
      <c r="J3" s="143">
        <f t="shared" ref="J3:J11" si="2">D3-G3</f>
        <v>0</v>
      </c>
      <c r="K3" s="143">
        <f t="shared" ref="K3:K11" si="3">I3+J3</f>
        <v>0</v>
      </c>
      <c r="L3" s="144">
        <f t="shared" ref="L3:L11" si="4">H3+K3</f>
        <v>-2671.3160099999991</v>
      </c>
      <c r="M3" s="143">
        <f t="shared" ref="M3:M14" si="5">E3-L3</f>
        <v>0</v>
      </c>
    </row>
    <row r="4" spans="1:13" x14ac:dyDescent="0.25">
      <c r="A4" s="53" t="s">
        <v>43</v>
      </c>
      <c r="B4" s="54">
        <v>1580</v>
      </c>
      <c r="C4" s="143">
        <f>'[1]3. Continuity Schedule'!$BO23</f>
        <v>-545195.8188207671</v>
      </c>
      <c r="D4" s="143">
        <f>'[1]3. Continuity Schedule'!$BS23</f>
        <v>-6316.6748634365667</v>
      </c>
      <c r="E4" s="143">
        <f t="shared" ref="E4:E10" si="6">C4+D4</f>
        <v>-551512.49368420371</v>
      </c>
      <c r="F4" s="143">
        <f>'[2]RSVA Breakdown Summary'!$F$25</f>
        <v>-2348367.0699999998</v>
      </c>
      <c r="G4" s="143">
        <f>'[2]RSVA Breakdown Summary'!$AE$25</f>
        <v>-5873.9196266666613</v>
      </c>
      <c r="H4" s="143">
        <f t="shared" si="0"/>
        <v>-2354240.9896266665</v>
      </c>
      <c r="I4" s="143">
        <f t="shared" si="1"/>
        <v>1803171.2511792327</v>
      </c>
      <c r="J4" s="143">
        <f t="shared" si="2"/>
        <v>-442.75523676990542</v>
      </c>
      <c r="K4" s="143">
        <f t="shared" si="3"/>
        <v>1802728.4959424629</v>
      </c>
      <c r="L4" s="144">
        <f t="shared" si="4"/>
        <v>-551512.4936842036</v>
      </c>
      <c r="M4" s="143">
        <f t="shared" si="5"/>
        <v>0</v>
      </c>
    </row>
    <row r="5" spans="1:13" x14ac:dyDescent="0.25">
      <c r="A5" s="53" t="s">
        <v>44</v>
      </c>
      <c r="B5" s="54">
        <v>1580</v>
      </c>
      <c r="C5" s="143">
        <f>'[1]3. Continuity Schedule'!$BO24</f>
        <v>0</v>
      </c>
      <c r="D5" s="143">
        <f>'[1]3. Continuity Schedule'!$BS24</f>
        <v>0</v>
      </c>
      <c r="E5" s="143">
        <f t="shared" si="6"/>
        <v>0</v>
      </c>
      <c r="F5" s="143">
        <v>0</v>
      </c>
      <c r="G5" s="143">
        <v>0</v>
      </c>
      <c r="H5" s="143">
        <f t="shared" si="0"/>
        <v>0</v>
      </c>
      <c r="I5" s="143">
        <f t="shared" si="1"/>
        <v>0</v>
      </c>
      <c r="J5" s="143">
        <f t="shared" si="2"/>
        <v>0</v>
      </c>
      <c r="K5" s="143">
        <f t="shared" si="3"/>
        <v>0</v>
      </c>
      <c r="L5" s="144">
        <f t="shared" si="4"/>
        <v>0</v>
      </c>
      <c r="M5" s="143">
        <f t="shared" si="5"/>
        <v>0</v>
      </c>
    </row>
    <row r="6" spans="1:13" x14ac:dyDescent="0.25">
      <c r="A6" s="53" t="s">
        <v>45</v>
      </c>
      <c r="B6" s="54">
        <v>1580</v>
      </c>
      <c r="C6" s="143">
        <f>'[1]3. Continuity Schedule'!$BO25</f>
        <v>-8248.6008672008611</v>
      </c>
      <c r="D6" s="143">
        <f>'[1]3. Continuity Schedule'!$BS25</f>
        <v>-291.32349915168197</v>
      </c>
      <c r="E6" s="143">
        <f t="shared" si="6"/>
        <v>-8539.9243663525431</v>
      </c>
      <c r="F6" s="143">
        <f>'[2]RSVA Breakdown Summary'!$F$26</f>
        <v>106220.178549836</v>
      </c>
      <c r="G6" s="143">
        <f>'[2]RSVA Breakdown Summary'!$AE$26</f>
        <v>-199.79210938590271</v>
      </c>
      <c r="H6" s="143">
        <f t="shared" si="0"/>
        <v>106020.38644045009</v>
      </c>
      <c r="I6" s="143">
        <f t="shared" si="1"/>
        <v>-114468.77941703686</v>
      </c>
      <c r="J6" s="143">
        <f t="shared" si="2"/>
        <v>-91.531389765779267</v>
      </c>
      <c r="K6" s="143">
        <f t="shared" si="3"/>
        <v>-114560.31080680263</v>
      </c>
      <c r="L6" s="144">
        <f t="shared" si="4"/>
        <v>-8539.9243663525413</v>
      </c>
      <c r="M6" s="143">
        <f t="shared" si="5"/>
        <v>0</v>
      </c>
    </row>
    <row r="7" spans="1:13" x14ac:dyDescent="0.25">
      <c r="A7" s="53" t="s">
        <v>23</v>
      </c>
      <c r="B7" s="54">
        <v>1584</v>
      </c>
      <c r="C7" s="143">
        <f>'[1]3. Continuity Schedule'!$BO26</f>
        <v>-28676.576350573727</v>
      </c>
      <c r="D7" s="143">
        <f>'[1]3. Continuity Schedule'!$BS26</f>
        <v>-842.40216646355702</v>
      </c>
      <c r="E7" s="143">
        <f t="shared" si="6"/>
        <v>-29518.978517037285</v>
      </c>
      <c r="F7" s="143">
        <f>'[2]RSVA Breakdown Summary'!$F$27</f>
        <v>-83248.490000000005</v>
      </c>
      <c r="G7" s="143">
        <f>'[2]RSVA Breakdown Summary'!$AE$27</f>
        <v>-2172.6188633333331</v>
      </c>
      <c r="H7" s="143">
        <f t="shared" si="0"/>
        <v>-85421.108863333342</v>
      </c>
      <c r="I7" s="143">
        <f t="shared" si="1"/>
        <v>54571.913649426278</v>
      </c>
      <c r="J7" s="143">
        <f t="shared" si="2"/>
        <v>1330.2166968697761</v>
      </c>
      <c r="K7" s="143">
        <f t="shared" si="3"/>
        <v>55902.130346296057</v>
      </c>
      <c r="L7" s="144">
        <f t="shared" si="4"/>
        <v>-29518.978517037285</v>
      </c>
      <c r="M7" s="143">
        <f t="shared" si="5"/>
        <v>0</v>
      </c>
    </row>
    <row r="8" spans="1:13" x14ac:dyDescent="0.25">
      <c r="A8" s="53" t="s">
        <v>24</v>
      </c>
      <c r="B8" s="54">
        <v>1586</v>
      </c>
      <c r="C8" s="143">
        <f>'[1]3. Continuity Schedule'!$BO27</f>
        <v>98461.52415018485</v>
      </c>
      <c r="D8" s="143">
        <f>'[1]3. Continuity Schedule'!$BS27</f>
        <v>1478.290744392373</v>
      </c>
      <c r="E8" s="143">
        <f t="shared" si="6"/>
        <v>99939.814894577226</v>
      </c>
      <c r="F8" s="143">
        <f>'[2]RSVA Breakdown Summary'!$F$28</f>
        <v>-10565.92</v>
      </c>
      <c r="G8" s="143">
        <f>'[2]RSVA Breakdown Summary'!$AE$28</f>
        <v>233.47642333333334</v>
      </c>
      <c r="H8" s="143">
        <f t="shared" si="0"/>
        <v>-10332.443576666667</v>
      </c>
      <c r="I8" s="143">
        <f t="shared" si="1"/>
        <v>109027.44415018485</v>
      </c>
      <c r="J8" s="143">
        <f t="shared" si="2"/>
        <v>1244.8143210590397</v>
      </c>
      <c r="K8" s="143">
        <f t="shared" si="3"/>
        <v>110272.25847124388</v>
      </c>
      <c r="L8" s="144">
        <f t="shared" si="4"/>
        <v>99939.814894577212</v>
      </c>
      <c r="M8" s="143">
        <f t="shared" si="5"/>
        <v>0</v>
      </c>
    </row>
    <row r="9" spans="1:13" x14ac:dyDescent="0.25">
      <c r="A9" s="52" t="s">
        <v>46</v>
      </c>
      <c r="B9" s="54">
        <v>1588</v>
      </c>
      <c r="C9" s="143">
        <f>'[1]3. Continuity Schedule'!$BO28</f>
        <v>126908.90933299507</v>
      </c>
      <c r="D9" s="143">
        <f>'[1]3. Continuity Schedule'!$BS28</f>
        <v>7887.3293476791168</v>
      </c>
      <c r="E9" s="143">
        <f t="shared" si="6"/>
        <v>134796.2386806742</v>
      </c>
      <c r="F9" s="143">
        <f>'[2]RSVA Breakdown Summary'!$F$23:$F$23</f>
        <v>-1938241.84</v>
      </c>
      <c r="G9" s="143">
        <f>'[2]RSVA Breakdown Summary'!$AE$23</f>
        <v>2425.076893333337</v>
      </c>
      <c r="H9" s="143">
        <f t="shared" si="0"/>
        <v>-1935816.7631066667</v>
      </c>
      <c r="I9" s="143">
        <f t="shared" si="1"/>
        <v>2065150.7493329952</v>
      </c>
      <c r="J9" s="143">
        <f t="shared" si="2"/>
        <v>5462.2524543457803</v>
      </c>
      <c r="K9" s="143">
        <f t="shared" si="3"/>
        <v>2070613.001787341</v>
      </c>
      <c r="L9" s="144">
        <f t="shared" si="4"/>
        <v>134796.23868067423</v>
      </c>
      <c r="M9" s="143">
        <f t="shared" si="5"/>
        <v>0</v>
      </c>
    </row>
    <row r="10" spans="1:13" x14ac:dyDescent="0.25">
      <c r="A10" s="52" t="s">
        <v>25</v>
      </c>
      <c r="B10" s="54">
        <v>1589</v>
      </c>
      <c r="C10" s="143">
        <f>'[1]3. Continuity Schedule'!$BO29</f>
        <v>2108666.2690840885</v>
      </c>
      <c r="D10" s="143">
        <f>'[1]3. Continuity Schedule'!$BS29</f>
        <v>32897.871857492879</v>
      </c>
      <c r="E10" s="143">
        <f t="shared" si="6"/>
        <v>2141564.1409415812</v>
      </c>
      <c r="F10" s="143">
        <f>'[2]RSVA Breakdown Summary'!$F$24</f>
        <v>621750.80000000005</v>
      </c>
      <c r="G10" s="143">
        <f>'[2]RSVA Breakdown Summary'!$AE$24</f>
        <v>4456.1341333333385</v>
      </c>
      <c r="H10" s="143">
        <f t="shared" si="0"/>
        <v>626206.93413333339</v>
      </c>
      <c r="I10" s="143">
        <f t="shared" si="1"/>
        <v>1486915.4690840885</v>
      </c>
      <c r="J10" s="143">
        <f t="shared" si="2"/>
        <v>28441.737724159539</v>
      </c>
      <c r="K10" s="143">
        <f t="shared" si="3"/>
        <v>1515357.2068082481</v>
      </c>
      <c r="L10" s="144">
        <f t="shared" si="4"/>
        <v>2141564.1409415817</v>
      </c>
      <c r="M10" s="143">
        <f t="shared" si="5"/>
        <v>0</v>
      </c>
    </row>
    <row r="11" spans="1:13" x14ac:dyDescent="0.25">
      <c r="B11" s="54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52" t="s">
        <v>25</v>
      </c>
      <c r="B12" s="54">
        <v>1589</v>
      </c>
      <c r="C12" s="143">
        <f>C10</f>
        <v>2108666.2690840885</v>
      </c>
      <c r="D12" s="143">
        <f>D10</f>
        <v>32897.871857492879</v>
      </c>
      <c r="E12" s="143">
        <f>E10</f>
        <v>2141564.1409415812</v>
      </c>
      <c r="F12" s="143">
        <f>F10</f>
        <v>621750.80000000005</v>
      </c>
      <c r="G12" s="143">
        <f>G10</f>
        <v>4456.1341333333385</v>
      </c>
      <c r="H12" s="143">
        <f>H10</f>
        <v>626206.93413333339</v>
      </c>
      <c r="I12" s="143">
        <f>I10</f>
        <v>1486915.4690840885</v>
      </c>
      <c r="J12" s="143">
        <f>J10</f>
        <v>28441.737724159539</v>
      </c>
      <c r="K12" s="143">
        <f>K10</f>
        <v>1515357.2068082481</v>
      </c>
      <c r="L12" s="143">
        <f>L10</f>
        <v>2141564.1409415817</v>
      </c>
      <c r="M12" s="143">
        <f t="shared" si="5"/>
        <v>0</v>
      </c>
    </row>
    <row r="13" spans="1:13" x14ac:dyDescent="0.25">
      <c r="A13" s="52" t="s">
        <v>26</v>
      </c>
      <c r="B13" s="54"/>
      <c r="C13" s="143">
        <f>SUM(C2:C9)</f>
        <v>-298833.39255536173</v>
      </c>
      <c r="D13" s="143">
        <f>SUM(D2:D9)</f>
        <v>2897.2505362983729</v>
      </c>
      <c r="E13" s="143">
        <f>SUM(E2:E9)</f>
        <v>-295936.14201906335</v>
      </c>
      <c r="F13" s="143">
        <f>SUM(F2:F9)</f>
        <v>-4221205.5814501643</v>
      </c>
      <c r="G13" s="143">
        <f>SUM(G2:G9)</f>
        <v>-5136.514702719227</v>
      </c>
      <c r="H13" s="143">
        <f>SUM(H2:H9)</f>
        <v>-4226342.096152883</v>
      </c>
      <c r="I13" s="143">
        <f>SUM(I2:I9)</f>
        <v>3922372.1888948022</v>
      </c>
      <c r="J13" s="143">
        <f>SUM(J2:J9)</f>
        <v>8033.7652390175999</v>
      </c>
      <c r="K13" s="143">
        <f>SUM(K2:K9)</f>
        <v>3930405.9541338198</v>
      </c>
      <c r="L13" s="143">
        <f>SUM(L2:L9)</f>
        <v>-295936.14201906329</v>
      </c>
      <c r="M13" s="143">
        <f t="shared" si="5"/>
        <v>0</v>
      </c>
    </row>
    <row r="14" spans="1:13" x14ac:dyDescent="0.25">
      <c r="A14" s="52" t="s">
        <v>27</v>
      </c>
      <c r="B14" s="54"/>
      <c r="C14" s="143">
        <f>C12+C13</f>
        <v>1809832.8765287269</v>
      </c>
      <c r="D14" s="143">
        <f>D12+D13</f>
        <v>35795.122393791251</v>
      </c>
      <c r="E14" s="143">
        <f>E12+E13</f>
        <v>1845627.998922518</v>
      </c>
      <c r="F14" s="143">
        <f>F12+F13</f>
        <v>-3599454.7814501645</v>
      </c>
      <c r="G14" s="143">
        <f>G12+G13</f>
        <v>-680.38056938588852</v>
      </c>
      <c r="H14" s="143">
        <f>H12+H13</f>
        <v>-3600135.1620195499</v>
      </c>
      <c r="I14" s="143">
        <f>I12+I13</f>
        <v>5409287.6579788905</v>
      </c>
      <c r="J14" s="143">
        <f>J12+J13</f>
        <v>36475.502963177139</v>
      </c>
      <c r="K14" s="143">
        <f>K12+K13</f>
        <v>5445763.1609420683</v>
      </c>
      <c r="L14" s="143">
        <f>L12+L13</f>
        <v>1845627.9989225185</v>
      </c>
      <c r="M14" s="143">
        <f t="shared" si="5"/>
        <v>0</v>
      </c>
    </row>
    <row r="15" spans="1:13" x14ac:dyDescent="0.25"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"/>
  <sheetViews>
    <sheetView topLeftCell="B1" workbookViewId="0">
      <selection activeCell="G27" sqref="G27"/>
    </sheetView>
  </sheetViews>
  <sheetFormatPr defaultColWidth="9.140625" defaultRowHeight="15" x14ac:dyDescent="0.25"/>
  <cols>
    <col min="1" max="1" width="64.85546875" style="11" bestFit="1" customWidth="1"/>
    <col min="2" max="2" width="9.140625" style="11" customWidth="1"/>
    <col min="3" max="3" width="14.7109375" style="11" bestFit="1" customWidth="1"/>
    <col min="4" max="4" width="13.42578125" style="11" bestFit="1" customWidth="1"/>
    <col min="5" max="5" width="16.140625" style="11" customWidth="1"/>
    <col min="6" max="8" width="17.7109375" style="11" customWidth="1"/>
    <col min="9" max="9" width="18" style="11" customWidth="1"/>
    <col min="10" max="10" width="17.7109375" style="11" customWidth="1"/>
    <col min="11" max="11" width="21.5703125" style="11" customWidth="1"/>
    <col min="12" max="12" width="22.42578125" style="11" customWidth="1"/>
    <col min="13" max="13" width="11.5703125" style="11" bestFit="1" customWidth="1"/>
    <col min="14" max="16384" width="9.140625" style="11"/>
  </cols>
  <sheetData>
    <row r="1" spans="1:65" s="1" customFormat="1" x14ac:dyDescent="0.25">
      <c r="BM1" s="2"/>
    </row>
    <row r="2" spans="1:65" s="1" customFormat="1" x14ac:dyDescent="0.25">
      <c r="B2" s="2" t="b">
        <v>1</v>
      </c>
    </row>
    <row r="3" spans="1:65" s="1" customFormat="1" x14ac:dyDescent="0.25"/>
    <row r="4" spans="1:65" s="1" customFormat="1" x14ac:dyDescent="0.25"/>
    <row r="5" spans="1:65" s="1" customFormat="1" x14ac:dyDescent="0.25"/>
    <row r="6" spans="1:65" s="1" customFormat="1" ht="15.75" thickBot="1" x14ac:dyDescent="0.3"/>
    <row r="7" spans="1:65" s="1" customFormat="1" ht="15.75" thickBot="1" x14ac:dyDescent="0.3">
      <c r="B7" s="3"/>
      <c r="C7" s="4"/>
      <c r="D7" s="4"/>
      <c r="E7" s="4"/>
      <c r="F7" s="4"/>
      <c r="G7" s="4"/>
      <c r="H7" s="4"/>
      <c r="I7" s="4"/>
      <c r="J7" s="4"/>
      <c r="K7" s="5"/>
    </row>
    <row r="8" spans="1:65" s="1" customFormat="1" ht="15.75" thickBot="1" x14ac:dyDescent="0.3">
      <c r="A8" s="6"/>
      <c r="B8" s="3"/>
      <c r="C8" s="7"/>
      <c r="D8" s="4"/>
      <c r="E8" s="4"/>
      <c r="F8" s="4"/>
      <c r="G8" s="4"/>
      <c r="H8" s="4"/>
      <c r="I8" s="4"/>
      <c r="J8" s="4"/>
      <c r="K8" s="5"/>
    </row>
    <row r="9" spans="1:65" s="1" customFormat="1" ht="15.75" thickBot="1" x14ac:dyDescent="0.3">
      <c r="B9" s="3"/>
      <c r="C9" s="4"/>
      <c r="D9" s="4"/>
      <c r="E9" s="4"/>
      <c r="F9" s="4"/>
      <c r="G9" s="4"/>
      <c r="H9" s="4"/>
      <c r="I9" s="4"/>
      <c r="J9" s="4"/>
      <c r="K9" s="5"/>
    </row>
    <row r="10" spans="1:65" s="1" customFormat="1" ht="15.75" thickBot="1" x14ac:dyDescent="0.3">
      <c r="B10" s="3"/>
      <c r="C10" s="4"/>
      <c r="D10" s="4"/>
      <c r="E10" s="4"/>
      <c r="F10" s="4"/>
      <c r="G10" s="4"/>
      <c r="H10" s="4"/>
      <c r="I10" s="4"/>
      <c r="J10" s="4"/>
      <c r="K10" s="5"/>
    </row>
    <row r="11" spans="1:65" s="1" customFormat="1" ht="15.75" thickBot="1" x14ac:dyDescent="0.3">
      <c r="B11" s="3"/>
      <c r="C11" s="4"/>
      <c r="D11" s="4"/>
      <c r="E11" s="4"/>
      <c r="F11" s="4"/>
      <c r="G11" s="4"/>
      <c r="H11" s="4"/>
      <c r="I11" s="4"/>
      <c r="J11" s="4"/>
      <c r="K11" s="5"/>
    </row>
    <row r="12" spans="1:65" s="1" customFormat="1" ht="15.75" thickBot="1" x14ac:dyDescent="0.3">
      <c r="A12" s="8"/>
      <c r="B12" s="3"/>
      <c r="C12" s="4"/>
      <c r="D12" s="4"/>
      <c r="E12" s="4"/>
      <c r="F12" s="4"/>
      <c r="G12" s="4"/>
      <c r="H12" s="4"/>
      <c r="I12" s="4"/>
      <c r="J12" s="4"/>
      <c r="K12" s="5"/>
    </row>
    <row r="13" spans="1:65" ht="27" customHeight="1" thickBot="1" x14ac:dyDescent="0.3">
      <c r="A13" s="161"/>
      <c r="B13" s="162"/>
      <c r="C13" s="163"/>
      <c r="D13" s="163"/>
      <c r="E13" s="163"/>
      <c r="F13" s="163"/>
      <c r="G13" s="163"/>
      <c r="H13" s="9"/>
      <c r="I13" s="9"/>
      <c r="J13" s="9"/>
      <c r="K13" s="10"/>
    </row>
    <row r="14" spans="1:65" s="14" customFormat="1" ht="15.75" thickBot="1" x14ac:dyDescent="0.3">
      <c r="A14" s="11"/>
      <c r="B14" s="12"/>
      <c r="C14" s="164"/>
      <c r="D14" s="164"/>
      <c r="E14" s="164"/>
      <c r="F14" s="164"/>
      <c r="G14" s="164"/>
      <c r="H14" s="164"/>
      <c r="I14" s="13"/>
      <c r="J14" s="13"/>
      <c r="K14" s="49"/>
    </row>
    <row r="15" spans="1:65" s="109" customFormat="1" ht="22.5" customHeight="1" thickBot="1" x14ac:dyDescent="0.3">
      <c r="A15" s="107"/>
      <c r="B15" s="108"/>
      <c r="C15" s="159" t="s">
        <v>0</v>
      </c>
      <c r="D15" s="159" t="s">
        <v>1</v>
      </c>
      <c r="E15" s="159" t="s">
        <v>2</v>
      </c>
      <c r="F15" s="159" t="s">
        <v>3</v>
      </c>
      <c r="G15" s="165" t="s">
        <v>4</v>
      </c>
      <c r="H15" s="165" t="s">
        <v>5</v>
      </c>
      <c r="I15" s="159" t="s">
        <v>6</v>
      </c>
      <c r="J15" s="159" t="s">
        <v>7</v>
      </c>
      <c r="K15" s="155" t="s">
        <v>8</v>
      </c>
      <c r="L15" s="157" t="s">
        <v>47</v>
      </c>
    </row>
    <row r="16" spans="1:65" s="17" customFormat="1" ht="30.75" customHeight="1" thickBot="1" x14ac:dyDescent="0.3">
      <c r="A16" s="15" t="s">
        <v>9</v>
      </c>
      <c r="B16" s="16" t="s">
        <v>10</v>
      </c>
      <c r="C16" s="160"/>
      <c r="D16" s="160"/>
      <c r="E16" s="160"/>
      <c r="F16" s="160"/>
      <c r="G16" s="166"/>
      <c r="H16" s="166"/>
      <c r="I16" s="160"/>
      <c r="J16" s="160"/>
      <c r="K16" s="156"/>
      <c r="L16" s="158"/>
    </row>
    <row r="17" spans="1:12" ht="15.75" customHeight="1" thickBot="1" x14ac:dyDescent="0.3">
      <c r="A17" s="18" t="s">
        <v>11</v>
      </c>
      <c r="B17" s="19" t="s">
        <v>12</v>
      </c>
      <c r="C17" s="20">
        <v>168130870</v>
      </c>
      <c r="D17" s="21">
        <v>0</v>
      </c>
      <c r="E17" s="21">
        <v>13141607</v>
      </c>
      <c r="F17" s="21">
        <v>0</v>
      </c>
      <c r="G17" s="22"/>
      <c r="H17" s="22"/>
      <c r="I17" s="23">
        <f t="shared" ref="I17:J23" si="0">C17-G17</f>
        <v>168130870</v>
      </c>
      <c r="J17" s="24">
        <f t="shared" si="0"/>
        <v>0</v>
      </c>
      <c r="K17" s="25"/>
      <c r="L17" s="134">
        <v>18899</v>
      </c>
    </row>
    <row r="18" spans="1:12" ht="15.75" customHeight="1" thickBot="1" x14ac:dyDescent="0.3">
      <c r="A18" s="18" t="s">
        <v>13</v>
      </c>
      <c r="B18" s="19" t="s">
        <v>12</v>
      </c>
      <c r="C18" s="20">
        <v>54442760</v>
      </c>
      <c r="D18" s="21">
        <v>0</v>
      </c>
      <c r="E18" s="21">
        <v>13748069</v>
      </c>
      <c r="F18" s="21">
        <v>0</v>
      </c>
      <c r="G18" s="22"/>
      <c r="H18" s="22"/>
      <c r="I18" s="23">
        <f t="shared" si="0"/>
        <v>54442760</v>
      </c>
      <c r="J18" s="24">
        <f t="shared" si="0"/>
        <v>0</v>
      </c>
      <c r="K18" s="25"/>
      <c r="L18" s="26">
        <v>2347</v>
      </c>
    </row>
    <row r="19" spans="1:12" ht="15.75" customHeight="1" thickBot="1" x14ac:dyDescent="0.3">
      <c r="A19" s="18" t="s">
        <v>14</v>
      </c>
      <c r="B19" s="19" t="s">
        <v>15</v>
      </c>
      <c r="C19" s="20">
        <v>121010369</v>
      </c>
      <c r="D19" s="21">
        <v>327230.45</v>
      </c>
      <c r="E19" s="21">
        <v>107759968</v>
      </c>
      <c r="F19" s="21">
        <v>282213.87000000005</v>
      </c>
      <c r="G19" s="27">
        <v>3398627</v>
      </c>
      <c r="H19" s="27">
        <v>6146.92</v>
      </c>
      <c r="I19" s="23">
        <f t="shared" si="0"/>
        <v>117611742</v>
      </c>
      <c r="J19" s="24">
        <f t="shared" si="0"/>
        <v>321083.53000000003</v>
      </c>
      <c r="K19" s="25"/>
      <c r="L19" s="26"/>
    </row>
    <row r="20" spans="1:12" ht="15.75" customHeight="1" thickBot="1" x14ac:dyDescent="0.3">
      <c r="A20" s="18" t="s">
        <v>16</v>
      </c>
      <c r="B20" s="19" t="s">
        <v>12</v>
      </c>
      <c r="C20" s="20">
        <v>337808</v>
      </c>
      <c r="D20" s="21">
        <v>0</v>
      </c>
      <c r="E20" s="21">
        <v>57290</v>
      </c>
      <c r="F20" s="21">
        <v>0</v>
      </c>
      <c r="G20" s="22"/>
      <c r="H20" s="22"/>
      <c r="I20" s="23">
        <f t="shared" si="0"/>
        <v>337808</v>
      </c>
      <c r="J20" s="24">
        <f t="shared" si="0"/>
        <v>0</v>
      </c>
      <c r="K20" s="25"/>
      <c r="L20" s="26"/>
    </row>
    <row r="21" spans="1:12" ht="15.75" customHeight="1" thickBot="1" x14ac:dyDescent="0.3">
      <c r="A21" s="18" t="s">
        <v>17</v>
      </c>
      <c r="B21" s="19" t="s">
        <v>15</v>
      </c>
      <c r="C21" s="20">
        <v>328735</v>
      </c>
      <c r="D21" s="21">
        <v>910.15</v>
      </c>
      <c r="E21" s="21">
        <v>48500</v>
      </c>
      <c r="F21" s="21">
        <v>133.96</v>
      </c>
      <c r="G21" s="22"/>
      <c r="H21" s="22"/>
      <c r="I21" s="23">
        <f t="shared" si="0"/>
        <v>328735</v>
      </c>
      <c r="J21" s="24">
        <f t="shared" si="0"/>
        <v>910.15</v>
      </c>
      <c r="K21" s="25"/>
      <c r="L21" s="26"/>
    </row>
    <row r="22" spans="1:12" ht="15.75" customHeight="1" thickBot="1" x14ac:dyDescent="0.3">
      <c r="A22" s="18" t="s">
        <v>18</v>
      </c>
      <c r="B22" s="28" t="s">
        <v>15</v>
      </c>
      <c r="C22" s="29">
        <v>2378970</v>
      </c>
      <c r="D22" s="30">
        <v>6636.32</v>
      </c>
      <c r="E22" s="30">
        <v>2370822</v>
      </c>
      <c r="F22" s="30">
        <v>6614</v>
      </c>
      <c r="G22" s="31"/>
      <c r="H22" s="31"/>
      <c r="I22" s="32">
        <f t="shared" si="0"/>
        <v>2378970</v>
      </c>
      <c r="J22" s="33">
        <f t="shared" si="0"/>
        <v>6636.32</v>
      </c>
      <c r="K22" s="34"/>
      <c r="L22" s="26"/>
    </row>
    <row r="23" spans="1:12" ht="15.75" customHeight="1" thickBot="1" x14ac:dyDescent="0.3">
      <c r="A23" s="35" t="s">
        <v>19</v>
      </c>
      <c r="B23" s="36" t="s">
        <v>15</v>
      </c>
      <c r="C23" s="37">
        <v>73956785</v>
      </c>
      <c r="D23" s="38">
        <v>238014.71</v>
      </c>
      <c r="E23" s="38">
        <v>60182853</v>
      </c>
      <c r="F23" s="38">
        <v>142589.71</v>
      </c>
      <c r="G23" s="142">
        <v>13773932</v>
      </c>
      <c r="H23" s="39">
        <v>95425</v>
      </c>
      <c r="I23" s="40">
        <f t="shared" si="0"/>
        <v>60182853</v>
      </c>
      <c r="J23" s="41">
        <f t="shared" si="0"/>
        <v>142589.71</v>
      </c>
      <c r="K23" s="42"/>
      <c r="L23" s="43"/>
    </row>
    <row r="24" spans="1:12" x14ac:dyDescent="0.25">
      <c r="B24" s="44" t="s">
        <v>20</v>
      </c>
      <c r="C24" s="45">
        <f>SUM($C$17:$C$23)</f>
        <v>420586297</v>
      </c>
      <c r="D24" s="45">
        <f>SUM($D$17:$D$23)</f>
        <v>572791.63</v>
      </c>
      <c r="E24" s="45">
        <f>SUM($E$17:$E$23)</f>
        <v>197309109</v>
      </c>
      <c r="F24" s="45">
        <f>SUM($F$17:$F$23)</f>
        <v>431551.54000000004</v>
      </c>
      <c r="G24" s="45">
        <f>SUM($G$17:$G$23)</f>
        <v>17172559</v>
      </c>
      <c r="H24" s="45">
        <f>SUM($H$17:$H$23)</f>
        <v>101571.92</v>
      </c>
      <c r="I24" s="45">
        <f>SUM($I$17:$I$23)</f>
        <v>403413738</v>
      </c>
      <c r="J24" s="45">
        <f>SUM($J$17:$J$23)</f>
        <v>471219.71000000008</v>
      </c>
      <c r="K24" s="45">
        <f>ROUND(SUM($K$17:$K$23),0)</f>
        <v>0</v>
      </c>
      <c r="L24" s="46">
        <f>SUM($L$17:$L$23)</f>
        <v>21246</v>
      </c>
    </row>
    <row r="27" spans="1:12" ht="17.25" x14ac:dyDescent="0.25">
      <c r="A27" s="48"/>
    </row>
    <row r="28" spans="1:12" ht="17.25" x14ac:dyDescent="0.25">
      <c r="A28" s="48"/>
    </row>
    <row r="29" spans="1:12" ht="17.25" x14ac:dyDescent="0.25">
      <c r="A29" s="48"/>
    </row>
    <row r="30" spans="1:12" ht="17.25" x14ac:dyDescent="0.25">
      <c r="A30" s="48"/>
    </row>
  </sheetData>
  <mergeCells count="12">
    <mergeCell ref="K15:K16"/>
    <mergeCell ref="L15:L16"/>
    <mergeCell ref="J15:J16"/>
    <mergeCell ref="A13:G13"/>
    <mergeCell ref="C14:H14"/>
    <mergeCell ref="C15:C16"/>
    <mergeCell ref="D15:D16"/>
    <mergeCell ref="E15:E16"/>
    <mergeCell ref="F15:F16"/>
    <mergeCell ref="G15:G16"/>
    <mergeCell ref="H15:H16"/>
    <mergeCell ref="I15:I16"/>
  </mergeCells>
  <dataValidations count="1">
    <dataValidation type="list" allowBlank="1" showInputMessage="1" showErrorMessage="1" sqref="B13 B17:B23">
      <formula1>"kWh, kW, kVA"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K40"/>
  <sheetViews>
    <sheetView topLeftCell="A13" workbookViewId="0">
      <selection activeCell="F40" activeCellId="1" sqref="F24:K24 F40:K40"/>
    </sheetView>
  </sheetViews>
  <sheetFormatPr defaultColWidth="9.140625" defaultRowHeight="15" x14ac:dyDescent="0.25"/>
  <cols>
    <col min="1" max="1" width="61.42578125" style="55" customWidth="1"/>
    <col min="2" max="2" width="9.140625" style="11"/>
    <col min="3" max="3" width="14.85546875" style="11" customWidth="1"/>
    <col min="4" max="4" width="11.85546875" style="11" customWidth="1"/>
    <col min="5" max="5" width="14.7109375" style="11" customWidth="1"/>
    <col min="6" max="11" width="14.85546875" style="11" customWidth="1"/>
    <col min="12" max="16384" width="9.140625" style="11"/>
  </cols>
  <sheetData>
    <row r="12" spans="1:11" ht="18" x14ac:dyDescent="0.25">
      <c r="A12" s="56" t="s">
        <v>56</v>
      </c>
    </row>
    <row r="13" spans="1:11" s="106" customFormat="1" ht="29.25" customHeight="1" x14ac:dyDescent="0.25">
      <c r="A13" s="99"/>
      <c r="B13" s="100"/>
      <c r="C13" s="167" t="s">
        <v>66</v>
      </c>
      <c r="D13" s="167" t="s">
        <v>65</v>
      </c>
      <c r="E13" s="167" t="s">
        <v>67</v>
      </c>
      <c r="F13" s="101"/>
      <c r="G13" s="102"/>
      <c r="H13" s="102" t="s">
        <v>31</v>
      </c>
      <c r="I13" s="101"/>
      <c r="J13" s="101"/>
      <c r="K13" s="102" t="s">
        <v>31</v>
      </c>
    </row>
    <row r="14" spans="1:11" s="106" customFormat="1" ht="20.25" customHeight="1" x14ac:dyDescent="0.25">
      <c r="A14" s="103" t="s">
        <v>9</v>
      </c>
      <c r="B14" s="104"/>
      <c r="C14" s="168"/>
      <c r="D14" s="168"/>
      <c r="E14" s="168"/>
      <c r="F14" s="105">
        <v>1550</v>
      </c>
      <c r="G14" s="105">
        <v>1551</v>
      </c>
      <c r="H14" s="105">
        <v>1580</v>
      </c>
      <c r="I14" s="105">
        <v>1584</v>
      </c>
      <c r="J14" s="105">
        <v>1586</v>
      </c>
      <c r="K14" s="105">
        <v>1588</v>
      </c>
    </row>
    <row r="15" spans="1:11" ht="16.5" x14ac:dyDescent="0.3">
      <c r="B15" s="57"/>
      <c r="C15" s="58"/>
      <c r="D15" s="59"/>
      <c r="E15" s="59"/>
      <c r="F15" s="59"/>
      <c r="G15" s="59"/>
      <c r="H15" s="59"/>
      <c r="I15" s="58"/>
      <c r="J15" s="59"/>
    </row>
    <row r="16" spans="1:11" ht="15.75" customHeight="1" x14ac:dyDescent="0.25">
      <c r="A16" s="60" t="s">
        <v>11</v>
      </c>
      <c r="C16" s="61">
        <f>'Billing Determinants'!C17/'Billing Determinants'!$C$24</f>
        <v>0.39975356115798516</v>
      </c>
      <c r="D16" s="61">
        <f>'Billing Determinants'!L17/'Billing Determinants'!$L$24</f>
        <v>0.88953214722771345</v>
      </c>
      <c r="E16" s="61">
        <f>'Billing Determinants'!I17/'Billing Determinants'!$I$24</f>
        <v>0.4167703133600274</v>
      </c>
      <c r="F16" s="145">
        <f>F$24*$C16</f>
        <v>22434.225254032168</v>
      </c>
      <c r="G16" s="145">
        <f>G24*D16</f>
        <v>-2376.2214662990673</v>
      </c>
      <c r="H16" s="145">
        <f>$E16*H$24</f>
        <v>-936991.60529238917</v>
      </c>
      <c r="I16" s="145">
        <f>I$24*$C16</f>
        <v>-34147.392466181431</v>
      </c>
      <c r="J16" s="145">
        <f>J$24*$C16</f>
        <v>-4130.4311152364489</v>
      </c>
      <c r="K16" s="145">
        <f>$E16*K$24</f>
        <v>-806790.95896755939</v>
      </c>
    </row>
    <row r="17" spans="1:11" ht="15.75" customHeight="1" x14ac:dyDescent="0.25">
      <c r="A17" s="60" t="s">
        <v>13</v>
      </c>
      <c r="C17" s="61">
        <f>'Billing Determinants'!C18/'Billing Determinants'!$C$24</f>
        <v>0.12944492102651647</v>
      </c>
      <c r="D17" s="61">
        <f>'Billing Determinants'!L18/'Billing Determinants'!$L$24</f>
        <v>0.11046785277228655</v>
      </c>
      <c r="E17" s="61">
        <f>'Billing Determinants'!I18/'Billing Determinants'!$I$24</f>
        <v>0.13495514622261079</v>
      </c>
      <c r="F17" s="145">
        <f t="shared" ref="F17:F22" si="0">F$24*$C17</f>
        <v>7264.4669077797098</v>
      </c>
      <c r="G17" s="145">
        <f>D17*G24</f>
        <v>-295.09454370093181</v>
      </c>
      <c r="H17" s="145">
        <f t="shared" ref="H17:H22" si="1">$E17*H$24</f>
        <v>-303408.94024368201</v>
      </c>
      <c r="I17" s="145">
        <f t="shared" ref="I17:J22" si="2">I$24*$C17</f>
        <v>-11057.328690811652</v>
      </c>
      <c r="J17" s="145">
        <f t="shared" si="2"/>
        <v>-1337.4823427925542</v>
      </c>
      <c r="K17" s="145">
        <f t="shared" ref="K17:K22" si="3">$E17*K$24</f>
        <v>-261248.43432524131</v>
      </c>
    </row>
    <row r="18" spans="1:11" ht="15.75" customHeight="1" x14ac:dyDescent="0.25">
      <c r="A18" s="60" t="s">
        <v>14</v>
      </c>
      <c r="C18" s="61">
        <f>'Billing Determinants'!C19/'Billing Determinants'!$C$24</f>
        <v>0.28771828721752196</v>
      </c>
      <c r="D18" s="61">
        <v>0</v>
      </c>
      <c r="E18" s="61">
        <f>'Billing Determinants'!I19/'Billing Determinants'!$I$24</f>
        <v>0.29154124146362115</v>
      </c>
      <c r="F18" s="145">
        <f t="shared" si="0"/>
        <v>16146.790153524758</v>
      </c>
      <c r="G18" s="145">
        <v>0</v>
      </c>
      <c r="H18" s="145">
        <f t="shared" si="1"/>
        <v>-655449.02573700063</v>
      </c>
      <c r="I18" s="145">
        <f t="shared" si="2"/>
        <v>-24577.215134379752</v>
      </c>
      <c r="J18" s="145">
        <f t="shared" si="2"/>
        <v>-2972.8329686502198</v>
      </c>
      <c r="K18" s="145">
        <f t="shared" si="3"/>
        <v>-564370.42236220627</v>
      </c>
    </row>
    <row r="19" spans="1:11" ht="15.75" customHeight="1" x14ac:dyDescent="0.25">
      <c r="A19" s="60" t="s">
        <v>16</v>
      </c>
      <c r="C19" s="61">
        <f>'Billing Determinants'!C20/'Billing Determinants'!$C$24</f>
        <v>8.03183561636579E-4</v>
      </c>
      <c r="D19" s="61">
        <v>0</v>
      </c>
      <c r="E19" s="61">
        <f>'Billing Determinants'!I20/'Billing Determinants'!$I$24</f>
        <v>8.3737356510154345E-4</v>
      </c>
      <c r="F19" s="145">
        <f t="shared" si="0"/>
        <v>45.07477279225462</v>
      </c>
      <c r="G19" s="145">
        <v>0</v>
      </c>
      <c r="H19" s="145">
        <f t="shared" si="1"/>
        <v>-1882.6005016247843</v>
      </c>
      <c r="I19" s="145">
        <f t="shared" si="2"/>
        <v>-68.608830455798014</v>
      </c>
      <c r="J19" s="145">
        <f t="shared" si="2"/>
        <v>-8.2988488323161267</v>
      </c>
      <c r="K19" s="145">
        <f t="shared" si="3"/>
        <v>-1621.0017843059595</v>
      </c>
    </row>
    <row r="20" spans="1:11" ht="15.75" customHeight="1" x14ac:dyDescent="0.25">
      <c r="A20" s="60" t="s">
        <v>17</v>
      </c>
      <c r="C20" s="61">
        <f>'Billing Determinants'!C21/'Billing Determinants'!$C$24</f>
        <v>7.816112943879387E-4</v>
      </c>
      <c r="D20" s="61">
        <v>0</v>
      </c>
      <c r="E20" s="61">
        <f>'Billing Determinants'!I21/'Billing Determinants'!$I$24</f>
        <v>8.1488300728122453E-4</v>
      </c>
      <c r="F20" s="145">
        <f t="shared" si="0"/>
        <v>43.864134164560411</v>
      </c>
      <c r="G20" s="145">
        <v>0</v>
      </c>
      <c r="H20" s="145">
        <f t="shared" si="1"/>
        <v>-1832.0367661559924</v>
      </c>
      <c r="I20" s="145">
        <f t="shared" si="2"/>
        <v>-66.766103466722996</v>
      </c>
      <c r="J20" s="145">
        <f t="shared" si="2"/>
        <v>-8.0759545981487761</v>
      </c>
      <c r="K20" s="145">
        <f t="shared" si="3"/>
        <v>-1577.4641854657664</v>
      </c>
    </row>
    <row r="21" spans="1:11" ht="15.75" customHeight="1" x14ac:dyDescent="0.25">
      <c r="A21" s="60" t="s">
        <v>18</v>
      </c>
      <c r="C21" s="61">
        <f>'Billing Determinants'!C22/'Billing Determinants'!$C$24</f>
        <v>5.6563183750135346E-3</v>
      </c>
      <c r="D21" s="61">
        <v>0</v>
      </c>
      <c r="E21" s="61">
        <f>'Billing Determinants'!I22/'Billing Determinants'!$I$24</f>
        <v>5.8970971385213459E-3</v>
      </c>
      <c r="F21" s="145">
        <f t="shared" si="0"/>
        <v>317.43337111492315</v>
      </c>
      <c r="G21" s="145">
        <v>0</v>
      </c>
      <c r="H21" s="145">
        <f t="shared" si="1"/>
        <v>-13257.975285814169</v>
      </c>
      <c r="I21" s="145">
        <f t="shared" si="2"/>
        <v>-483.16898767770391</v>
      </c>
      <c r="J21" s="145">
        <f t="shared" si="2"/>
        <v>-58.443590461490231</v>
      </c>
      <c r="K21" s="145">
        <f t="shared" si="3"/>
        <v>-11415.699494417979</v>
      </c>
    </row>
    <row r="22" spans="1:11" ht="15.75" customHeight="1" thickBot="1" x14ac:dyDescent="0.3">
      <c r="A22" s="63" t="s">
        <v>19</v>
      </c>
      <c r="B22" s="64"/>
      <c r="C22" s="65">
        <f>'Billing Determinants'!C23/'Billing Determinants'!$C$24</f>
        <v>0.17584211736693836</v>
      </c>
      <c r="D22" s="65">
        <v>0</v>
      </c>
      <c r="E22" s="65">
        <f>'Billing Determinants'!I23/'Billing Determinants'!$I$24</f>
        <v>0.14918394524283651</v>
      </c>
      <c r="F22" s="146">
        <f t="shared" si="0"/>
        <v>9868.2839965916264</v>
      </c>
      <c r="G22" s="146">
        <v>0</v>
      </c>
      <c r="H22" s="146">
        <f t="shared" si="1"/>
        <v>-335398.41935954936</v>
      </c>
      <c r="I22" s="146">
        <f t="shared" si="2"/>
        <v>-15020.628650360281</v>
      </c>
      <c r="J22" s="146">
        <f t="shared" si="2"/>
        <v>-1816.8787560954884</v>
      </c>
      <c r="K22" s="146">
        <f t="shared" si="3"/>
        <v>-288792.78198746999</v>
      </c>
    </row>
    <row r="23" spans="1:11" x14ac:dyDescent="0.25">
      <c r="F23" s="145"/>
      <c r="G23" s="145"/>
      <c r="H23" s="145"/>
      <c r="I23" s="145"/>
      <c r="J23" s="145"/>
      <c r="K23" s="145"/>
    </row>
    <row r="24" spans="1:11" x14ac:dyDescent="0.25">
      <c r="A24" s="55" t="s">
        <v>20</v>
      </c>
      <c r="C24" s="66">
        <f>SUM($C$16:$C$22)</f>
        <v>1</v>
      </c>
      <c r="D24" s="66">
        <f>SUM($D$16:$D$22)</f>
        <v>1</v>
      </c>
      <c r="E24" s="66">
        <f>SUM($E$16:$E$22)</f>
        <v>1</v>
      </c>
      <c r="F24" s="153">
        <f>Variance!H2</f>
        <v>56120.138590000002</v>
      </c>
      <c r="G24" s="153">
        <f>Variance!H3</f>
        <v>-2671.3160099999991</v>
      </c>
      <c r="H24" s="153">
        <f>SUM(Variance!H4:H6)</f>
        <v>-2248220.6031862162</v>
      </c>
      <c r="I24" s="153">
        <f>Variance!H7</f>
        <v>-85421.108863333342</v>
      </c>
      <c r="J24" s="153">
        <f>Variance!H8</f>
        <v>-10332.443576666667</v>
      </c>
      <c r="K24" s="153">
        <f>Variance!H9</f>
        <v>-1935816.7631066667</v>
      </c>
    </row>
    <row r="25" spans="1:11" x14ac:dyDescent="0.25">
      <c r="C25" s="66"/>
      <c r="D25" s="66"/>
      <c r="E25" s="66"/>
      <c r="F25" s="62"/>
      <c r="G25" s="62"/>
      <c r="H25" s="62"/>
      <c r="I25" s="62"/>
      <c r="J25" s="62"/>
      <c r="K25" s="62"/>
    </row>
    <row r="26" spans="1:11" x14ac:dyDescent="0.25">
      <c r="C26" s="66"/>
      <c r="D26" s="66"/>
      <c r="E26" s="66"/>
      <c r="F26" s="62"/>
      <c r="G26" s="62"/>
      <c r="H26" s="62"/>
      <c r="I26" s="62"/>
      <c r="J26" s="62"/>
      <c r="K26" s="62"/>
    </row>
    <row r="28" spans="1:11" ht="18" x14ac:dyDescent="0.25">
      <c r="A28" s="56" t="s">
        <v>57</v>
      </c>
    </row>
    <row r="29" spans="1:11" s="93" customFormat="1" ht="23.25" customHeight="1" x14ac:dyDescent="0.25">
      <c r="A29" s="99"/>
      <c r="B29" s="100"/>
      <c r="C29" s="167" t="s">
        <v>66</v>
      </c>
      <c r="D29" s="167" t="s">
        <v>65</v>
      </c>
      <c r="E29" s="167" t="s">
        <v>67</v>
      </c>
      <c r="F29" s="101"/>
      <c r="G29" s="102"/>
      <c r="H29" s="102" t="s">
        <v>31</v>
      </c>
      <c r="I29" s="101"/>
      <c r="J29" s="101"/>
      <c r="K29" s="102" t="s">
        <v>31</v>
      </c>
    </row>
    <row r="30" spans="1:11" s="93" customFormat="1" ht="15.75" x14ac:dyDescent="0.25">
      <c r="A30" s="103" t="s">
        <v>9</v>
      </c>
      <c r="B30" s="104"/>
      <c r="C30" s="168"/>
      <c r="D30" s="168"/>
      <c r="E30" s="168"/>
      <c r="F30" s="105">
        <v>1550</v>
      </c>
      <c r="G30" s="105">
        <v>1551</v>
      </c>
      <c r="H30" s="105">
        <v>1580</v>
      </c>
      <c r="I30" s="105">
        <v>1584</v>
      </c>
      <c r="J30" s="105">
        <v>1586</v>
      </c>
      <c r="K30" s="105">
        <v>1588</v>
      </c>
    </row>
    <row r="31" spans="1:11" ht="16.5" x14ac:dyDescent="0.3">
      <c r="B31" s="57"/>
      <c r="C31" s="58"/>
      <c r="D31" s="59"/>
      <c r="E31" s="59"/>
      <c r="F31" s="59"/>
      <c r="G31" s="59"/>
      <c r="H31" s="59"/>
      <c r="I31" s="58"/>
      <c r="J31" s="59"/>
    </row>
    <row r="32" spans="1:11" x14ac:dyDescent="0.25">
      <c r="A32" s="60" t="s">
        <v>11</v>
      </c>
      <c r="C32" s="61">
        <f>'Billing Determinants'!C17/SUM('Billing Determinants'!$C$17:$C$22)</f>
        <v>0.48504487984854561</v>
      </c>
      <c r="D32" s="61">
        <f>'Billing Determinants'!L17/'Billing Determinants'!$L$24</f>
        <v>0.88953214722771345</v>
      </c>
      <c r="E32" s="61">
        <f>'Billing Determinants'!I17/SUM('Billing Determinants'!$I$17:$I$22)</f>
        <v>0.48984773034046747</v>
      </c>
      <c r="F32" s="145">
        <f>F$40*$C32</f>
        <v>2643.6781328969778</v>
      </c>
      <c r="G32" s="145">
        <f>D32*G40</f>
        <v>0</v>
      </c>
      <c r="H32" s="145">
        <f>$E32*H$40</f>
        <v>826945.35392168921</v>
      </c>
      <c r="I32" s="145">
        <f>I$40*$C32</f>
        <v>27115.042097096906</v>
      </c>
      <c r="J32" s="145">
        <f>J$40*$C32</f>
        <v>53486.994360812256</v>
      </c>
      <c r="K32" s="145">
        <f>$E32*K$40</f>
        <v>1014285.0793389913</v>
      </c>
    </row>
    <row r="33" spans="1:11" x14ac:dyDescent="0.25">
      <c r="A33" s="60" t="s">
        <v>13</v>
      </c>
      <c r="C33" s="61">
        <f>'Billing Determinants'!C18/SUM('Billing Determinants'!$C$17:$C$22)</f>
        <v>0.15706325663349749</v>
      </c>
      <c r="D33" s="61">
        <f>'Billing Determinants'!L18/'Billing Determinants'!$L$24</f>
        <v>0.11046785277228655</v>
      </c>
      <c r="E33" s="61">
        <f>'Billing Determinants'!I18/SUM('Billing Determinants'!$I$17:$I$22)</f>
        <v>0.15861847630640816</v>
      </c>
      <c r="F33" s="145">
        <f t="shared" ref="F33:F37" si="4">F$40*$C33</f>
        <v>856.05418033320279</v>
      </c>
      <c r="G33" s="145">
        <f>D33*G40</f>
        <v>0</v>
      </c>
      <c r="H33" s="145">
        <f t="shared" ref="H33:H37" si="5">$E33*H$40</f>
        <v>267774.6652751728</v>
      </c>
      <c r="I33" s="145">
        <f t="shared" ref="I33:J37" si="6">I$40*$C33</f>
        <v>8780.170644939526</v>
      </c>
      <c r="J33" s="145">
        <f t="shared" si="6"/>
        <v>17319.720031824345</v>
      </c>
      <c r="K33" s="145">
        <f t="shared" ref="K33:K37" si="7">$E33*K$40</f>
        <v>328437.47936374601</v>
      </c>
    </row>
    <row r="34" spans="1:11" x14ac:dyDescent="0.25">
      <c r="A34" s="60" t="s">
        <v>14</v>
      </c>
      <c r="C34" s="61">
        <f>'Billing Determinants'!C19/SUM('Billing Determinants'!$C$17:$C$22)</f>
        <v>0.3491057881995922</v>
      </c>
      <c r="D34" s="61">
        <v>0</v>
      </c>
      <c r="E34" s="61">
        <f>'Billing Determinants'!I19/SUM('Billing Determinants'!$I$17:$I$22)</f>
        <v>0.34266071947458926</v>
      </c>
      <c r="F34" s="145">
        <f t="shared" si="4"/>
        <v>1902.7586449715889</v>
      </c>
      <c r="G34" s="145">
        <v>0</v>
      </c>
      <c r="H34" s="145">
        <f t="shared" si="5"/>
        <v>578468.92491269694</v>
      </c>
      <c r="I34" s="145">
        <f t="shared" si="6"/>
        <v>19515.757276580029</v>
      </c>
      <c r="J34" s="145">
        <f t="shared" si="6"/>
        <v>38496.683710152756</v>
      </c>
      <c r="K34" s="145">
        <f t="shared" si="7"/>
        <v>709517.74094588927</v>
      </c>
    </row>
    <row r="35" spans="1:11" x14ac:dyDescent="0.25">
      <c r="A35" s="60" t="s">
        <v>16</v>
      </c>
      <c r="C35" s="61">
        <f>'Billing Determinants'!C20/SUM('Billing Determinants'!$C$17:$C$22)</f>
        <v>9.7455060318118558E-4</v>
      </c>
      <c r="D35" s="61">
        <v>0</v>
      </c>
      <c r="E35" s="61">
        <f>'Billing Determinants'!I20/SUM('Billing Determinants'!$I$17:$I$22)</f>
        <v>9.8420047484945876E-4</v>
      </c>
      <c r="F35" s="145">
        <f t="shared" si="4"/>
        <v>5.3116695507354619</v>
      </c>
      <c r="G35" s="145">
        <v>0</v>
      </c>
      <c r="H35" s="145">
        <f t="shared" si="5"/>
        <v>1661.4959294362659</v>
      </c>
      <c r="I35" s="145">
        <f t="shared" si="6"/>
        <v>54.479454848096083</v>
      </c>
      <c r="J35" s="145">
        <f t="shared" si="6"/>
        <v>107.46589600730233</v>
      </c>
      <c r="K35" s="145">
        <f t="shared" si="7"/>
        <v>2037.8982995885642</v>
      </c>
    </row>
    <row r="36" spans="1:11" x14ac:dyDescent="0.25">
      <c r="A36" s="60" t="s">
        <v>17</v>
      </c>
      <c r="C36" s="61">
        <f>'Billing Determinants'!C21/SUM('Billing Determinants'!$C$17:$C$22)</f>
        <v>9.4837568244910428E-4</v>
      </c>
      <c r="D36" s="61">
        <v>0</v>
      </c>
      <c r="E36" s="61">
        <f>'Billing Determinants'!I21/SUM('Billing Determinants'!$I$17:$I$22)</f>
        <v>9.5776637350103271E-4</v>
      </c>
      <c r="F36" s="145">
        <f t="shared" si="4"/>
        <v>5.1690063283315428</v>
      </c>
      <c r="G36" s="145">
        <v>0</v>
      </c>
      <c r="H36" s="145">
        <f t="shared" si="5"/>
        <v>1616.8707205372014</v>
      </c>
      <c r="I36" s="145">
        <f t="shared" si="6"/>
        <v>53.016221017527307</v>
      </c>
      <c r="J36" s="145">
        <f t="shared" si="6"/>
        <v>104.57952838286994</v>
      </c>
      <c r="K36" s="145">
        <f t="shared" si="7"/>
        <v>1983.1635056459488</v>
      </c>
    </row>
    <row r="37" spans="1:11" x14ac:dyDescent="0.25">
      <c r="A37" s="60" t="s">
        <v>18</v>
      </c>
      <c r="C37" s="61">
        <f>'Billing Determinants'!C22/SUM('Billing Determinants'!$C$17:$C$22)</f>
        <v>6.8631490327344087E-3</v>
      </c>
      <c r="D37" s="61">
        <v>0</v>
      </c>
      <c r="E37" s="61">
        <f>'Billing Determinants'!I22/SUM('Billing Determinants'!$I$17:$I$22)</f>
        <v>6.9311070301846522E-3</v>
      </c>
      <c r="F37" s="145">
        <f t="shared" si="4"/>
        <v>37.40675919786726</v>
      </c>
      <c r="G37" s="145">
        <v>0</v>
      </c>
      <c r="H37" s="145">
        <f t="shared" si="5"/>
        <v>11700.87437612784</v>
      </c>
      <c r="I37" s="145">
        <f t="shared" si="6"/>
        <v>383.66465181397461</v>
      </c>
      <c r="J37" s="145">
        <f t="shared" si="6"/>
        <v>756.81494406435615</v>
      </c>
      <c r="K37" s="145">
        <f t="shared" si="7"/>
        <v>14351.640333479985</v>
      </c>
    </row>
    <row r="38" spans="1:11" ht="15.75" thickBot="1" x14ac:dyDescent="0.3">
      <c r="A38" s="63" t="s">
        <v>19</v>
      </c>
      <c r="B38" s="64"/>
      <c r="C38" s="65"/>
      <c r="D38" s="65"/>
      <c r="E38" s="65"/>
      <c r="F38" s="146"/>
      <c r="G38" s="146"/>
      <c r="H38" s="146"/>
      <c r="I38" s="146"/>
      <c r="J38" s="146"/>
      <c r="K38" s="146"/>
    </row>
    <row r="39" spans="1:11" x14ac:dyDescent="0.25">
      <c r="F39" s="145"/>
      <c r="G39" s="145"/>
      <c r="H39" s="145"/>
      <c r="I39" s="145"/>
      <c r="J39" s="145"/>
      <c r="K39" s="145"/>
    </row>
    <row r="40" spans="1:11" x14ac:dyDescent="0.25">
      <c r="A40" s="55" t="s">
        <v>20</v>
      </c>
      <c r="C40" s="66">
        <f>SUM($C$32:$C$38)</f>
        <v>1</v>
      </c>
      <c r="D40" s="66">
        <f>SUM($D$32:$D$38)</f>
        <v>1</v>
      </c>
      <c r="E40" s="66">
        <f>SUM($E$32:$E$38)</f>
        <v>0.99999999999999989</v>
      </c>
      <c r="F40" s="153">
        <f>Variance!K2</f>
        <v>5450.3783932787037</v>
      </c>
      <c r="G40" s="153">
        <f>Variance!K3</f>
        <v>0</v>
      </c>
      <c r="H40" s="153">
        <f>SUM(Variance!K4:K6)</f>
        <v>1688168.1851356602</v>
      </c>
      <c r="I40" s="153">
        <f>Variance!K7</f>
        <v>55902.130346296057</v>
      </c>
      <c r="J40" s="153">
        <f>Variance!K8</f>
        <v>110272.25847124388</v>
      </c>
      <c r="K40" s="153">
        <f>Variance!K9</f>
        <v>2070613.001787341</v>
      </c>
    </row>
  </sheetData>
  <mergeCells count="6">
    <mergeCell ref="C29:C30"/>
    <mergeCell ref="D29:D30"/>
    <mergeCell ref="E29:E30"/>
    <mergeCell ref="C13:C14"/>
    <mergeCell ref="D13:D14"/>
    <mergeCell ref="E13:E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52"/>
  <sheetViews>
    <sheetView topLeftCell="A31" zoomScaleNormal="100" workbookViewId="0">
      <selection activeCell="D18" sqref="D18"/>
    </sheetView>
  </sheetViews>
  <sheetFormatPr defaultColWidth="9.140625" defaultRowHeight="15" x14ac:dyDescent="0.25"/>
  <cols>
    <col min="1" max="1" width="61.42578125" style="55" customWidth="1"/>
    <col min="2" max="2" width="9.140625" style="11"/>
    <col min="3" max="4" width="25.28515625" style="11" customWidth="1"/>
    <col min="5" max="14" width="10.140625" style="125" customWidth="1"/>
    <col min="15" max="16384" width="9.140625" style="11"/>
  </cols>
  <sheetData>
    <row r="12" spans="1:14" ht="18" x14ac:dyDescent="0.25">
      <c r="A12" s="56" t="s">
        <v>56</v>
      </c>
    </row>
    <row r="13" spans="1:14" s="106" customFormat="1" ht="30" customHeight="1" x14ac:dyDescent="0.25">
      <c r="A13" s="122"/>
      <c r="B13" s="123"/>
      <c r="C13" s="169" t="s">
        <v>60</v>
      </c>
      <c r="D13" s="169" t="s">
        <v>61</v>
      </c>
      <c r="E13" s="171"/>
      <c r="F13" s="101"/>
      <c r="G13" s="102"/>
      <c r="H13" s="102"/>
      <c r="I13" s="101"/>
      <c r="J13" s="101"/>
      <c r="K13" s="102"/>
      <c r="L13" s="171"/>
      <c r="M13" s="171"/>
      <c r="N13" s="171"/>
    </row>
    <row r="14" spans="1:14" s="106" customFormat="1" ht="30" customHeight="1" x14ac:dyDescent="0.25">
      <c r="A14" s="103" t="s">
        <v>9</v>
      </c>
      <c r="B14" s="104"/>
      <c r="C14" s="170"/>
      <c r="D14" s="170"/>
      <c r="E14" s="171"/>
      <c r="F14" s="126"/>
      <c r="G14" s="126"/>
      <c r="H14" s="126"/>
      <c r="I14" s="126"/>
      <c r="J14" s="126"/>
      <c r="K14" s="126"/>
      <c r="L14" s="171"/>
      <c r="M14" s="172"/>
      <c r="N14" s="172"/>
    </row>
    <row r="15" spans="1:14" ht="16.5" x14ac:dyDescent="0.3">
      <c r="A15" s="135"/>
      <c r="B15" s="136"/>
      <c r="C15" s="137"/>
      <c r="D15" s="138"/>
      <c r="E15" s="127"/>
      <c r="F15" s="127"/>
      <c r="G15" s="127"/>
      <c r="H15" s="127"/>
      <c r="I15" s="128"/>
      <c r="J15" s="127"/>
    </row>
    <row r="16" spans="1:14" ht="15.75" customHeight="1" x14ac:dyDescent="0.25">
      <c r="A16" s="139" t="s">
        <v>11</v>
      </c>
      <c r="B16" s="125"/>
      <c r="C16" s="147">
        <f>SUM('Allocating Def-Var Balances'!F16:K16)</f>
        <v>-1762002.3840536333</v>
      </c>
      <c r="D16" s="147">
        <v>0</v>
      </c>
      <c r="E16" s="129"/>
      <c r="F16" s="130"/>
      <c r="G16" s="130"/>
      <c r="H16" s="130"/>
      <c r="I16" s="130"/>
      <c r="J16" s="130"/>
      <c r="K16" s="130"/>
      <c r="L16" s="130"/>
      <c r="M16" s="130"/>
      <c r="N16" s="130"/>
    </row>
    <row r="17" spans="1:14" ht="15.75" customHeight="1" x14ac:dyDescent="0.25">
      <c r="A17" s="139" t="s">
        <v>13</v>
      </c>
      <c r="B17" s="125"/>
      <c r="C17" s="147">
        <f>SUM('Allocating Def-Var Balances'!F17:K17)</f>
        <v>-570082.8132384487</v>
      </c>
      <c r="D17" s="147">
        <v>0</v>
      </c>
      <c r="E17" s="129"/>
      <c r="F17" s="130"/>
      <c r="G17" s="130"/>
      <c r="H17" s="130"/>
      <c r="I17" s="130"/>
      <c r="J17" s="130"/>
      <c r="K17" s="130"/>
      <c r="L17" s="130"/>
      <c r="M17" s="130"/>
      <c r="N17" s="130"/>
    </row>
    <row r="18" spans="1:14" ht="15.75" customHeight="1" x14ac:dyDescent="0.25">
      <c r="A18" s="139" t="s">
        <v>14</v>
      </c>
      <c r="B18" s="125"/>
      <c r="C18" s="147">
        <f>SUM('Allocating Def-Var Balances'!F18:G18,'Allocating Def-Var Balances'!I18:J18)</f>
        <v>-11403.257949505214</v>
      </c>
      <c r="D18" s="147">
        <f>SUM('Allocating Def-Var Balances'!H18,'Allocating Def-Var Balances'!K18)</f>
        <v>-1219819.4480992069</v>
      </c>
      <c r="E18" s="129"/>
      <c r="F18" s="130"/>
      <c r="G18" s="130"/>
      <c r="H18" s="130"/>
      <c r="I18" s="130"/>
      <c r="J18" s="130"/>
      <c r="K18" s="130"/>
      <c r="L18" s="130"/>
      <c r="M18" s="130"/>
      <c r="N18" s="130"/>
    </row>
    <row r="19" spans="1:14" ht="15.75" customHeight="1" x14ac:dyDescent="0.25">
      <c r="A19" s="139" t="s">
        <v>16</v>
      </c>
      <c r="B19" s="125"/>
      <c r="C19" s="147">
        <f>SUM('Allocating Def-Var Balances'!F19:K19)</f>
        <v>-3535.435192426603</v>
      </c>
      <c r="D19" s="147">
        <v>0</v>
      </c>
      <c r="E19" s="129"/>
      <c r="F19" s="130"/>
      <c r="G19" s="130"/>
      <c r="H19" s="130"/>
      <c r="I19" s="130"/>
      <c r="J19" s="130"/>
      <c r="K19" s="130"/>
      <c r="L19" s="130"/>
      <c r="M19" s="130"/>
      <c r="N19" s="130"/>
    </row>
    <row r="20" spans="1:14" ht="15.75" customHeight="1" x14ac:dyDescent="0.25">
      <c r="A20" s="139" t="s">
        <v>17</v>
      </c>
      <c r="B20" s="125"/>
      <c r="C20" s="147">
        <f>SUM('Allocating Def-Var Balances'!F20:K20)</f>
        <v>-3440.4788755220702</v>
      </c>
      <c r="D20" s="147">
        <v>0</v>
      </c>
      <c r="E20" s="129"/>
      <c r="F20" s="130"/>
      <c r="G20" s="130"/>
      <c r="H20" s="130"/>
      <c r="I20" s="130"/>
      <c r="J20" s="130"/>
      <c r="K20" s="130"/>
      <c r="L20" s="130"/>
      <c r="M20" s="130"/>
      <c r="N20" s="130"/>
    </row>
    <row r="21" spans="1:14" ht="15.75" customHeight="1" x14ac:dyDescent="0.25">
      <c r="A21" s="139" t="s">
        <v>18</v>
      </c>
      <c r="B21" s="125"/>
      <c r="C21" s="147">
        <f>SUM('Allocating Def-Var Balances'!F21:K21)</f>
        <v>-24897.853987256422</v>
      </c>
      <c r="D21" s="147">
        <v>0</v>
      </c>
      <c r="E21" s="129"/>
      <c r="F21" s="130"/>
      <c r="G21" s="130"/>
      <c r="H21" s="130"/>
      <c r="I21" s="130"/>
      <c r="J21" s="130"/>
      <c r="K21" s="130"/>
      <c r="L21" s="130"/>
      <c r="M21" s="130"/>
      <c r="N21" s="130"/>
    </row>
    <row r="22" spans="1:14" ht="15.75" customHeight="1" thickBot="1" x14ac:dyDescent="0.3">
      <c r="A22" s="63" t="s">
        <v>19</v>
      </c>
      <c r="B22" s="64"/>
      <c r="C22" s="148">
        <f>SUM('Allocating Def-Var Balances'!F22:G22,'Allocating Def-Var Balances'!I22:J22)</f>
        <v>-6969.223409864142</v>
      </c>
      <c r="D22" s="148">
        <f>SUM('Allocating Def-Var Balances'!H22,'Allocating Def-Var Balances'!K22)</f>
        <v>-624191.20134701929</v>
      </c>
      <c r="E22" s="129"/>
      <c r="F22" s="130"/>
      <c r="G22" s="130"/>
      <c r="H22" s="130"/>
      <c r="I22" s="130"/>
      <c r="J22" s="130"/>
      <c r="K22" s="130"/>
      <c r="L22" s="130"/>
      <c r="M22" s="130"/>
      <c r="N22" s="130"/>
    </row>
    <row r="23" spans="1:14" x14ac:dyDescent="0.25">
      <c r="C23" s="145"/>
      <c r="D23" s="145"/>
      <c r="F23" s="130"/>
      <c r="G23" s="130"/>
      <c r="H23" s="130"/>
      <c r="I23" s="130"/>
      <c r="J23" s="130"/>
      <c r="K23" s="130"/>
      <c r="L23" s="130"/>
      <c r="M23" s="130"/>
      <c r="N23" s="130"/>
    </row>
    <row r="24" spans="1:14" x14ac:dyDescent="0.25">
      <c r="A24" s="55" t="s">
        <v>20</v>
      </c>
      <c r="C24" s="145">
        <f>SUM(C16:C22)</f>
        <v>-2382331.4467066564</v>
      </c>
      <c r="D24" s="145">
        <f>SUM(D16:D22)</f>
        <v>-1844010.6494462262</v>
      </c>
      <c r="E24" s="131"/>
      <c r="F24" s="130"/>
      <c r="G24" s="130"/>
      <c r="H24" s="130"/>
      <c r="I24" s="130"/>
      <c r="J24" s="130"/>
      <c r="K24" s="130"/>
      <c r="L24" s="132"/>
      <c r="M24" s="132"/>
      <c r="N24" s="132"/>
    </row>
    <row r="26" spans="1:14" ht="18" x14ac:dyDescent="0.25">
      <c r="A26" s="56" t="s">
        <v>57</v>
      </c>
    </row>
    <row r="27" spans="1:14" s="93" customFormat="1" ht="28.5" customHeight="1" x14ac:dyDescent="0.25">
      <c r="A27" s="122"/>
      <c r="B27" s="123"/>
      <c r="C27" s="169" t="s">
        <v>60</v>
      </c>
      <c r="D27" s="169" t="s">
        <v>61</v>
      </c>
      <c r="E27" s="171"/>
      <c r="F27" s="101"/>
      <c r="G27" s="102"/>
      <c r="H27" s="102"/>
      <c r="I27" s="101"/>
      <c r="J27" s="101"/>
      <c r="K27" s="102"/>
      <c r="L27" s="171"/>
      <c r="M27" s="171"/>
      <c r="N27" s="171"/>
    </row>
    <row r="28" spans="1:14" s="93" customFormat="1" ht="28.5" customHeight="1" x14ac:dyDescent="0.25">
      <c r="A28" s="103" t="s">
        <v>9</v>
      </c>
      <c r="B28" s="104"/>
      <c r="C28" s="170"/>
      <c r="D28" s="170"/>
      <c r="E28" s="171"/>
      <c r="F28" s="126"/>
      <c r="G28" s="126"/>
      <c r="H28" s="126"/>
      <c r="I28" s="126"/>
      <c r="J28" s="126"/>
      <c r="K28" s="126"/>
      <c r="L28" s="171"/>
      <c r="M28" s="172"/>
      <c r="N28" s="172"/>
    </row>
    <row r="29" spans="1:14" ht="16.5" x14ac:dyDescent="0.3">
      <c r="B29" s="57"/>
      <c r="C29" s="58"/>
      <c r="D29" s="59"/>
      <c r="E29" s="127"/>
      <c r="F29" s="127"/>
      <c r="G29" s="127"/>
      <c r="H29" s="127"/>
      <c r="I29" s="128"/>
      <c r="J29" s="127"/>
    </row>
    <row r="30" spans="1:14" x14ac:dyDescent="0.25">
      <c r="A30" s="60" t="s">
        <v>11</v>
      </c>
      <c r="C30" s="149">
        <f>SUM('Allocating Def-Var Balances'!F32:K32)</f>
        <v>1924476.1478514867</v>
      </c>
      <c r="D30" s="149">
        <v>0</v>
      </c>
      <c r="E30" s="129"/>
      <c r="F30" s="130"/>
      <c r="G30" s="130"/>
      <c r="H30" s="130"/>
      <c r="I30" s="130"/>
      <c r="J30" s="130"/>
      <c r="K30" s="130"/>
      <c r="L30" s="130"/>
      <c r="M30" s="130"/>
      <c r="N30" s="130"/>
    </row>
    <row r="31" spans="1:14" x14ac:dyDescent="0.25">
      <c r="A31" s="60" t="s">
        <v>13</v>
      </c>
      <c r="C31" s="149">
        <f>SUM('Allocating Def-Var Balances'!F33:K33)</f>
        <v>623168.08949601592</v>
      </c>
      <c r="D31" s="149">
        <v>0</v>
      </c>
      <c r="E31" s="129"/>
      <c r="F31" s="130"/>
      <c r="G31" s="130"/>
      <c r="H31" s="130"/>
      <c r="I31" s="130"/>
      <c r="J31" s="130"/>
      <c r="K31" s="130"/>
      <c r="L31" s="130"/>
      <c r="M31" s="130"/>
      <c r="N31" s="130"/>
    </row>
    <row r="32" spans="1:14" x14ac:dyDescent="0.25">
      <c r="A32" s="60" t="s">
        <v>14</v>
      </c>
      <c r="C32" s="149">
        <f>SUM('Allocating Def-Var Balances'!F34:G34,'Allocating Def-Var Balances'!I34:J34)</f>
        <v>59915.199631704374</v>
      </c>
      <c r="D32" s="149">
        <f>SUM('Allocating Def-Var Balances'!H34,'Allocating Def-Var Balances'!K34)</f>
        <v>1287986.6658585863</v>
      </c>
      <c r="E32" s="129"/>
      <c r="F32" s="130"/>
      <c r="G32" s="130"/>
      <c r="H32" s="130"/>
      <c r="I32" s="130"/>
      <c r="J32" s="130"/>
      <c r="K32" s="130"/>
      <c r="L32" s="130"/>
      <c r="M32" s="130"/>
      <c r="N32" s="130"/>
    </row>
    <row r="33" spans="1:14" x14ac:dyDescent="0.25">
      <c r="A33" s="60" t="s">
        <v>16</v>
      </c>
      <c r="C33" s="149">
        <f>SUM('Allocating Def-Var Balances'!F35:K35)</f>
        <v>3866.6512494309636</v>
      </c>
      <c r="D33" s="149">
        <v>0</v>
      </c>
      <c r="E33" s="129"/>
      <c r="F33" s="130"/>
      <c r="G33" s="130"/>
      <c r="H33" s="130"/>
      <c r="I33" s="130"/>
      <c r="J33" s="130"/>
      <c r="K33" s="130"/>
      <c r="L33" s="130"/>
      <c r="M33" s="130"/>
      <c r="N33" s="130"/>
    </row>
    <row r="34" spans="1:14" x14ac:dyDescent="0.25">
      <c r="A34" s="60" t="s">
        <v>17</v>
      </c>
      <c r="C34" s="149">
        <f>SUM('Allocating Def-Var Balances'!F36:K36)</f>
        <v>3762.7989819118793</v>
      </c>
      <c r="D34" s="149">
        <v>0</v>
      </c>
      <c r="E34" s="129"/>
      <c r="F34" s="130"/>
      <c r="G34" s="130"/>
      <c r="H34" s="130"/>
      <c r="I34" s="130"/>
      <c r="J34" s="130"/>
      <c r="K34" s="130"/>
      <c r="L34" s="130"/>
      <c r="M34" s="130"/>
      <c r="N34" s="130"/>
    </row>
    <row r="35" spans="1:14" x14ac:dyDescent="0.25">
      <c r="A35" s="60" t="s">
        <v>18</v>
      </c>
      <c r="C35" s="149">
        <f>SUM('Allocating Def-Var Balances'!F37:K37)</f>
        <v>27230.401064684025</v>
      </c>
      <c r="D35" s="149">
        <v>0</v>
      </c>
      <c r="E35" s="129"/>
      <c r="F35" s="130"/>
      <c r="G35" s="130"/>
      <c r="H35" s="130"/>
      <c r="I35" s="130"/>
      <c r="J35" s="130"/>
      <c r="K35" s="130"/>
      <c r="L35" s="130"/>
      <c r="M35" s="130"/>
      <c r="N35" s="130"/>
    </row>
    <row r="36" spans="1:14" ht="15.75" thickBot="1" x14ac:dyDescent="0.3">
      <c r="A36" s="63" t="s">
        <v>19</v>
      </c>
      <c r="B36" s="64"/>
      <c r="C36" s="148"/>
      <c r="D36" s="148"/>
      <c r="E36" s="129"/>
      <c r="F36" s="130"/>
      <c r="G36" s="130"/>
      <c r="H36" s="130"/>
      <c r="I36" s="130"/>
      <c r="J36" s="130"/>
      <c r="K36" s="130"/>
      <c r="L36" s="130"/>
      <c r="M36" s="130"/>
      <c r="N36" s="130"/>
    </row>
    <row r="37" spans="1:14" x14ac:dyDescent="0.25">
      <c r="C37" s="145"/>
      <c r="D37" s="145"/>
      <c r="F37" s="130"/>
      <c r="G37" s="130"/>
      <c r="H37" s="130"/>
      <c r="I37" s="130"/>
      <c r="J37" s="130"/>
      <c r="K37" s="130"/>
      <c r="L37" s="130"/>
      <c r="M37" s="130"/>
      <c r="N37" s="130"/>
    </row>
    <row r="38" spans="1:14" x14ac:dyDescent="0.25">
      <c r="A38" s="55" t="s">
        <v>20</v>
      </c>
      <c r="C38" s="145">
        <f>SUM(C30:C36)</f>
        <v>2642419.2882752344</v>
      </c>
      <c r="D38" s="145">
        <f>SUM(D30:D36)</f>
        <v>1287986.6658585863</v>
      </c>
      <c r="E38" s="131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x14ac:dyDescent="0.25">
      <c r="C39" s="124"/>
      <c r="D39" s="124"/>
    </row>
    <row r="40" spans="1:14" ht="18" x14ac:dyDescent="0.25">
      <c r="A40" s="56" t="s">
        <v>58</v>
      </c>
    </row>
    <row r="41" spans="1:14" ht="27" customHeight="1" x14ac:dyDescent="0.25">
      <c r="A41" s="122"/>
      <c r="B41" s="123"/>
      <c r="C41" s="169" t="s">
        <v>60</v>
      </c>
      <c r="D41" s="169" t="s">
        <v>61</v>
      </c>
    </row>
    <row r="42" spans="1:14" ht="27" customHeight="1" x14ac:dyDescent="0.25">
      <c r="A42" s="103" t="s">
        <v>9</v>
      </c>
      <c r="B42" s="104"/>
      <c r="C42" s="170"/>
      <c r="D42" s="170"/>
    </row>
    <row r="43" spans="1:14" ht="16.5" x14ac:dyDescent="0.3">
      <c r="B43" s="57"/>
      <c r="C43" s="58"/>
      <c r="D43" s="59"/>
    </row>
    <row r="44" spans="1:14" x14ac:dyDescent="0.25">
      <c r="A44" s="60" t="s">
        <v>11</v>
      </c>
      <c r="C44" s="149">
        <f>C16+C30</f>
        <v>162473.76379785337</v>
      </c>
      <c r="D44" s="149">
        <f>D30+D16</f>
        <v>0</v>
      </c>
    </row>
    <row r="45" spans="1:14" x14ac:dyDescent="0.25">
      <c r="A45" s="60" t="s">
        <v>13</v>
      </c>
      <c r="C45" s="149">
        <f t="shared" ref="C45:C50" si="0">C17+C31</f>
        <v>53085.276257567224</v>
      </c>
      <c r="D45" s="149">
        <f t="shared" ref="D45:D50" si="1">D31+D17</f>
        <v>0</v>
      </c>
    </row>
    <row r="46" spans="1:14" x14ac:dyDescent="0.25">
      <c r="A46" s="60" t="s">
        <v>14</v>
      </c>
      <c r="C46" s="149">
        <f t="shared" si="0"/>
        <v>48511.941682199162</v>
      </c>
      <c r="D46" s="149">
        <f t="shared" si="1"/>
        <v>68167.217759379419</v>
      </c>
    </row>
    <row r="47" spans="1:14" x14ac:dyDescent="0.25">
      <c r="A47" s="60" t="s">
        <v>16</v>
      </c>
      <c r="C47" s="149">
        <f t="shared" si="0"/>
        <v>331.21605700436066</v>
      </c>
      <c r="D47" s="149">
        <f t="shared" si="1"/>
        <v>0</v>
      </c>
    </row>
    <row r="48" spans="1:14" x14ac:dyDescent="0.25">
      <c r="A48" s="60" t="s">
        <v>17</v>
      </c>
      <c r="C48" s="149">
        <f t="shared" si="0"/>
        <v>322.3201063898091</v>
      </c>
      <c r="D48" s="149">
        <f t="shared" si="1"/>
        <v>0</v>
      </c>
    </row>
    <row r="49" spans="1:4" x14ac:dyDescent="0.25">
      <c r="A49" s="60" t="s">
        <v>18</v>
      </c>
      <c r="C49" s="149">
        <f t="shared" si="0"/>
        <v>2332.5470774276037</v>
      </c>
      <c r="D49" s="149">
        <f t="shared" si="1"/>
        <v>0</v>
      </c>
    </row>
    <row r="50" spans="1:4" ht="15.75" thickBot="1" x14ac:dyDescent="0.3">
      <c r="A50" s="63" t="s">
        <v>19</v>
      </c>
      <c r="B50" s="64"/>
      <c r="C50" s="148">
        <f t="shared" si="0"/>
        <v>-6969.223409864142</v>
      </c>
      <c r="D50" s="148">
        <f t="shared" si="1"/>
        <v>-624191.20134701929</v>
      </c>
    </row>
    <row r="51" spans="1:4" x14ac:dyDescent="0.25">
      <c r="C51" s="145"/>
      <c r="D51" s="145"/>
    </row>
    <row r="52" spans="1:4" x14ac:dyDescent="0.25">
      <c r="A52" s="55" t="s">
        <v>20</v>
      </c>
      <c r="C52" s="145">
        <f>SUM(C44:C50)</f>
        <v>260087.84156857737</v>
      </c>
      <c r="D52" s="145">
        <f>SUM(D44:D50)</f>
        <v>-556023.98358763987</v>
      </c>
    </row>
  </sheetData>
  <mergeCells count="14">
    <mergeCell ref="M27:M28"/>
    <mergeCell ref="N27:N28"/>
    <mergeCell ref="C13:C14"/>
    <mergeCell ref="D13:D14"/>
    <mergeCell ref="E13:E14"/>
    <mergeCell ref="L13:L14"/>
    <mergeCell ref="M13:M14"/>
    <mergeCell ref="N13:N14"/>
    <mergeCell ref="D27:D28"/>
    <mergeCell ref="C41:C42"/>
    <mergeCell ref="D41:D42"/>
    <mergeCell ref="C27:C28"/>
    <mergeCell ref="E27:E28"/>
    <mergeCell ref="L27:L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C13" sqref="C13"/>
    </sheetView>
  </sheetViews>
  <sheetFormatPr defaultColWidth="9.140625" defaultRowHeight="15" x14ac:dyDescent="0.25"/>
  <cols>
    <col min="1" max="1" width="56.7109375" style="11" bestFit="1" customWidth="1"/>
    <col min="2" max="2" width="9.140625" style="11"/>
    <col min="3" max="3" width="14.140625" style="11" customWidth="1"/>
    <col min="4" max="6" width="14.42578125" style="11" customWidth="1"/>
    <col min="7" max="8" width="22.5703125" style="11" customWidth="1"/>
    <col min="9" max="9" width="16.7109375" style="11" customWidth="1"/>
    <col min="10" max="10" width="21.28515625" style="11" customWidth="1"/>
    <col min="11" max="11" width="9.140625" style="11"/>
    <col min="12" max="12" width="12" style="11" bestFit="1" customWidth="1"/>
    <col min="13" max="16384" width="9.140625" style="11"/>
  </cols>
  <sheetData>
    <row r="1" spans="1:10" x14ac:dyDescent="0.25">
      <c r="A1" s="11" t="s">
        <v>36</v>
      </c>
    </row>
    <row r="11" spans="1:10" x14ac:dyDescent="0.25">
      <c r="A11" s="176"/>
      <c r="B11" s="176"/>
      <c r="C11" s="176"/>
      <c r="D11" s="176"/>
      <c r="E11" s="176"/>
      <c r="F11" s="176"/>
      <c r="G11" s="176"/>
      <c r="H11" s="176"/>
      <c r="I11" s="176"/>
      <c r="J11" s="176"/>
    </row>
    <row r="12" spans="1:10" ht="15" customHeight="1" x14ac:dyDescent="0.25">
      <c r="A12" s="177" t="s">
        <v>32</v>
      </c>
      <c r="B12" s="178"/>
      <c r="C12" s="68">
        <v>12</v>
      </c>
      <c r="D12" s="81"/>
      <c r="E12" s="81"/>
      <c r="F12" s="81"/>
      <c r="G12" s="81"/>
      <c r="H12" s="81"/>
      <c r="I12" s="81"/>
      <c r="J12" s="81"/>
    </row>
    <row r="13" spans="1:10" x14ac:dyDescent="0.25">
      <c r="A13" s="177" t="s">
        <v>33</v>
      </c>
      <c r="B13" s="178"/>
      <c r="C13" s="69">
        <v>22</v>
      </c>
      <c r="D13" s="82" t="str">
        <f>IF(C13&gt;0, "Rate Rider Recovery to be used below", "If no rate rider recovery period is proposed then the default recovery period of 12 months will be used")</f>
        <v>Rate Rider Recovery to be used below</v>
      </c>
      <c r="E13" s="82"/>
      <c r="F13" s="82"/>
    </row>
    <row r="14" spans="1:10" x14ac:dyDescent="0.25">
      <c r="G14" s="75"/>
      <c r="H14" s="75"/>
    </row>
    <row r="15" spans="1:10" s="93" customFormat="1" ht="33" customHeight="1" x14ac:dyDescent="0.25">
      <c r="B15" s="96"/>
      <c r="C15" s="179" t="s">
        <v>37</v>
      </c>
      <c r="D15" s="180" t="s">
        <v>38</v>
      </c>
      <c r="E15" s="180" t="s">
        <v>39</v>
      </c>
      <c r="F15" s="180" t="s">
        <v>40</v>
      </c>
      <c r="G15" s="181" t="s">
        <v>54</v>
      </c>
      <c r="H15" s="181" t="s">
        <v>55</v>
      </c>
      <c r="I15" s="173" t="s">
        <v>48</v>
      </c>
      <c r="J15" s="173" t="s">
        <v>49</v>
      </c>
    </row>
    <row r="16" spans="1:10" s="93" customFormat="1" ht="27" customHeight="1" x14ac:dyDescent="0.25">
      <c r="A16" s="97" t="s">
        <v>9</v>
      </c>
      <c r="B16" s="98" t="s">
        <v>10</v>
      </c>
      <c r="C16" s="179"/>
      <c r="D16" s="180"/>
      <c r="E16" s="180"/>
      <c r="F16" s="180"/>
      <c r="G16" s="181"/>
      <c r="H16" s="181"/>
      <c r="I16" s="173"/>
      <c r="J16" s="173"/>
    </row>
    <row r="17" spans="1:12" x14ac:dyDescent="0.25">
      <c r="A17" s="60" t="s">
        <v>11</v>
      </c>
      <c r="B17" s="83" t="s">
        <v>12</v>
      </c>
      <c r="C17" s="84">
        <v>168130870</v>
      </c>
      <c r="D17" s="84">
        <v>0</v>
      </c>
      <c r="E17" s="84">
        <v>168130870</v>
      </c>
      <c r="F17" s="84">
        <v>0</v>
      </c>
      <c r="G17" s="150">
        <f>'Final Blanaces by Rate Class'!C44</f>
        <v>162473.76379785337</v>
      </c>
      <c r="H17" s="145"/>
      <c r="I17" s="152">
        <f>IF(ISERROR(G17/C17),0,IF(OR(ISBLANK(C13), OR(C13=0, C13="")), G17/C17/(C12/12), G17/C17/(C13/12)))</f>
        <v>5.2710161424042651E-4</v>
      </c>
      <c r="J17" s="152">
        <f>IF(ISERROR(H17/E17),0,IF(OR(ISBLANK(C13), OR(C13=0, C13="")), H17/E17/(C12/12), H17/E17/(C13/12)))</f>
        <v>0</v>
      </c>
      <c r="L17" s="133"/>
    </row>
    <row r="18" spans="1:12" x14ac:dyDescent="0.25">
      <c r="A18" s="60" t="s">
        <v>13</v>
      </c>
      <c r="B18" s="83" t="s">
        <v>12</v>
      </c>
      <c r="C18" s="84">
        <v>54442760</v>
      </c>
      <c r="D18" s="84">
        <v>0</v>
      </c>
      <c r="E18" s="84">
        <v>54442760</v>
      </c>
      <c r="F18" s="84">
        <v>0</v>
      </c>
      <c r="G18" s="150">
        <f>'Final Blanaces by Rate Class'!C45</f>
        <v>53085.276257567224</v>
      </c>
      <c r="H18" s="145"/>
      <c r="I18" s="152">
        <f>IF(ISERROR(G18/C18),0,IF(OR(ISBLANK(C13), OR(C13=0, C13="")), G18/C18/(C12/12), G18/C18/(C13/12)))</f>
        <v>5.318541020220192E-4</v>
      </c>
      <c r="J18" s="152">
        <f>IF(ISERROR(H18/E18),0,IF(OR(ISBLANK(C13), OR(C13=0, C13="")), H18/E18/(C12/12), H18/E18/(C13/12)))</f>
        <v>0</v>
      </c>
      <c r="L18" s="133"/>
    </row>
    <row r="19" spans="1:12" x14ac:dyDescent="0.25">
      <c r="A19" s="60" t="s">
        <v>14</v>
      </c>
      <c r="B19" s="83" t="s">
        <v>15</v>
      </c>
      <c r="C19" s="84">
        <v>121010369</v>
      </c>
      <c r="D19" s="84">
        <v>327230.45</v>
      </c>
      <c r="E19" s="84">
        <v>117611742</v>
      </c>
      <c r="F19" s="84">
        <v>321083.53000000003</v>
      </c>
      <c r="G19" s="150">
        <f>'Final Blanaces by Rate Class'!C46</f>
        <v>48511.941682199162</v>
      </c>
      <c r="H19" s="150">
        <f>'Final Blanaces by Rate Class'!D46</f>
        <v>68167.217759379419</v>
      </c>
      <c r="I19" s="152">
        <f>IF(ISERROR(G19/D19),0,IF(OR(ISBLANK(C13), OR(C13=0, C13="")), G19/D19/(C12/12), G19/D19/(C13/12)))</f>
        <v>8.0863682152383307E-2</v>
      </c>
      <c r="J19" s="152">
        <f>IF(ISERROR(H19/F19),0,IF(OR(ISBLANK(C13), OR(C13=0, C13="")), H19/F19/(C12/12), H19/F19/(C13/12)))</f>
        <v>0.11580201194948653</v>
      </c>
      <c r="L19" s="133"/>
    </row>
    <row r="20" spans="1:12" x14ac:dyDescent="0.25">
      <c r="A20" s="60" t="s">
        <v>16</v>
      </c>
      <c r="B20" s="83" t="s">
        <v>12</v>
      </c>
      <c r="C20" s="84">
        <v>337808</v>
      </c>
      <c r="D20" s="84">
        <v>0</v>
      </c>
      <c r="E20" s="84">
        <v>337808</v>
      </c>
      <c r="F20" s="84">
        <v>0</v>
      </c>
      <c r="G20" s="150">
        <f>'Final Blanaces by Rate Class'!C47</f>
        <v>331.21605700436066</v>
      </c>
      <c r="H20" s="145"/>
      <c r="I20" s="152">
        <f>IF(ISERROR(G20/C20),0,IF(OR(ISBLANK(C13), OR(C13=0, C13="")), G20/C20/(C12/12), G20/C20/(C13/12)))</f>
        <v>5.34810613782268E-4</v>
      </c>
      <c r="J20" s="152">
        <f>IF(ISERROR(H20/E20),0,IF(OR(ISBLANK(C13), OR(C13=0, C13="")), H20/E20/(C12/12), H20/E20/(C13/12)))</f>
        <v>0</v>
      </c>
      <c r="L20" s="133"/>
    </row>
    <row r="21" spans="1:12" x14ac:dyDescent="0.25">
      <c r="A21" s="60" t="s">
        <v>17</v>
      </c>
      <c r="B21" s="83" t="s">
        <v>15</v>
      </c>
      <c r="C21" s="84">
        <v>328735</v>
      </c>
      <c r="D21" s="84">
        <v>910.15</v>
      </c>
      <c r="E21" s="84">
        <v>328735</v>
      </c>
      <c r="F21" s="84">
        <v>910.15</v>
      </c>
      <c r="G21" s="150">
        <f>'Final Blanaces by Rate Class'!C48</f>
        <v>322.3201063898091</v>
      </c>
      <c r="H21" s="145"/>
      <c r="I21" s="152">
        <f>IF(ISERROR(G21/D21),0,IF(OR(ISBLANK(C13), OR(C13=0, C13="")), G21/D21/(C12/12), G21/D21/(C13/12)))</f>
        <v>0.19316702425063348</v>
      </c>
      <c r="J21" s="152">
        <f>IF(ISERROR(H21/F21),0,IF(OR(ISBLANK(C13), OR(C13=0, C13="")), H21/F21/(C12/12), H21/F21/(C13/12)))</f>
        <v>0</v>
      </c>
      <c r="L21" s="133"/>
    </row>
    <row r="22" spans="1:12" x14ac:dyDescent="0.25">
      <c r="A22" s="60" t="s">
        <v>18</v>
      </c>
      <c r="B22" s="83" t="s">
        <v>15</v>
      </c>
      <c r="C22" s="84">
        <v>2378970</v>
      </c>
      <c r="D22" s="84">
        <v>6636.32</v>
      </c>
      <c r="E22" s="84">
        <v>2378970</v>
      </c>
      <c r="F22" s="84">
        <v>6636.32</v>
      </c>
      <c r="G22" s="150">
        <f>'Final Blanaces by Rate Class'!C49</f>
        <v>2332.5470774276037</v>
      </c>
      <c r="H22" s="145"/>
      <c r="I22" s="152">
        <f>IF(ISERROR(G22/D22),0,IF(OR(ISBLANK(C13), OR(C13=0, C13="")), G22/D22/(C12/12), G22/D22/(C13/12)))</f>
        <v>0.19171745875268253</v>
      </c>
      <c r="J22" s="152">
        <f>IF(ISERROR(H22/F22),0,IF(OR(ISBLANK(C13), OR(C13=0, C13="")), H22/F22/(C12/12), H22/F22/(C13/12)))</f>
        <v>0</v>
      </c>
      <c r="L22" s="133"/>
    </row>
    <row r="23" spans="1:12" x14ac:dyDescent="0.25">
      <c r="A23" s="60" t="s">
        <v>19</v>
      </c>
      <c r="B23" s="83" t="s">
        <v>15</v>
      </c>
      <c r="C23" s="84">
        <v>73956785</v>
      </c>
      <c r="D23" s="84">
        <v>238014.71</v>
      </c>
      <c r="E23" s="84">
        <v>60182853</v>
      </c>
      <c r="F23" s="84">
        <v>142589.71</v>
      </c>
      <c r="G23" s="150">
        <f>'Final Blanaces by Rate Class'!C50</f>
        <v>-6969.223409864142</v>
      </c>
      <c r="H23" s="151">
        <f>'Final Blanaces by Rate Class'!D50</f>
        <v>-624191.20134701929</v>
      </c>
      <c r="I23" s="152">
        <f>IF(ISERROR(G23/D23),0,IF(OR(ISBLANK(C13), OR(C13=0, C13="")), G23/D23/(C12/12), G23/D23/(C13/12)))</f>
        <v>-1.5971259033522017E-2</v>
      </c>
      <c r="J23" s="152">
        <f>IF(ISERROR(H23/F23),0,IF(OR(ISBLANK(C13), OR(C13=0, C13="")), H23/F23/(C12/12), H23/F23/(C13/12)))</f>
        <v>-2.3877454271241949</v>
      </c>
      <c r="L23" s="133"/>
    </row>
    <row r="30" spans="1:12" ht="17.25" x14ac:dyDescent="0.25">
      <c r="A30" s="48"/>
    </row>
    <row r="31" spans="1:12" ht="17.25" x14ac:dyDescent="0.25">
      <c r="A31" s="174"/>
      <c r="B31" s="175"/>
      <c r="C31" s="175"/>
      <c r="D31" s="175"/>
      <c r="E31" s="175"/>
      <c r="F31" s="175"/>
      <c r="G31" s="175"/>
      <c r="H31" s="175"/>
      <c r="I31" s="175"/>
      <c r="J31" s="175"/>
    </row>
  </sheetData>
  <mergeCells count="12">
    <mergeCell ref="J15:J16"/>
    <mergeCell ref="A31:J31"/>
    <mergeCell ref="A11:J11"/>
    <mergeCell ref="A12:B12"/>
    <mergeCell ref="A13:B13"/>
    <mergeCell ref="C15:C16"/>
    <mergeCell ref="D15:D16"/>
    <mergeCell ref="E15:E16"/>
    <mergeCell ref="F15:F16"/>
    <mergeCell ref="G15:G16"/>
    <mergeCell ref="H15:H16"/>
    <mergeCell ref="I15:I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activeCell="E39" activeCellId="1" sqref="E25 E39"/>
    </sheetView>
  </sheetViews>
  <sheetFormatPr defaultColWidth="9.140625" defaultRowHeight="15" x14ac:dyDescent="0.25"/>
  <cols>
    <col min="1" max="1" width="56" bestFit="1" customWidth="1"/>
    <col min="2" max="2" width="13.7109375" customWidth="1"/>
    <col min="3" max="3" width="30.28515625" customWidth="1"/>
    <col min="4" max="4" width="18.5703125" customWidth="1"/>
    <col min="5" max="5" width="18.85546875" bestFit="1" customWidth="1"/>
    <col min="8" max="8" width="11.85546875" bestFit="1" customWidth="1"/>
    <col min="10" max="10" width="12.42578125" bestFit="1" customWidth="1"/>
  </cols>
  <sheetData>
    <row r="1" spans="1:17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5">
      <c r="A2" s="11"/>
      <c r="B2" s="47" t="b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x14ac:dyDescent="0.25">
      <c r="A6" s="11"/>
      <c r="B6" s="11" t="s">
        <v>20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x14ac:dyDescent="0.25">
      <c r="A13" s="182"/>
      <c r="B13" s="183"/>
      <c r="C13" s="183"/>
      <c r="D13" s="85"/>
      <c r="E13" s="8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9.5" customHeight="1" x14ac:dyDescent="0.25">
      <c r="A14" s="56" t="s">
        <v>41</v>
      </c>
      <c r="B14" s="11"/>
      <c r="C14" s="11"/>
      <c r="D14" s="87"/>
      <c r="E14" s="8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95" customFormat="1" ht="51" x14ac:dyDescent="0.25">
      <c r="A15" s="89"/>
      <c r="B15" s="90"/>
      <c r="C15" s="91" t="s">
        <v>59</v>
      </c>
      <c r="D15" s="92" t="s">
        <v>34</v>
      </c>
      <c r="E15" s="91" t="s">
        <v>35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</row>
    <row r="16" spans="1:17" s="71" customFormat="1" x14ac:dyDescent="0.25">
      <c r="A16" s="67"/>
      <c r="B16" s="67"/>
      <c r="C16" s="70" t="s">
        <v>12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1:17" s="74" customFormat="1" x14ac:dyDescent="0.25">
      <c r="A17" s="72"/>
      <c r="B17" s="73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1:17" x14ac:dyDescent="0.25">
      <c r="A18" s="18" t="s">
        <v>11</v>
      </c>
      <c r="B18" s="75" t="s">
        <v>12</v>
      </c>
      <c r="C18" s="76">
        <v>13141607</v>
      </c>
      <c r="D18" s="61">
        <f t="shared" ref="D18:D24" si="0">C18/C$25</f>
        <v>6.6604157641804565E-2</v>
      </c>
      <c r="E18" s="77">
        <f>E$25*D18</f>
        <v>41707.985357407662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A19" s="18" t="s">
        <v>13</v>
      </c>
      <c r="B19" s="75" t="s">
        <v>12</v>
      </c>
      <c r="C19" s="76">
        <v>13748069</v>
      </c>
      <c r="D19" s="61">
        <f t="shared" si="0"/>
        <v>6.9677822122241703E-2</v>
      </c>
      <c r="E19" s="77">
        <f t="shared" ref="E19:E24" si="1">E$25*D19</f>
        <v>43632.735368256734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5">
      <c r="A20" s="18" t="s">
        <v>14</v>
      </c>
      <c r="B20" s="75" t="s">
        <v>12</v>
      </c>
      <c r="C20" s="76">
        <v>107759968</v>
      </c>
      <c r="D20" s="61">
        <f t="shared" si="0"/>
        <v>0.54614796319413716</v>
      </c>
      <c r="E20" s="77">
        <f t="shared" si="1"/>
        <v>342001.64161496522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s="18" t="s">
        <v>16</v>
      </c>
      <c r="B21" s="75" t="s">
        <v>12</v>
      </c>
      <c r="C21" s="76">
        <v>57290</v>
      </c>
      <c r="D21" s="61">
        <f t="shared" si="0"/>
        <v>2.9035658966966398E-4</v>
      </c>
      <c r="E21" s="77">
        <f t="shared" si="1"/>
        <v>181.82330982245057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A22" s="18" t="s">
        <v>17</v>
      </c>
      <c r="B22" s="75" t="s">
        <v>12</v>
      </c>
      <c r="C22" s="76">
        <v>48500</v>
      </c>
      <c r="D22" s="61">
        <f t="shared" si="0"/>
        <v>2.4580720193713917E-4</v>
      </c>
      <c r="E22" s="77">
        <f t="shared" si="1"/>
        <v>153.92617431294909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A23" s="18" t="s">
        <v>18</v>
      </c>
      <c r="B23" s="75" t="s">
        <v>12</v>
      </c>
      <c r="C23" s="76">
        <v>2370822</v>
      </c>
      <c r="D23" s="61">
        <f t="shared" si="0"/>
        <v>1.2015775713629115E-2</v>
      </c>
      <c r="E23" s="77">
        <f t="shared" si="1"/>
        <v>7524.3620708654544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15.75" thickBot="1" x14ac:dyDescent="0.3">
      <c r="A24" s="18" t="s">
        <v>19</v>
      </c>
      <c r="B24" s="75" t="s">
        <v>12</v>
      </c>
      <c r="C24" s="76">
        <v>60182853</v>
      </c>
      <c r="D24" s="61">
        <f t="shared" si="0"/>
        <v>0.30501811753658065</v>
      </c>
      <c r="E24" s="77">
        <f t="shared" si="1"/>
        <v>191004.46023770291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11"/>
      <c r="B25" s="78" t="s">
        <v>20</v>
      </c>
      <c r="C25" s="79">
        <f>SUM(C18:C24)</f>
        <v>197309109</v>
      </c>
      <c r="D25" s="80">
        <f>SUM(D18:D24)</f>
        <v>1</v>
      </c>
      <c r="E25" s="154">
        <f>Variance!H10</f>
        <v>626206.93413333339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ht="18" x14ac:dyDescent="0.25">
      <c r="A28" s="56" t="s">
        <v>42</v>
      </c>
      <c r="B28" s="11"/>
      <c r="C28" s="11"/>
      <c r="D28" s="87"/>
      <c r="E28" s="8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s="94" customFormat="1" ht="51" x14ac:dyDescent="0.25">
      <c r="A29" s="89"/>
      <c r="B29" s="90"/>
      <c r="C29" s="91" t="s">
        <v>59</v>
      </c>
      <c r="D29" s="92" t="s">
        <v>34</v>
      </c>
      <c r="E29" s="91" t="s">
        <v>35</v>
      </c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</row>
    <row r="30" spans="1:17" x14ac:dyDescent="0.25">
      <c r="A30" s="67"/>
      <c r="B30" s="67"/>
      <c r="C30" s="70" t="s">
        <v>12</v>
      </c>
      <c r="D30" s="67"/>
      <c r="E30" s="67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72"/>
      <c r="B31" s="73"/>
      <c r="C31" s="72"/>
      <c r="D31" s="72"/>
      <c r="E31" s="7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18" t="s">
        <v>11</v>
      </c>
      <c r="B32" s="75" t="s">
        <v>12</v>
      </c>
      <c r="C32" s="76">
        <v>13141607</v>
      </c>
      <c r="D32" s="61">
        <f t="shared" ref="D32:D37" si="2">C32/$C$39</f>
        <v>9.5835818634179004E-2</v>
      </c>
      <c r="E32" s="77">
        <f>E$39*D32</f>
        <v>145225.49843767134</v>
      </c>
    </row>
    <row r="33" spans="1:10" x14ac:dyDescent="0.25">
      <c r="A33" s="18" t="s">
        <v>13</v>
      </c>
      <c r="B33" s="75" t="s">
        <v>12</v>
      </c>
      <c r="C33" s="76">
        <v>13748069</v>
      </c>
      <c r="D33" s="61">
        <f t="shared" si="2"/>
        <v>0.1002584727464593</v>
      </c>
      <c r="E33" s="77">
        <f t="shared" ref="E33:E37" si="3">E$39*D33</f>
        <v>151927.39921993544</v>
      </c>
    </row>
    <row r="34" spans="1:10" x14ac:dyDescent="0.25">
      <c r="A34" s="18" t="s">
        <v>14</v>
      </c>
      <c r="B34" s="75" t="s">
        <v>12</v>
      </c>
      <c r="C34" s="76">
        <v>107759968</v>
      </c>
      <c r="D34" s="61">
        <f t="shared" si="2"/>
        <v>0.78584489319098738</v>
      </c>
      <c r="E34" s="77">
        <f t="shared" si="3"/>
        <v>1190835.7223304207</v>
      </c>
    </row>
    <row r="35" spans="1:10" x14ac:dyDescent="0.25">
      <c r="A35" s="18" t="s">
        <v>16</v>
      </c>
      <c r="B35" s="75" t="s">
        <v>12</v>
      </c>
      <c r="C35" s="76">
        <v>57290</v>
      </c>
      <c r="D35" s="61">
        <f t="shared" si="2"/>
        <v>4.1779015683181785E-4</v>
      </c>
      <c r="E35" s="77">
        <f t="shared" si="3"/>
        <v>633.10132508864342</v>
      </c>
    </row>
    <row r="36" spans="1:10" x14ac:dyDescent="0.25">
      <c r="A36" s="18" t="s">
        <v>17</v>
      </c>
      <c r="B36" s="75" t="s">
        <v>12</v>
      </c>
      <c r="C36" s="76">
        <v>48500</v>
      </c>
      <c r="D36" s="61">
        <f t="shared" si="2"/>
        <v>3.5368864734409435E-4</v>
      </c>
      <c r="E36" s="77">
        <f t="shared" si="3"/>
        <v>535.96464071913431</v>
      </c>
    </row>
    <row r="37" spans="1:10" x14ac:dyDescent="0.25">
      <c r="A37" s="18" t="s">
        <v>18</v>
      </c>
      <c r="B37" s="75" t="s">
        <v>12</v>
      </c>
      <c r="C37" s="76">
        <v>2370822</v>
      </c>
      <c r="D37" s="61">
        <f t="shared" si="2"/>
        <v>1.7289336624198359E-2</v>
      </c>
      <c r="E37" s="77">
        <f t="shared" si="3"/>
        <v>26199.520854412771</v>
      </c>
    </row>
    <row r="38" spans="1:10" ht="15.75" thickBot="1" x14ac:dyDescent="0.3">
      <c r="A38" s="18" t="s">
        <v>19</v>
      </c>
      <c r="B38" s="75" t="s">
        <v>12</v>
      </c>
      <c r="C38" s="76"/>
      <c r="D38" s="61"/>
      <c r="E38" s="77"/>
    </row>
    <row r="39" spans="1:10" x14ac:dyDescent="0.25">
      <c r="A39" s="11"/>
      <c r="B39" s="78" t="s">
        <v>20</v>
      </c>
      <c r="C39" s="79">
        <f>SUM(C32:C38)</f>
        <v>137126256</v>
      </c>
      <c r="D39" s="80">
        <f>SUM(D32:D38)</f>
        <v>1</v>
      </c>
      <c r="E39" s="154">
        <f>Variance!K10</f>
        <v>1515357.2068082481</v>
      </c>
    </row>
    <row r="42" spans="1:10" ht="18" x14ac:dyDescent="0.25">
      <c r="A42" s="56" t="s">
        <v>50</v>
      </c>
    </row>
    <row r="43" spans="1:10" ht="51" x14ac:dyDescent="0.25">
      <c r="A43" s="89"/>
      <c r="B43" s="90"/>
      <c r="C43" s="91" t="s">
        <v>59</v>
      </c>
      <c r="D43" s="91" t="s">
        <v>35</v>
      </c>
      <c r="E43" s="140" t="s">
        <v>68</v>
      </c>
    </row>
    <row r="44" spans="1:10" x14ac:dyDescent="0.25">
      <c r="A44" s="67"/>
      <c r="B44" s="67"/>
      <c r="C44" s="70" t="s">
        <v>12</v>
      </c>
      <c r="D44" s="67"/>
    </row>
    <row r="45" spans="1:10" x14ac:dyDescent="0.25">
      <c r="A45" s="72"/>
      <c r="B45" s="73"/>
      <c r="C45" s="72"/>
      <c r="D45" s="72"/>
    </row>
    <row r="46" spans="1:10" x14ac:dyDescent="0.25">
      <c r="A46" s="18" t="s">
        <v>11</v>
      </c>
      <c r="B46" s="114" t="s">
        <v>12</v>
      </c>
      <c r="C46" s="112">
        <v>13141607</v>
      </c>
      <c r="D46" s="113">
        <f>E18+E32</f>
        <v>186933.483795079</v>
      </c>
      <c r="E46" s="115">
        <f>IF(ISERROR(D46/C46),0,IF(OR(ISBLANK('Calculation of Def-Var RR'!$C$13), OR('Calculation of Def-Var RR'!$C$13=0,'Calculation of Def-Var RR'!$C$13= "")), D46/C46/('Calculation of Def-Var RR'!$C$12/12), D46/C46/('Calculation of Def-Var RR'!$C$13/12)))</f>
        <v>7.7588470294142455E-3</v>
      </c>
      <c r="F46" s="116" t="s">
        <v>12</v>
      </c>
      <c r="H46" s="110"/>
      <c r="J46" s="141"/>
    </row>
    <row r="47" spans="1:10" x14ac:dyDescent="0.25">
      <c r="A47" s="18" t="s">
        <v>13</v>
      </c>
      <c r="B47" s="114" t="s">
        <v>12</v>
      </c>
      <c r="C47" s="112">
        <v>13748069</v>
      </c>
      <c r="D47" s="113">
        <f t="shared" ref="D47:D52" si="4">E19+E33</f>
        <v>195560.13458819216</v>
      </c>
      <c r="E47" s="115">
        <f>IF(ISERROR(D47/C47),0,IF(OR(ISBLANK('Calculation of Def-Var RR'!$C$13), OR('Calculation of Def-Var RR'!$C$13=0,'Calculation of Def-Var RR'!$C$13= "")), D47/C47/('Calculation of Def-Var RR'!$C$12/12), D47/C47/('Calculation of Def-Var RR'!$C$13/12)))</f>
        <v>7.7588470294142464E-3</v>
      </c>
      <c r="F47" s="116" t="s">
        <v>12</v>
      </c>
      <c r="H47" s="110"/>
      <c r="J47" s="141"/>
    </row>
    <row r="48" spans="1:10" x14ac:dyDescent="0.25">
      <c r="A48" s="18" t="s">
        <v>14</v>
      </c>
      <c r="B48" s="114" t="s">
        <v>12</v>
      </c>
      <c r="C48" s="112">
        <v>107759968</v>
      </c>
      <c r="D48" s="113">
        <f t="shared" si="4"/>
        <v>1532837.3639453859</v>
      </c>
      <c r="E48" s="115">
        <f>IF(ISERROR(D48/C48),0,IF(OR(ISBLANK('Calculation of Def-Var RR'!$C$13), OR('Calculation of Def-Var RR'!$C$13=0,'Calculation of Def-Var RR'!$C$13= "")), D48/C48/('Calculation of Def-Var RR'!$C$12/12), D48/C48/('Calculation of Def-Var RR'!$C$13/12)))</f>
        <v>7.7588470294142455E-3</v>
      </c>
      <c r="F48" s="116" t="s">
        <v>12</v>
      </c>
      <c r="H48" s="110"/>
      <c r="J48" s="141"/>
    </row>
    <row r="49" spans="1:10" x14ac:dyDescent="0.25">
      <c r="A49" s="18" t="s">
        <v>16</v>
      </c>
      <c r="B49" s="114" t="s">
        <v>12</v>
      </c>
      <c r="C49" s="112">
        <v>57290</v>
      </c>
      <c r="D49" s="113">
        <f t="shared" si="4"/>
        <v>814.92463491109402</v>
      </c>
      <c r="E49" s="115">
        <f>IF(ISERROR(D49/C49),0,IF(OR(ISBLANK('Calculation of Def-Var RR'!$C$13), OR('Calculation of Def-Var RR'!$C$13=0,'Calculation of Def-Var RR'!$C$13= "")), D49/C49/('Calculation of Def-Var RR'!$C$12/12), D49/C49/('Calculation of Def-Var RR'!$C$13/12)))</f>
        <v>7.7588470294142464E-3</v>
      </c>
      <c r="F49" s="116" t="s">
        <v>12</v>
      </c>
      <c r="H49" s="110"/>
      <c r="J49" s="141"/>
    </row>
    <row r="50" spans="1:10" x14ac:dyDescent="0.25">
      <c r="A50" s="18" t="s">
        <v>17</v>
      </c>
      <c r="B50" s="114" t="s">
        <v>12</v>
      </c>
      <c r="C50" s="112">
        <v>48500</v>
      </c>
      <c r="D50" s="113">
        <f t="shared" si="4"/>
        <v>689.89081503208342</v>
      </c>
      <c r="E50" s="115">
        <f>IF(ISERROR(D50/C50),0,IF(OR(ISBLANK('Calculation of Def-Var RR'!$C$13), OR('Calculation of Def-Var RR'!$C$13=0,'Calculation of Def-Var RR'!$C$13= "")), D50/C50/('Calculation of Def-Var RR'!$C$12/12), D50/C50/('Calculation of Def-Var RR'!$C$13/12)))</f>
        <v>7.7588470294142464E-3</v>
      </c>
      <c r="F50" s="116" t="s">
        <v>12</v>
      </c>
      <c r="H50" s="110"/>
      <c r="J50" s="141"/>
    </row>
    <row r="51" spans="1:10" x14ac:dyDescent="0.25">
      <c r="A51" s="18" t="s">
        <v>18</v>
      </c>
      <c r="B51" s="114" t="s">
        <v>12</v>
      </c>
      <c r="C51" s="112">
        <v>2370822</v>
      </c>
      <c r="D51" s="113">
        <f t="shared" si="4"/>
        <v>33723.882925278223</v>
      </c>
      <c r="E51" s="115">
        <f>IF(ISERROR(D51/C51),0,IF(OR(ISBLANK('Calculation of Def-Var RR'!$C$13), OR('Calculation of Def-Var RR'!$C$13=0,'Calculation of Def-Var RR'!$C$13= "")), D51/C51/('Calculation of Def-Var RR'!$C$12/12), D51/C51/('Calculation of Def-Var RR'!$C$13/12)))</f>
        <v>7.7588470294142455E-3</v>
      </c>
      <c r="F51" s="116" t="s">
        <v>12</v>
      </c>
      <c r="H51" s="110"/>
      <c r="J51" s="141"/>
    </row>
    <row r="52" spans="1:10" ht="15.75" thickBot="1" x14ac:dyDescent="0.3">
      <c r="A52" s="18" t="s">
        <v>19</v>
      </c>
      <c r="B52" s="117" t="s">
        <v>12</v>
      </c>
      <c r="C52" s="118">
        <v>60182853</v>
      </c>
      <c r="D52" s="119">
        <f t="shared" si="4"/>
        <v>191004.46023770291</v>
      </c>
      <c r="E52" s="120">
        <f>IF(ISERROR(D52/C52),0,IF(OR(ISBLANK('Calculation of Def-Var RR'!$C$13), OR('Calculation of Def-Var RR'!$C$13=0,'Calculation of Def-Var RR'!$C$13= "")), D52/C52/('Calculation of Def-Var RR'!$C$12/12), D52/C52/('Calculation of Def-Var RR'!$C$13/12)))</f>
        <v>1.7311284833696242E-3</v>
      </c>
      <c r="F52" s="121" t="s">
        <v>12</v>
      </c>
      <c r="H52" s="110"/>
      <c r="J52" s="141"/>
    </row>
    <row r="53" spans="1:10" x14ac:dyDescent="0.25">
      <c r="A53" s="11"/>
      <c r="B53" s="111" t="s">
        <v>20</v>
      </c>
      <c r="C53" s="113">
        <f>SUM(C46:C52)</f>
        <v>197309109</v>
      </c>
      <c r="D53" s="113">
        <f>SUM(D46:D52)</f>
        <v>2141564.1409415817</v>
      </c>
    </row>
  </sheetData>
  <mergeCells count="1">
    <mergeCell ref="A13:C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632e20216e2d24e829abe3dd66b3e1e6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43c61579b24f5dac6cc45e53e16df8da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208166 - HA"/>
              <xsd:enumeration value="177998 - EM"/>
              <xsd:enumeration value="184748 - J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EB-2017-0050</Case_x0020_Number_x002f_Docket_x0020_Number>
    <Issue_x0020_Date xmlns="f9175001-c430-4d57-adde-c1c10539e919" xsi:nil="true"/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88590E-1743-4B64-9EB0-0E8D3DCDDCC2}"/>
</file>

<file path=customXml/itemProps2.xml><?xml version="1.0" encoding="utf-8"?>
<ds:datastoreItem xmlns:ds="http://schemas.openxmlformats.org/officeDocument/2006/customXml" ds:itemID="{2193F5DB-D089-4C4F-A67E-8E9704534DA2}"/>
</file>

<file path=customXml/itemProps3.xml><?xml version="1.0" encoding="utf-8"?>
<ds:datastoreItem xmlns:ds="http://schemas.openxmlformats.org/officeDocument/2006/customXml" ds:itemID="{E6204E90-C1BC-4E89-92D6-AB9D3E5EBB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Variance</vt:lpstr>
      <vt:lpstr>Billing Determinants</vt:lpstr>
      <vt:lpstr>Allocating Def-Var Balances</vt:lpstr>
      <vt:lpstr>Final Blanaces by Rate Class</vt:lpstr>
      <vt:lpstr>Calculation of Def-Var RR</vt:lpstr>
      <vt:lpstr>GA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SHETH Nikita</dc:creator>
  <cp:lastModifiedBy>SHETH Nikita</cp:lastModifiedBy>
  <dcterms:created xsi:type="dcterms:W3CDTF">2017-12-13T15:04:20Z</dcterms:created>
  <dcterms:modified xsi:type="dcterms:W3CDTF">2018-01-04T18:23:49Z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