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440" windowHeight="12075" activeTab="4"/>
  </bookViews>
  <sheets>
    <sheet name="Variance" sheetId="4" r:id="rId1"/>
    <sheet name="Billing Determinants" sheetId="1" r:id="rId2"/>
    <sheet name="Allocating Def-Var Balances" sheetId="2" r:id="rId3"/>
    <sheet name="Final Blanaces by Rate Class" sheetId="7" r:id="rId4"/>
    <sheet name="Calculation of Def-Var RR" sheetId="5" r:id="rId5"/>
    <sheet name="GA" sheetId="3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10" i="4" l="1"/>
  <c r="G9" i="4"/>
  <c r="G8" i="4"/>
  <c r="G7" i="4"/>
  <c r="G6" i="4"/>
  <c r="G4" i="4"/>
  <c r="G2" i="4"/>
  <c r="F10" i="4" l="1"/>
  <c r="F9" i="4"/>
  <c r="F8" i="4"/>
  <c r="F7" i="4"/>
  <c r="F6" i="4"/>
  <c r="F4" i="4"/>
  <c r="F2" i="4"/>
  <c r="M23" i="1" l="1"/>
  <c r="L23" i="1"/>
  <c r="M22" i="1"/>
  <c r="L22" i="1"/>
  <c r="M21" i="1"/>
  <c r="L21" i="1"/>
  <c r="M20" i="1"/>
  <c r="L20" i="1"/>
  <c r="M19" i="1"/>
  <c r="L19" i="1"/>
  <c r="M18" i="1"/>
  <c r="L18" i="1"/>
  <c r="L24" i="1" s="1"/>
  <c r="M17" i="1"/>
  <c r="L17" i="1"/>
  <c r="K23" i="1"/>
  <c r="K22" i="1"/>
  <c r="K21" i="1"/>
  <c r="K20" i="1"/>
  <c r="K24" i="1" s="1"/>
  <c r="K19" i="1"/>
  <c r="K18" i="1"/>
  <c r="K17" i="1"/>
  <c r="M24" i="1"/>
  <c r="D3" i="4"/>
  <c r="D4" i="4"/>
  <c r="D5" i="4"/>
  <c r="D6" i="4"/>
  <c r="D7" i="4"/>
  <c r="D8" i="4"/>
  <c r="D9" i="4"/>
  <c r="D10" i="4"/>
  <c r="D11" i="4"/>
  <c r="D12" i="4"/>
  <c r="D13" i="4"/>
  <c r="D2" i="4"/>
  <c r="C3" i="4"/>
  <c r="C4" i="4"/>
  <c r="C5" i="4"/>
  <c r="C6" i="4"/>
  <c r="C7" i="4"/>
  <c r="C8" i="4"/>
  <c r="C9" i="4"/>
  <c r="C10" i="4"/>
  <c r="C11" i="4"/>
  <c r="F11" i="4" s="1"/>
  <c r="C12" i="4"/>
  <c r="F12" i="4" s="1"/>
  <c r="C13" i="4"/>
  <c r="F13" i="4" s="1"/>
  <c r="C2" i="4"/>
  <c r="D16" i="4" l="1"/>
  <c r="C16" i="4"/>
  <c r="C24" i="1"/>
  <c r="H2" i="4" l="1"/>
  <c r="F15" i="4"/>
  <c r="G3" i="4"/>
  <c r="D15" i="4"/>
  <c r="G11" i="4"/>
  <c r="G12" i="4"/>
  <c r="G13" i="4"/>
  <c r="F3" i="4"/>
  <c r="C15" i="4"/>
  <c r="F16" i="4" l="1"/>
  <c r="F17" i="4" s="1"/>
  <c r="G15" i="4"/>
  <c r="G16" i="4"/>
  <c r="C17" i="4"/>
  <c r="D17" i="4"/>
  <c r="G17" i="4" l="1"/>
  <c r="D18" i="3"/>
  <c r="D36" i="7"/>
  <c r="D35" i="7"/>
  <c r="D34" i="7"/>
  <c r="D48" i="7" s="1"/>
  <c r="D33" i="7"/>
  <c r="D47" i="7" s="1"/>
  <c r="D50" i="7"/>
  <c r="D49" i="7"/>
  <c r="H3" i="4" l="1"/>
  <c r="J13" i="4" l="1"/>
  <c r="M13" i="4" s="1"/>
  <c r="J12" i="4"/>
  <c r="M12" i="4" s="1"/>
  <c r="J11" i="4"/>
  <c r="M11" i="4" s="1"/>
  <c r="J3" i="4"/>
  <c r="M3" i="4" s="1"/>
  <c r="I13" i="4"/>
  <c r="L13" i="4" s="1"/>
  <c r="I12" i="4"/>
  <c r="L12" i="4" s="1"/>
  <c r="I11" i="4"/>
  <c r="L11" i="4" s="1"/>
  <c r="I3" i="4"/>
  <c r="L3" i="4" s="1"/>
  <c r="G24" i="2" l="1"/>
  <c r="K3" i="4"/>
  <c r="I5" i="4"/>
  <c r="L5" i="4" s="1"/>
  <c r="J5" i="4"/>
  <c r="M5" i="4" s="1"/>
  <c r="N14" i="4"/>
  <c r="O14" i="4" s="1"/>
  <c r="H5" i="4"/>
  <c r="H11" i="4"/>
  <c r="L24" i="2" s="1"/>
  <c r="H12" i="4"/>
  <c r="M24" i="2" s="1"/>
  <c r="H13" i="4"/>
  <c r="N24" i="2" s="1"/>
  <c r="J10" i="4"/>
  <c r="J9" i="4"/>
  <c r="M9" i="4" s="1"/>
  <c r="J8" i="4"/>
  <c r="M8" i="4" s="1"/>
  <c r="J7" i="4"/>
  <c r="M7" i="4" s="1"/>
  <c r="J6" i="4"/>
  <c r="M6" i="4" s="1"/>
  <c r="J4" i="4"/>
  <c r="M4" i="4" s="1"/>
  <c r="I10" i="4"/>
  <c r="I8" i="4"/>
  <c r="L8" i="4" s="1"/>
  <c r="I7" i="4"/>
  <c r="L7" i="4" s="1"/>
  <c r="I6" i="4"/>
  <c r="L6" i="4" s="1"/>
  <c r="I4" i="4"/>
  <c r="L4" i="4" s="1"/>
  <c r="I2" i="4"/>
  <c r="E3" i="4"/>
  <c r="E4" i="4"/>
  <c r="E5" i="4"/>
  <c r="E6" i="4"/>
  <c r="E7" i="4"/>
  <c r="E8" i="4"/>
  <c r="E9" i="4"/>
  <c r="E10" i="4"/>
  <c r="E11" i="4"/>
  <c r="E12" i="4"/>
  <c r="E13" i="4"/>
  <c r="E2" i="4"/>
  <c r="C52" i="3"/>
  <c r="C39" i="3"/>
  <c r="D34" i="3" s="1"/>
  <c r="C25" i="3"/>
  <c r="D19" i="3" s="1"/>
  <c r="C37" i="2"/>
  <c r="C36" i="2"/>
  <c r="C35" i="2"/>
  <c r="C34" i="2"/>
  <c r="C33" i="2"/>
  <c r="C32" i="2"/>
  <c r="J23" i="5"/>
  <c r="J22" i="5"/>
  <c r="J21" i="5"/>
  <c r="J20" i="5"/>
  <c r="J18" i="5"/>
  <c r="J17" i="5"/>
  <c r="D13" i="5"/>
  <c r="N24" i="1"/>
  <c r="D32" i="2" s="1"/>
  <c r="H24" i="1"/>
  <c r="G24" i="1"/>
  <c r="F24" i="1"/>
  <c r="E24" i="1"/>
  <c r="D24" i="1"/>
  <c r="C20" i="2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E15" i="4" l="1"/>
  <c r="E16" i="4"/>
  <c r="E34" i="2"/>
  <c r="L2" i="4"/>
  <c r="E37" i="2"/>
  <c r="E36" i="2"/>
  <c r="D17" i="2"/>
  <c r="G17" i="2" s="1"/>
  <c r="D33" i="2"/>
  <c r="D40" i="2" s="1"/>
  <c r="D16" i="2"/>
  <c r="C21" i="2"/>
  <c r="L21" i="2" s="1"/>
  <c r="E33" i="2"/>
  <c r="C18" i="2"/>
  <c r="C22" i="2"/>
  <c r="L22" i="2" s="1"/>
  <c r="I24" i="1"/>
  <c r="E21" i="2" s="1"/>
  <c r="C19" i="2"/>
  <c r="L19" i="2" s="1"/>
  <c r="E35" i="2"/>
  <c r="C17" i="2"/>
  <c r="M17" i="2" s="1"/>
  <c r="C16" i="2"/>
  <c r="M16" i="2" s="1"/>
  <c r="E32" i="2"/>
  <c r="J15" i="4"/>
  <c r="M10" i="4"/>
  <c r="I15" i="4"/>
  <c r="L10" i="4"/>
  <c r="H6" i="4"/>
  <c r="H9" i="4"/>
  <c r="K24" i="2" s="1"/>
  <c r="K6" i="4"/>
  <c r="K10" i="4"/>
  <c r="H7" i="4"/>
  <c r="I24" i="2" s="1"/>
  <c r="H10" i="4"/>
  <c r="J2" i="4"/>
  <c r="J16" i="4" s="1"/>
  <c r="G40" i="2"/>
  <c r="N3" i="4"/>
  <c r="O3" i="4" s="1"/>
  <c r="K13" i="4"/>
  <c r="N40" i="2" s="1"/>
  <c r="K4" i="4"/>
  <c r="K12" i="4"/>
  <c r="N12" i="4" s="1"/>
  <c r="O12" i="4" s="1"/>
  <c r="K11" i="4"/>
  <c r="N11" i="4" s="1"/>
  <c r="O11" i="4" s="1"/>
  <c r="H8" i="4"/>
  <c r="J24" i="2" s="1"/>
  <c r="H4" i="4"/>
  <c r="I9" i="4"/>
  <c r="I16" i="4" s="1"/>
  <c r="K7" i="4"/>
  <c r="K8" i="4"/>
  <c r="K5" i="4"/>
  <c r="N5" i="4" s="1"/>
  <c r="O5" i="4" s="1"/>
  <c r="D32" i="3"/>
  <c r="D24" i="3"/>
  <c r="D20" i="3"/>
  <c r="D33" i="3"/>
  <c r="D37" i="3"/>
  <c r="D22" i="3"/>
  <c r="D35" i="3"/>
  <c r="D21" i="3"/>
  <c r="D36" i="3"/>
  <c r="D23" i="3"/>
  <c r="M20" i="2"/>
  <c r="M18" i="2"/>
  <c r="M22" i="2"/>
  <c r="L18" i="2"/>
  <c r="L20" i="2"/>
  <c r="C40" i="2"/>
  <c r="N18" i="2"/>
  <c r="N20" i="2"/>
  <c r="J24" i="1"/>
  <c r="E17" i="4" l="1"/>
  <c r="K15" i="4"/>
  <c r="E39" i="3" s="1"/>
  <c r="E37" i="3" s="1"/>
  <c r="H15" i="4"/>
  <c r="H16" i="4"/>
  <c r="L15" i="4"/>
  <c r="M15" i="4"/>
  <c r="N22" i="2"/>
  <c r="D24" i="2"/>
  <c r="L16" i="2"/>
  <c r="E17" i="2"/>
  <c r="K17" i="2" s="1"/>
  <c r="N16" i="2"/>
  <c r="E22" i="2"/>
  <c r="K22" i="2" s="1"/>
  <c r="M21" i="2"/>
  <c r="M2" i="4"/>
  <c r="H24" i="2"/>
  <c r="M19" i="2"/>
  <c r="E19" i="2"/>
  <c r="K19" i="2" s="1"/>
  <c r="N19" i="2"/>
  <c r="J18" i="2"/>
  <c r="E40" i="2"/>
  <c r="C24" i="2"/>
  <c r="N21" i="2"/>
  <c r="N17" i="2"/>
  <c r="L17" i="2"/>
  <c r="I19" i="2"/>
  <c r="E16" i="2"/>
  <c r="K16" i="2" s="1"/>
  <c r="E20" i="2"/>
  <c r="E18" i="2"/>
  <c r="K18" i="2" s="1"/>
  <c r="K9" i="4"/>
  <c r="K40" i="2" s="1"/>
  <c r="L9" i="4"/>
  <c r="L16" i="4" s="1"/>
  <c r="J20" i="2"/>
  <c r="K21" i="2"/>
  <c r="N9" i="4"/>
  <c r="O9" i="4" s="1"/>
  <c r="N6" i="4"/>
  <c r="O6" i="4" s="1"/>
  <c r="K2" i="4"/>
  <c r="F40" i="2" s="1"/>
  <c r="F37" i="2" s="1"/>
  <c r="J17" i="4"/>
  <c r="K20" i="2"/>
  <c r="I17" i="4"/>
  <c r="J19" i="2"/>
  <c r="N7" i="4"/>
  <c r="O7" i="4" s="1"/>
  <c r="F24" i="2"/>
  <c r="F16" i="2" s="1"/>
  <c r="J21" i="2"/>
  <c r="I40" i="2"/>
  <c r="I32" i="2" s="1"/>
  <c r="M40" i="2"/>
  <c r="M36" i="2" s="1"/>
  <c r="N13" i="4"/>
  <c r="O13" i="4" s="1"/>
  <c r="N10" i="4"/>
  <c r="J17" i="2"/>
  <c r="J16" i="2"/>
  <c r="J22" i="2"/>
  <c r="L40" i="2"/>
  <c r="N4" i="4"/>
  <c r="O4" i="4" s="1"/>
  <c r="J40" i="2"/>
  <c r="J37" i="2" s="1"/>
  <c r="N8" i="4"/>
  <c r="O8" i="4" s="1"/>
  <c r="H40" i="2"/>
  <c r="H37" i="2" s="1"/>
  <c r="I20" i="2"/>
  <c r="I21" i="2"/>
  <c r="I16" i="2"/>
  <c r="I22" i="2"/>
  <c r="I18" i="2"/>
  <c r="I17" i="2"/>
  <c r="H17" i="4" l="1"/>
  <c r="E25" i="3"/>
  <c r="E19" i="3" s="1"/>
  <c r="K16" i="4"/>
  <c r="M16" i="4"/>
  <c r="M17" i="4" s="1"/>
  <c r="N15" i="4"/>
  <c r="O15" i="4" s="1"/>
  <c r="H19" i="2"/>
  <c r="H17" i="2"/>
  <c r="H16" i="2"/>
  <c r="H22" i="2"/>
  <c r="F35" i="2"/>
  <c r="H20" i="2"/>
  <c r="F32" i="2"/>
  <c r="H21" i="2"/>
  <c r="L17" i="4"/>
  <c r="N2" i="4"/>
  <c r="N16" i="4" s="1"/>
  <c r="K17" i="4"/>
  <c r="H18" i="2"/>
  <c r="D18" i="7" s="1"/>
  <c r="E24" i="2"/>
  <c r="F34" i="2"/>
  <c r="F33" i="2"/>
  <c r="F36" i="2"/>
  <c r="O10" i="4"/>
  <c r="F17" i="2"/>
  <c r="C17" i="7" s="1"/>
  <c r="F19" i="2"/>
  <c r="F18" i="2"/>
  <c r="C18" i="7" s="1"/>
  <c r="F22" i="2"/>
  <c r="F20" i="2"/>
  <c r="F21" i="2"/>
  <c r="E32" i="3"/>
  <c r="E35" i="3"/>
  <c r="M32" i="2"/>
  <c r="I33" i="2"/>
  <c r="I35" i="2"/>
  <c r="E36" i="3"/>
  <c r="E34" i="3"/>
  <c r="I34" i="2"/>
  <c r="I37" i="2"/>
  <c r="E33" i="3"/>
  <c r="E38" i="3"/>
  <c r="I36" i="2"/>
  <c r="M37" i="2"/>
  <c r="M34" i="2"/>
  <c r="J36" i="2"/>
  <c r="M33" i="2"/>
  <c r="M35" i="2"/>
  <c r="J33" i="2"/>
  <c r="J34" i="2"/>
  <c r="J35" i="2"/>
  <c r="J32" i="2"/>
  <c r="H35" i="2"/>
  <c r="H33" i="2"/>
  <c r="H38" i="2"/>
  <c r="C36" i="7" s="1"/>
  <c r="H36" i="2"/>
  <c r="H32" i="2"/>
  <c r="H34" i="2"/>
  <c r="L33" i="2"/>
  <c r="L37" i="2"/>
  <c r="L36" i="2"/>
  <c r="L34" i="2"/>
  <c r="L35" i="2"/>
  <c r="L32" i="2"/>
  <c r="N33" i="2"/>
  <c r="N35" i="2"/>
  <c r="N37" i="2"/>
  <c r="N32" i="2"/>
  <c r="N34" i="2"/>
  <c r="N36" i="2"/>
  <c r="K34" i="2"/>
  <c r="K32" i="2"/>
  <c r="K36" i="2"/>
  <c r="K33" i="2"/>
  <c r="K35" i="2"/>
  <c r="K37" i="2"/>
  <c r="G33" i="2"/>
  <c r="D31" i="7" s="1"/>
  <c r="D45" i="7" s="1"/>
  <c r="G32" i="2"/>
  <c r="D30" i="7" s="1"/>
  <c r="E18" i="3" l="1"/>
  <c r="D46" i="3" s="1"/>
  <c r="E46" i="3" s="1"/>
  <c r="E21" i="3"/>
  <c r="D49" i="3" s="1"/>
  <c r="E49" i="3" s="1"/>
  <c r="E20" i="3"/>
  <c r="E24" i="3"/>
  <c r="E22" i="3"/>
  <c r="D47" i="3"/>
  <c r="E47" i="3" s="1"/>
  <c r="E23" i="3"/>
  <c r="D51" i="3" s="1"/>
  <c r="E51" i="3" s="1"/>
  <c r="O2" i="4"/>
  <c r="N17" i="4"/>
  <c r="O17" i="4" s="1"/>
  <c r="C19" i="7"/>
  <c r="C22" i="7"/>
  <c r="C50" i="7" s="1"/>
  <c r="G23" i="5" s="1"/>
  <c r="C20" i="7"/>
  <c r="C21" i="7"/>
  <c r="C35" i="7"/>
  <c r="C32" i="7"/>
  <c r="C46" i="7" s="1"/>
  <c r="G19" i="5" s="1"/>
  <c r="C33" i="7"/>
  <c r="C30" i="7"/>
  <c r="C34" i="7"/>
  <c r="C31" i="7"/>
  <c r="C45" i="7" s="1"/>
  <c r="G18" i="5" s="1"/>
  <c r="D32" i="7"/>
  <c r="D38" i="7" s="1"/>
  <c r="D52" i="3"/>
  <c r="E52" i="3" s="1"/>
  <c r="D50" i="3"/>
  <c r="E50" i="3" s="1"/>
  <c r="D48" i="3"/>
  <c r="E48" i="3" s="1"/>
  <c r="O16" i="4"/>
  <c r="D39" i="3"/>
  <c r="D25" i="3"/>
  <c r="C48" i="7" l="1"/>
  <c r="G21" i="5" s="1"/>
  <c r="C47" i="7"/>
  <c r="G20" i="5" s="1"/>
  <c r="C49" i="7"/>
  <c r="G22" i="5" s="1"/>
  <c r="D46" i="7"/>
  <c r="H19" i="5" s="1"/>
  <c r="J19" i="5" s="1"/>
  <c r="I23" i="5"/>
  <c r="D53" i="3"/>
  <c r="C38" i="7"/>
  <c r="I18" i="5" l="1"/>
  <c r="I20" i="5"/>
  <c r="I21" i="5"/>
  <c r="I19" i="5"/>
  <c r="I22" i="5"/>
  <c r="G16" i="2"/>
  <c r="C16" i="7" s="1"/>
  <c r="C44" i="7" s="1"/>
  <c r="C52" i="7" l="1"/>
  <c r="G17" i="5"/>
  <c r="D24" i="7"/>
  <c r="D44" i="7"/>
  <c r="I17" i="5" l="1"/>
  <c r="D52" i="7"/>
  <c r="C24" i="7"/>
</calcChain>
</file>

<file path=xl/sharedStrings.xml><?xml version="1.0" encoding="utf-8"?>
<sst xmlns="http://schemas.openxmlformats.org/spreadsheetml/2006/main" count="224" uniqueCount="83">
  <si>
    <r>
      <t xml:space="preserve">Total Metered </t>
    </r>
    <r>
      <rPr>
        <b/>
        <sz val="10"/>
        <color rgb="FFFF0000"/>
        <rFont val="Arial"/>
        <family val="2"/>
      </rPr>
      <t>kWh</t>
    </r>
  </si>
  <si>
    <r>
      <t xml:space="preserve">Total Metered </t>
    </r>
    <r>
      <rPr>
        <b/>
        <sz val="10"/>
        <color rgb="FFFF0000"/>
        <rFont val="Arial"/>
        <family val="2"/>
      </rPr>
      <t>kW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</si>
  <si>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</si>
  <si>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</si>
  <si>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Wholesale Market Participants (WMP)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</si>
  <si>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Wholesale Market Participants (WMP)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</si>
  <si>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
</t>
    </r>
    <r>
      <rPr>
        <b/>
        <i/>
        <sz val="10"/>
        <rFont val="Arial"/>
        <family val="2"/>
      </rPr>
      <t>(if applicable)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</si>
  <si>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
</t>
    </r>
    <r>
      <rPr>
        <b/>
        <i/>
        <sz val="10"/>
        <rFont val="Arial"/>
        <family val="2"/>
      </rPr>
      <t>(if applicable)</t>
    </r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</si>
  <si>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</si>
  <si>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</si>
  <si>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</si>
  <si>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</si>
  <si>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</si>
  <si>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</si>
  <si>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</si>
  <si>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</si>
  <si>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</si>
  <si>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</si>
  <si>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</si>
  <si>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Total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</si>
  <si>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</si>
  <si>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</si>
  <si>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</si>
  <si>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</si>
  <si>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RSVA - Global Adjustment</t>
  </si>
  <si>
    <t>Total Group 1 Balance excluding Account 1589 - Global Adjustment</t>
  </si>
  <si>
    <t>Total Group 1 Balance</t>
  </si>
  <si>
    <t>Account Description</t>
  </si>
  <si>
    <t>Variance ($)</t>
  </si>
  <si>
    <t>Account Number</t>
  </si>
  <si>
    <t>% of Customer Numbers **</t>
  </si>
  <si>
    <t>allocated based on Total less WMP</t>
  </si>
  <si>
    <t>1595_(2010)</t>
  </si>
  <si>
    <t>1595_(2012)</t>
  </si>
  <si>
    <t>1595_(2013)</t>
  </si>
  <si>
    <t>Default Rate Rider Recovery Period (in months)</t>
  </si>
  <si>
    <t>Proposed Rate Rider Recovery Period (in months)</t>
  </si>
  <si>
    <t>% of total kWh</t>
  </si>
  <si>
    <t>Total GA $ allocated to Current Class B Customers</t>
  </si>
  <si>
    <t xml:space="preserve"> </t>
  </si>
  <si>
    <t>Total Metered kWh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</si>
  <si>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</si>
  <si>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</si>
  <si>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</si>
  <si>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t>Allocation of GA Account (1589): Pre-Integration</t>
  </si>
  <si>
    <t>Allocation of GA Account (1589): Post-Integration</t>
  </si>
  <si>
    <t>RSVA - Wholesale Market Service Charge</t>
  </si>
  <si>
    <t>Variance WMS – Sub-account CBR Class A</t>
  </si>
  <si>
    <t>Variance WMS – Sub-account CBR Class B</t>
  </si>
  <si>
    <t>RSVA - Power</t>
  </si>
  <si>
    <t>Number of Customers for Residential and GS&lt;50 classes</t>
  </si>
  <si>
    <t xml:space="preserve">Deferral/Variance Account Rate Rider </t>
  </si>
  <si>
    <t xml:space="preserve">Deferral/Variance Account Rate Rider for Non-WMP 
(if applicable) </t>
  </si>
  <si>
    <t>GA Rider Amount</t>
  </si>
  <si>
    <t>Principal balances for pre-integration period ($)</t>
  </si>
  <si>
    <t>Principal balances for post-integration period ($)</t>
  </si>
  <si>
    <t>Total Claim ($)</t>
  </si>
  <si>
    <t>Allocation of Group 1 Account Balances to All Customers</t>
  </si>
  <si>
    <t xml:space="preserve">Allocation of Group 1 Account Balances to Non-WMP Customers Only (If Applicable) </t>
  </si>
  <si>
    <t>Allocation of Group 1 Accounts: Pre-Integration</t>
  </si>
  <si>
    <t>Allocation of Group 1 Accounts: Post-Integration</t>
  </si>
  <si>
    <t>Allocation of Group 1 Accounts: Total</t>
  </si>
  <si>
    <t>Total Metered Non-RPP Consumption excluding WMP</t>
  </si>
  <si>
    <t>Total Principal Balances ($)</t>
  </si>
  <si>
    <t>Total Interest ($)</t>
  </si>
  <si>
    <t xml:space="preserve">Allocation of Group 1 Account Balances to Non-WMP Classes Only (If Applicable) </t>
  </si>
  <si>
    <t xml:space="preserve">Allocation of Group 1 Account Balances to All Classes </t>
  </si>
  <si>
    <t>1595 Recovery Proportion (2010)</t>
  </si>
  <si>
    <t>1595 Recovery Proportion (2012)</t>
  </si>
  <si>
    <t>1595 Recovery Proportion (2013)</t>
  </si>
  <si>
    <t>Disposition and Recovery/Refund of Regulatory Balances (2010)</t>
  </si>
  <si>
    <t>Disposition and Recovery/Refund of Regulatory Balances (2012)</t>
  </si>
  <si>
    <t>Disposition and Recovery/Refund of Regulatory Balances (2013)</t>
  </si>
  <si>
    <t>YE 2016 Principal balances per continuity schedule ($)</t>
  </si>
  <si>
    <t>Interest per continuity schedule ($)</t>
  </si>
  <si>
    <t>Total claim per continuity schedule ($)</t>
  </si>
  <si>
    <t>% of  Total kWh</t>
  </si>
  <si>
    <t>% of  Total kWh adjusted for WMP</t>
  </si>
  <si>
    <t>GA Rate Rider (Recovery over 22 months)</t>
  </si>
  <si>
    <t>Interest for post-integration ($)</t>
  </si>
  <si>
    <t>Total claim for post-integration period ($)</t>
  </si>
  <si>
    <t>Total claim for pre-integration period ($)</t>
  </si>
  <si>
    <t xml:space="preserve">Interest for pre-integration period ($)(projected to December 31, 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</si>
</sst>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#,##0;[Red]\(#,##0\)"/>
    <numFmt numFmtId="165" formatCode="_-* #,##0.00_-;\-* #,##0.00_-;_-* &quot;-&quot;??_-;_-@_-"/>
    <numFmt numFmtId="166" formatCode="_(* #,##0_);_(* \(#,##0\);_(* &quot;-&quot;??_);_(@_)"/>
    <numFmt numFmtId="167" formatCode="&quot;$&quot;#,##0;[Red]\(&quot;$&quot;#,##0\)"/>
    <numFmt numFmtId="168" formatCode="0.0%"/>
    <numFmt numFmtId="169" formatCode="_ #,##0;[Red]\(#,##0\)"/>
    <numFmt numFmtId="170" formatCode="&quot;$&quot;#,##0.0000_);[Red]\(&quot;$&quot;#,##0.0000\)"/>
    <numFmt numFmtId="171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Book Antiqua"/>
      <family val="1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0" fillId="2" borderId="0" xfId="0" applyFill="1" applyBorder="1" applyProtection="1"/>
    <xf numFmtId="0" fontId="0" fillId="2" borderId="0" xfId="0" applyFill="1" applyBorder="1" applyProtection="1">
      <protection locked="0"/>
    </xf>
    <xf numFmtId="0" fontId="0" fillId="2" borderId="1" xfId="0" applyFill="1" applyBorder="1" applyProtection="1"/>
    <xf numFmtId="0" fontId="0" fillId="2" borderId="2" xfId="0" applyFill="1" applyBorder="1" applyProtection="1"/>
    <xf numFmtId="0" fontId="2" fillId="2" borderId="0" xfId="0" applyFont="1" applyFill="1" applyBorder="1" applyProtection="1"/>
    <xf numFmtId="3" fontId="0" fillId="2" borderId="2" xfId="0" applyNumberFormat="1" applyFill="1" applyBorder="1" applyProtection="1"/>
    <xf numFmtId="0" fontId="0" fillId="2" borderId="0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top" wrapText="1"/>
    </xf>
    <xf numFmtId="0" fontId="0" fillId="0" borderId="0" xfId="0" applyProtection="1"/>
    <xf numFmtId="0" fontId="0" fillId="2" borderId="1" xfId="0" applyFill="1" applyBorder="1" applyAlignment="1" applyProtection="1">
      <alignment vertical="top" wrapText="1"/>
    </xf>
    <xf numFmtId="0" fontId="0" fillId="2" borderId="2" xfId="0" applyFill="1" applyBorder="1" applyAlignment="1" applyProtection="1">
      <alignment vertical="top" wrapText="1"/>
    </xf>
    <xf numFmtId="0" fontId="0" fillId="2" borderId="0" xfId="0" applyFill="1" applyProtection="1"/>
    <xf numFmtId="0" fontId="6" fillId="0" borderId="0" xfId="2" applyFont="1" applyAlignment="1" applyProtection="1">
      <alignment horizontal="left" vertical="center"/>
    </xf>
    <xf numFmtId="0" fontId="6" fillId="0" borderId="6" xfId="2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3" borderId="1" xfId="0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Protection="1"/>
    <xf numFmtId="164" fontId="0" fillId="2" borderId="7" xfId="0" applyNumberFormat="1" applyFill="1" applyBorder="1" applyProtection="1"/>
    <xf numFmtId="0" fontId="0" fillId="3" borderId="4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Protection="1"/>
    <xf numFmtId="164" fontId="0" fillId="2" borderId="5" xfId="0" applyNumberFormat="1" applyFill="1" applyBorder="1" applyProtection="1"/>
    <xf numFmtId="0" fontId="0" fillId="0" borderId="11" xfId="0" applyBorder="1" applyAlignment="1" applyProtection="1">
      <alignment wrapText="1"/>
    </xf>
    <xf numFmtId="0" fontId="0" fillId="3" borderId="11" xfId="0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Protection="1"/>
    <xf numFmtId="164" fontId="0" fillId="2" borderId="13" xfId="0" applyNumberFormat="1" applyFill="1" applyBorder="1" applyProtection="1"/>
    <xf numFmtId="0" fontId="7" fillId="0" borderId="0" xfId="0" applyFont="1" applyAlignment="1" applyProtection="1">
      <alignment vertical="center"/>
    </xf>
    <xf numFmtId="3" fontId="0" fillId="0" borderId="0" xfId="0" applyNumberFormat="1" applyProtection="1"/>
    <xf numFmtId="0" fontId="0" fillId="0" borderId="0" xfId="0" applyProtection="1">
      <protection locked="0"/>
    </xf>
    <xf numFmtId="0" fontId="9" fillId="0" borderId="0" xfId="0" applyFont="1" applyProtection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14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left" vertical="top"/>
    </xf>
    <xf numFmtId="0" fontId="16" fillId="0" borderId="0" xfId="4" applyFont="1" applyAlignment="1" applyProtection="1">
      <alignment horizontal="left" vertical="top"/>
    </xf>
    <xf numFmtId="0" fontId="5" fillId="0" borderId="0" xfId="4" applyFill="1" applyProtection="1"/>
    <xf numFmtId="0" fontId="21" fillId="0" borderId="0" xfId="4" applyFont="1" applyFill="1" applyAlignment="1" applyProtection="1">
      <alignment horizontal="center"/>
    </xf>
    <xf numFmtId="0" fontId="5" fillId="0" borderId="0" xfId="4" applyFill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168" fontId="0" fillId="0" borderId="0" xfId="1" applyNumberFormat="1" applyFont="1" applyProtection="1"/>
    <xf numFmtId="169" fontId="0" fillId="0" borderId="0" xfId="0" applyNumberFormat="1" applyProtection="1"/>
    <xf numFmtId="0" fontId="0" fillId="0" borderId="11" xfId="0" applyBorder="1" applyAlignment="1" applyProtection="1">
      <alignment horizontal="left" vertical="top" wrapText="1"/>
    </xf>
    <xf numFmtId="0" fontId="0" fillId="0" borderId="11" xfId="0" applyBorder="1" applyProtection="1"/>
    <xf numFmtId="168" fontId="0" fillId="0" borderId="11" xfId="1" applyNumberFormat="1" applyFont="1" applyBorder="1" applyProtection="1"/>
    <xf numFmtId="168" fontId="0" fillId="0" borderId="0" xfId="0" applyNumberFormat="1" applyProtection="1"/>
    <xf numFmtId="0" fontId="0" fillId="0" borderId="0" xfId="0" applyAlignment="1" applyProtection="1">
      <alignment horizontal="center"/>
    </xf>
    <xf numFmtId="0" fontId="6" fillId="2" borderId="16" xfId="5" applyFont="1" applyFill="1" applyBorder="1" applyAlignment="1" applyProtection="1">
      <alignment horizontal="center"/>
    </xf>
    <xf numFmtId="0" fontId="6" fillId="5" borderId="16" xfId="5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Alignment="1" applyProtection="1">
      <alignment horizontal="center" vertical="center"/>
    </xf>
    <xf numFmtId="164" fontId="0" fillId="0" borderId="0" xfId="0" applyNumberFormat="1" applyProtection="1"/>
    <xf numFmtId="167" fontId="0" fillId="0" borderId="0" xfId="0" applyNumberFormat="1" applyProtection="1"/>
    <xf numFmtId="0" fontId="2" fillId="0" borderId="17" xfId="0" applyFont="1" applyBorder="1" applyProtection="1"/>
    <xf numFmtId="164" fontId="0" fillId="0" borderId="17" xfId="0" applyNumberFormat="1" applyBorder="1" applyProtection="1"/>
    <xf numFmtId="168" fontId="0" fillId="0" borderId="17" xfId="1" applyNumberFormat="1" applyFont="1" applyBorder="1" applyProtection="1"/>
    <xf numFmtId="167" fontId="0" fillId="0" borderId="17" xfId="0" applyNumberFormat="1" applyBorder="1" applyProtection="1"/>
    <xf numFmtId="0" fontId="15" fillId="0" borderId="0" xfId="0" applyFont="1" applyAlignment="1" applyProtection="1">
      <alignment vertical="top" wrapText="1"/>
    </xf>
    <xf numFmtId="0" fontId="7" fillId="0" borderId="0" xfId="0" applyFont="1" applyProtection="1"/>
    <xf numFmtId="0" fontId="0" fillId="0" borderId="0" xfId="0" applyAlignment="1" applyProtection="1">
      <alignment horizontal="center" vertical="top"/>
    </xf>
    <xf numFmtId="169" fontId="0" fillId="0" borderId="0" xfId="0" applyNumberFormat="1" applyAlignment="1" applyProtection="1">
      <alignment horizontal="right" vertical="top"/>
    </xf>
    <xf numFmtId="0" fontId="6" fillId="0" borderId="0" xfId="5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/>
    <xf numFmtId="0" fontId="6" fillId="0" borderId="0" xfId="5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</xf>
    <xf numFmtId="0" fontId="2" fillId="0" borderId="0" xfId="0" applyFont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6" fillId="0" borderId="0" xfId="5" applyFont="1" applyFill="1" applyAlignment="1" applyProtection="1">
      <alignment horizontal="center" vertical="center"/>
    </xf>
    <xf numFmtId="0" fontId="17" fillId="0" borderId="0" xfId="4" applyFont="1" applyBorder="1" applyAlignment="1" applyProtection="1">
      <alignment horizontal="left" vertical="center"/>
    </xf>
    <xf numFmtId="0" fontId="17" fillId="0" borderId="0" xfId="4" applyFont="1" applyBorder="1" applyAlignment="1" applyProtection="1">
      <alignment vertical="center"/>
    </xf>
    <xf numFmtId="0" fontId="5" fillId="0" borderId="0" xfId="4" applyFont="1" applyBorder="1" applyAlignment="1" applyProtection="1">
      <alignment horizontal="right" vertical="center"/>
    </xf>
    <xf numFmtId="0" fontId="18" fillId="0" borderId="0" xfId="4" applyFont="1" applyBorder="1" applyAlignment="1" applyProtection="1">
      <alignment horizontal="right" vertical="center" wrapText="1"/>
    </xf>
    <xf numFmtId="0" fontId="20" fillId="0" borderId="15" xfId="4" applyFont="1" applyBorder="1" applyAlignment="1" applyProtection="1">
      <alignment horizontal="left" vertical="center"/>
    </xf>
    <xf numFmtId="0" fontId="17" fillId="0" borderId="15" xfId="4" applyFont="1" applyBorder="1" applyAlignment="1" applyProtection="1">
      <alignment vertical="center"/>
    </xf>
    <xf numFmtId="0" fontId="6" fillId="0" borderId="15" xfId="4" applyFont="1" applyBorder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2" fillId="0" borderId="0" xfId="0" applyFont="1" applyBorder="1" applyProtection="1"/>
    <xf numFmtId="164" fontId="0" fillId="0" borderId="0" xfId="0" applyNumberFormat="1" applyBorder="1" applyProtection="1"/>
    <xf numFmtId="167" fontId="0" fillId="0" borderId="0" xfId="0" applyNumberFormat="1" applyBorder="1" applyProtection="1"/>
    <xf numFmtId="0" fontId="0" fillId="0" borderId="0" xfId="0" applyBorder="1" applyAlignment="1" applyProtection="1">
      <alignment horizontal="center" vertical="center"/>
    </xf>
    <xf numFmtId="170" fontId="0" fillId="0" borderId="0" xfId="0" applyNumberFormat="1" applyBorder="1"/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164" fontId="0" fillId="0" borderId="11" xfId="0" applyNumberFormat="1" applyBorder="1" applyProtection="1"/>
    <xf numFmtId="167" fontId="0" fillId="0" borderId="11" xfId="0" applyNumberFormat="1" applyBorder="1" applyProtection="1"/>
    <xf numFmtId="170" fontId="0" fillId="0" borderId="11" xfId="0" applyNumberFormat="1" applyBorder="1"/>
    <xf numFmtId="0" fontId="17" fillId="0" borderId="20" xfId="4" applyFont="1" applyBorder="1" applyAlignment="1" applyProtection="1">
      <alignment horizontal="left" vertical="center"/>
    </xf>
    <xf numFmtId="0" fontId="17" fillId="0" borderId="20" xfId="4" applyFont="1" applyBorder="1" applyAlignment="1" applyProtection="1">
      <alignment vertical="center"/>
    </xf>
    <xf numFmtId="38" fontId="0" fillId="0" borderId="0" xfId="0" applyNumberFormat="1" applyProtection="1"/>
    <xf numFmtId="0" fontId="0" fillId="0" borderId="0" xfId="0" applyBorder="1" applyProtection="1"/>
    <xf numFmtId="0" fontId="6" fillId="0" borderId="0" xfId="4" applyFont="1" applyBorder="1" applyAlignment="1" applyProtection="1">
      <alignment horizontal="right" vertical="center"/>
    </xf>
    <xf numFmtId="0" fontId="5" fillId="0" borderId="0" xfId="4" applyFill="1" applyBorder="1" applyAlignment="1" applyProtection="1">
      <alignment horizontal="center"/>
    </xf>
    <xf numFmtId="0" fontId="21" fillId="0" borderId="0" xfId="4" applyFont="1" applyFill="1" applyBorder="1" applyAlignment="1" applyProtection="1">
      <alignment horizontal="center"/>
    </xf>
    <xf numFmtId="169" fontId="0" fillId="0" borderId="0" xfId="0" applyNumberFormat="1" applyBorder="1" applyProtection="1"/>
    <xf numFmtId="169" fontId="0" fillId="0" borderId="0" xfId="0" applyNumberFormat="1" applyFill="1" applyBorder="1" applyProtection="1"/>
    <xf numFmtId="0" fontId="0" fillId="0" borderId="0" xfId="0" applyBorder="1"/>
    <xf numFmtId="170" fontId="0" fillId="0" borderId="0" xfId="0" applyNumberFormat="1"/>
    <xf numFmtId="0" fontId="0" fillId="0" borderId="20" xfId="0" applyBorder="1" applyAlignment="1" applyProtection="1">
      <alignment horizontal="left" vertical="top"/>
    </xf>
    <xf numFmtId="0" fontId="5" fillId="0" borderId="20" xfId="4" applyFill="1" applyBorder="1" applyProtection="1"/>
    <xf numFmtId="0" fontId="21" fillId="0" borderId="20" xfId="4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66" fontId="0" fillId="0" borderId="0" xfId="6" applyNumberFormat="1" applyFont="1" applyProtection="1"/>
    <xf numFmtId="3" fontId="1" fillId="4" borderId="13" xfId="0" applyNumberFormat="1" applyFont="1" applyFill="1" applyBorder="1" applyProtection="1">
      <protection locked="0"/>
    </xf>
    <xf numFmtId="3" fontId="1" fillId="0" borderId="0" xfId="0" applyNumberFormat="1" applyFont="1" applyBorder="1" applyProtection="1"/>
    <xf numFmtId="3" fontId="1" fillId="4" borderId="0" xfId="0" applyNumberFormat="1" applyFont="1" applyFill="1" applyBorder="1" applyProtection="1">
      <protection locked="0"/>
    </xf>
    <xf numFmtId="0" fontId="8" fillId="0" borderId="15" xfId="0" applyFont="1" applyFill="1" applyBorder="1" applyAlignment="1" applyProtection="1">
      <alignment horizontal="center" vertical="center" wrapText="1"/>
    </xf>
    <xf numFmtId="164" fontId="0" fillId="4" borderId="8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3" fontId="0" fillId="4" borderId="21" xfId="0" applyNumberForma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0" fontId="0" fillId="2" borderId="0" xfId="0" applyFill="1" applyBorder="1" applyAlignment="1" applyProtection="1">
      <alignment vertical="top" wrapText="1"/>
    </xf>
    <xf numFmtId="9" fontId="0" fillId="4" borderId="7" xfId="1" applyFont="1" applyFill="1" applyBorder="1" applyProtection="1">
      <protection locked="0"/>
    </xf>
    <xf numFmtId="9" fontId="0" fillId="4" borderId="5" xfId="1" applyFont="1" applyFill="1" applyBorder="1" applyProtection="1">
      <protection locked="0"/>
    </xf>
    <xf numFmtId="9" fontId="0" fillId="4" borderId="13" xfId="1" applyFont="1" applyFill="1" applyBorder="1" applyProtection="1">
      <protection locked="0"/>
    </xf>
    <xf numFmtId="9" fontId="0" fillId="0" borderId="0" xfId="1" applyFont="1" applyProtection="1"/>
    <xf numFmtId="9" fontId="0" fillId="4" borderId="7" xfId="1" applyNumberFormat="1" applyFont="1" applyFill="1" applyBorder="1" applyProtection="1">
      <protection locked="0"/>
    </xf>
    <xf numFmtId="171" fontId="0" fillId="0" borderId="0" xfId="1" applyNumberFormat="1" applyFont="1" applyBorder="1" applyProtection="1"/>
    <xf numFmtId="171" fontId="0" fillId="0" borderId="11" xfId="1" applyNumberFormat="1" applyFont="1" applyBorder="1" applyProtection="1"/>
    <xf numFmtId="171" fontId="0" fillId="0" borderId="0" xfId="0" applyNumberFormat="1" applyProtection="1"/>
    <xf numFmtId="171" fontId="2" fillId="0" borderId="0" xfId="0" applyNumberFormat="1" applyFont="1" applyProtection="1"/>
    <xf numFmtId="171" fontId="0" fillId="0" borderId="0" xfId="1" applyNumberFormat="1" applyFont="1" applyProtection="1"/>
    <xf numFmtId="171" fontId="0" fillId="0" borderId="0" xfId="0" applyNumberFormat="1" applyAlignment="1" applyProtection="1">
      <alignment horizontal="center" vertical="center"/>
    </xf>
    <xf numFmtId="170" fontId="0" fillId="0" borderId="0" xfId="0" applyNumberFormat="1" applyAlignment="1" applyProtection="1">
      <alignment horizontal="center" vertical="center"/>
    </xf>
    <xf numFmtId="6" fontId="0" fillId="0" borderId="0" xfId="0" applyNumberFormat="1" applyProtection="1"/>
    <xf numFmtId="6" fontId="0" fillId="0" borderId="11" xfId="0" applyNumberFormat="1" applyBorder="1" applyProtection="1"/>
    <xf numFmtId="6" fontId="0" fillId="0" borderId="0" xfId="0" applyNumberFormat="1" applyFill="1" applyProtection="1"/>
    <xf numFmtId="6" fontId="0" fillId="0" borderId="0" xfId="0" applyNumberFormat="1" applyFont="1"/>
    <xf numFmtId="0" fontId="0" fillId="0" borderId="4" xfId="0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7" xfId="2" applyNumberFormat="1" applyFont="1" applyFill="1" applyBorder="1" applyAlignment="1" applyProtection="1">
      <alignment horizontal="center" vertical="center" wrapText="1"/>
    </xf>
    <xf numFmtId="10" fontId="6" fillId="2" borderId="5" xfId="2" applyNumberFormat="1" applyFont="1" applyFill="1" applyBorder="1" applyAlignment="1" applyProtection="1">
      <alignment horizontal="center" vertical="center" wrapText="1"/>
    </xf>
    <xf numFmtId="10" fontId="6" fillId="2" borderId="7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6" fillId="0" borderId="0" xfId="4" applyFont="1" applyBorder="1" applyAlignment="1" applyProtection="1">
      <alignment horizontal="right" vertical="center" wrapText="1"/>
    </xf>
    <xf numFmtId="0" fontId="6" fillId="0" borderId="15" xfId="4" applyFon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right" vertical="center" wrapText="1"/>
    </xf>
    <xf numFmtId="0" fontId="6" fillId="0" borderId="0" xfId="4" applyFont="1" applyBorder="1" applyAlignment="1" applyProtection="1">
      <alignment horizontal="center" vertical="center" wrapText="1"/>
    </xf>
    <xf numFmtId="0" fontId="6" fillId="0" borderId="15" xfId="4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 wrapText="1"/>
    </xf>
    <xf numFmtId="0" fontId="6" fillId="0" borderId="20" xfId="5" applyFont="1" applyFill="1" applyBorder="1" applyAlignment="1" applyProtection="1">
      <alignment horizontal="center" vertical="center" wrapText="1"/>
    </xf>
    <xf numFmtId="0" fontId="6" fillId="0" borderId="15" xfId="5" applyFont="1" applyFill="1" applyBorder="1" applyAlignment="1" applyProtection="1">
      <alignment horizontal="center" vertical="center" wrapText="1"/>
    </xf>
    <xf numFmtId="0" fontId="6" fillId="6" borderId="0" xfId="5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15" fillId="0" borderId="0" xfId="0" applyFont="1" applyAlignment="1" applyProtection="1">
      <alignment horizontal="left" vertical="top" wrapText="1"/>
    </xf>
    <xf numFmtId="0" fontId="6" fillId="0" borderId="0" xfId="5" applyFont="1" applyAlignment="1" applyProtection="1">
      <alignment horizontal="right" vertical="top" indent="2"/>
    </xf>
    <xf numFmtId="0" fontId="6" fillId="0" borderId="18" xfId="5" applyFont="1" applyBorder="1" applyAlignment="1" applyProtection="1">
      <alignment horizontal="right" vertical="top" indent="2"/>
    </xf>
    <xf numFmtId="0" fontId="6" fillId="0" borderId="0" xfId="5" applyFont="1" applyFill="1" applyAlignment="1" applyProtection="1">
      <alignment horizontal="right" vertical="center" wrapText="1"/>
    </xf>
    <xf numFmtId="0" fontId="6" fillId="0" borderId="19" xfId="5" applyFont="1" applyFill="1" applyBorder="1" applyAlignment="1" applyProtection="1">
      <alignment horizontal="right" vertical="center" wrapText="1"/>
    </xf>
    <xf numFmtId="0" fontId="6" fillId="0" borderId="0" xfId="5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2" fillId="0" borderId="0" xfId="0" applyFont="1" applyAlignment="1" applyProtection="1">
      <alignment wrapText="1"/>
    </xf>
    <xf numFmtId="0" fontId="0" fillId="0" borderId="0" xfId="0" applyAlignment="1" applyProtection="1"/>
  </cellXfs>
  <cellStyles count="7">
    <cellStyle name="Comma" xfId="6" builtinId="3"/>
    <cellStyle name="Comma 5 2" xfId="3"/>
    <cellStyle name="Normal" xfId="0" builtinId="0"/>
    <cellStyle name="Normal_6. Cost Allocation for Def-Var" xfId="2"/>
    <cellStyle name="Normal_Sheet6" xfId="4"/>
    <cellStyle name="Normal_Sheet7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970720</xdr:colOff>
      <xdr:row>10</xdr:row>
      <xdr:rowOff>29816</xdr:rowOff>
    </xdr:to>
    <xdr:grpSp>
      <xdr:nvGrpSpPr>
        <xdr:cNvPr id="2" name="Group 1"/>
        <xdr:cNvGrpSpPr/>
      </xdr:nvGrpSpPr>
      <xdr:grpSpPr>
        <a:xfrm>
          <a:off x="0" y="9525"/>
          <a:ext cx="8457370" cy="1972916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7</xdr:col>
      <xdr:colOff>605595</xdr:colOff>
      <xdr:row>10</xdr:row>
      <xdr:rowOff>0</xdr:rowOff>
    </xdr:to>
    <xdr:grpSp>
      <xdr:nvGrpSpPr>
        <xdr:cNvPr id="2" name="Group 1"/>
        <xdr:cNvGrpSpPr/>
      </xdr:nvGrpSpPr>
      <xdr:grpSpPr>
        <a:xfrm>
          <a:off x="0" y="31750"/>
          <a:ext cx="10054395" cy="1873250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6</xdr:col>
      <xdr:colOff>605595</xdr:colOff>
      <xdr:row>10</xdr:row>
      <xdr:rowOff>0</xdr:rowOff>
    </xdr:to>
    <xdr:grpSp>
      <xdr:nvGrpSpPr>
        <xdr:cNvPr id="2" name="Group 1"/>
        <xdr:cNvGrpSpPr/>
      </xdr:nvGrpSpPr>
      <xdr:grpSpPr>
        <a:xfrm>
          <a:off x="0" y="31750"/>
          <a:ext cx="10035345" cy="1873250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10766</xdr:rowOff>
    </xdr:to>
    <xdr:grpSp>
      <xdr:nvGrpSpPr>
        <xdr:cNvPr id="8" name="Group 7"/>
        <xdr:cNvGrpSpPr/>
      </xdr:nvGrpSpPr>
      <xdr:grpSpPr>
        <a:xfrm>
          <a:off x="0" y="0"/>
          <a:ext cx="13763625" cy="1915766"/>
          <a:chOff x="200024" y="4499942"/>
          <a:chExt cx="8857420" cy="1915766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0" name="TextBox 9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1" name="Rectangle 10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2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0</xdr:colOff>
      <xdr:row>12</xdr:row>
      <xdr:rowOff>1</xdr:rowOff>
    </xdr:to>
    <xdr:grpSp>
      <xdr:nvGrpSpPr>
        <xdr:cNvPr id="2" name="Group 1"/>
        <xdr:cNvGrpSpPr/>
      </xdr:nvGrpSpPr>
      <xdr:grpSpPr>
        <a:xfrm>
          <a:off x="0" y="1"/>
          <a:ext cx="6667500" cy="2286000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Norfolk_2018_IRM_Rate_Generator_Model_19Dec2017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q%20LDC%20RSVA%20Balances%20Revised%20Final%2020171219DW%20Dec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O21">
            <v>276086.51000000007</v>
          </cell>
          <cell r="BS21">
            <v>9744.0381200000011</v>
          </cell>
        </row>
        <row r="22">
          <cell r="BO22">
            <v>-34804.199999999997</v>
          </cell>
          <cell r="BS22">
            <v>22926.8596</v>
          </cell>
        </row>
        <row r="23">
          <cell r="BO23">
            <v>-2075209.0281386934</v>
          </cell>
          <cell r="BS23">
            <v>-85584.298430449096</v>
          </cell>
        </row>
        <row r="24">
          <cell r="BO24">
            <v>0</v>
          </cell>
          <cell r="BS24">
            <v>0</v>
          </cell>
        </row>
        <row r="25">
          <cell r="BO25">
            <v>84065.676568404422</v>
          </cell>
          <cell r="BS25">
            <v>2046.5436248767037</v>
          </cell>
        </row>
        <row r="26">
          <cell r="BO26">
            <v>25197.20070924527</v>
          </cell>
          <cell r="BS26">
            <v>-2621.672653247103</v>
          </cell>
        </row>
        <row r="27">
          <cell r="BO27">
            <v>111710.3465934519</v>
          </cell>
          <cell r="BS27">
            <v>-10406.646276196054</v>
          </cell>
        </row>
        <row r="28">
          <cell r="BO28">
            <v>5033083.8456039233</v>
          </cell>
          <cell r="BS28">
            <v>156797.46317553462</v>
          </cell>
        </row>
        <row r="29">
          <cell r="BO29">
            <v>-3941961.405756556</v>
          </cell>
          <cell r="BS29">
            <v>-106802.1214982282</v>
          </cell>
        </row>
        <row r="31">
          <cell r="BO31">
            <v>-1.2499999998472049</v>
          </cell>
          <cell r="BS31">
            <v>-14988.198750000096</v>
          </cell>
        </row>
        <row r="33">
          <cell r="BO33">
            <v>-3.0000000027939677E-2</v>
          </cell>
          <cell r="BS33">
            <v>69021.989310000004</v>
          </cell>
        </row>
        <row r="34">
          <cell r="BO34">
            <v>-8095.219999999943</v>
          </cell>
          <cell r="BS34">
            <v>-14102.430060000001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Breakdown Summary"/>
    </sheetNames>
    <sheetDataSet>
      <sheetData sheetId="0">
        <row r="14">
          <cell r="F14">
            <v>3720478.97</v>
          </cell>
          <cell r="AE14">
            <v>122054.42253333333</v>
          </cell>
        </row>
        <row r="15">
          <cell r="F15">
            <v>-2294957.85</v>
          </cell>
          <cell r="AE15">
            <v>-69007.385999999999</v>
          </cell>
        </row>
        <row r="16">
          <cell r="F16">
            <v>-1469637.46</v>
          </cell>
          <cell r="AE16">
            <v>-76553.162266666666</v>
          </cell>
        </row>
        <row r="17">
          <cell r="F17">
            <v>34876.21</v>
          </cell>
          <cell r="AE17">
            <v>966.2822666666666</v>
          </cell>
        </row>
        <row r="18">
          <cell r="F18">
            <v>-121336.58</v>
          </cell>
          <cell r="AE18">
            <v>-5189.8921333333328</v>
          </cell>
        </row>
        <row r="19">
          <cell r="F19">
            <v>-80268.11</v>
          </cell>
          <cell r="AE19">
            <v>-13911.032933333334</v>
          </cell>
        </row>
        <row r="20">
          <cell r="F20">
            <v>149366.04999999999</v>
          </cell>
          <cell r="AE20">
            <v>6856.9646666666667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opLeftCell="F1" workbookViewId="0">
      <selection activeCell="D21" sqref="D21"/>
    </sheetView>
  </sheetViews>
  <sheetFormatPr defaultRowHeight="15" x14ac:dyDescent="0.25"/>
  <cols>
    <col min="1" max="1" width="79.42578125" style="33" bestFit="1" customWidth="1"/>
    <col min="2" max="2" width="9.28515625" style="33" customWidth="1"/>
    <col min="3" max="15" width="21.140625" style="33" customWidth="1"/>
    <col min="16" max="16384" width="9.140625" style="33"/>
  </cols>
  <sheetData>
    <row r="1" spans="1:15" s="32" customFormat="1" ht="60" x14ac:dyDescent="0.25">
      <c r="A1" s="31" t="s">
        <v>27</v>
      </c>
      <c r="B1" s="31" t="s">
        <v>29</v>
      </c>
      <c r="C1" s="31" t="s">
        <v>73</v>
      </c>
      <c r="D1" s="31" t="s">
        <v>74</v>
      </c>
      <c r="E1" s="31" t="s">
        <v>75</v>
      </c>
      <c r="F1" s="31" t="s">
        <v>54</v>
      </c>
      <c r="G1" s="31" t="s">
        <v>82</v>
      </c>
      <c r="H1" s="31" t="s">
        <v>81</v>
      </c>
      <c r="I1" s="31" t="s">
        <v>55</v>
      </c>
      <c r="J1" s="31" t="s">
        <v>79</v>
      </c>
      <c r="K1" s="31" t="s">
        <v>80</v>
      </c>
      <c r="L1" s="31" t="s">
        <v>63</v>
      </c>
      <c r="M1" s="31" t="s">
        <v>64</v>
      </c>
      <c r="N1" s="31" t="s">
        <v>56</v>
      </c>
      <c r="O1" s="31" t="s">
        <v>28</v>
      </c>
    </row>
    <row r="2" spans="1:15" x14ac:dyDescent="0.25">
      <c r="A2" s="34" t="s">
        <v>20</v>
      </c>
      <c r="B2" s="35">
        <v>1550</v>
      </c>
      <c r="C2" s="147">
        <f>'[1]3. Continuity Schedule'!$BO21</f>
        <v>276086.51000000007</v>
      </c>
      <c r="D2" s="147">
        <f>'[1]3. Continuity Schedule'!$BS21</f>
        <v>9744.0381200000011</v>
      </c>
      <c r="E2" s="147">
        <f>C2+D2</f>
        <v>285830.54812000005</v>
      </c>
      <c r="F2" s="147">
        <f>'[2]RSVA Breakdown Summary'!$F$20</f>
        <v>149366.04999999999</v>
      </c>
      <c r="G2" s="147">
        <f>'[2]RSVA Breakdown Summary'!$AE$20</f>
        <v>6856.9646666666667</v>
      </c>
      <c r="H2" s="147">
        <f>F2+G2</f>
        <v>156223.01466666666</v>
      </c>
      <c r="I2" s="147">
        <f>C2-F2</f>
        <v>126720.46000000008</v>
      </c>
      <c r="J2" s="147">
        <f>D2-G2</f>
        <v>2887.0734533333343</v>
      </c>
      <c r="K2" s="147">
        <f>I2+J2</f>
        <v>129607.53345333341</v>
      </c>
      <c r="L2" s="147">
        <f>F2+I2</f>
        <v>276086.51000000007</v>
      </c>
      <c r="M2" s="147">
        <f>G2+J2</f>
        <v>9744.0381200000011</v>
      </c>
      <c r="N2" s="147">
        <f>H2+K2</f>
        <v>285830.54812000005</v>
      </c>
      <c r="O2" s="147">
        <f>E2-N2</f>
        <v>0</v>
      </c>
    </row>
    <row r="3" spans="1:15" x14ac:dyDescent="0.25">
      <c r="A3" s="34" t="s">
        <v>21</v>
      </c>
      <c r="B3" s="35">
        <v>1551</v>
      </c>
      <c r="C3" s="147">
        <f>'[1]3. Continuity Schedule'!$BO22</f>
        <v>-34804.199999999997</v>
      </c>
      <c r="D3" s="147">
        <f>'[1]3. Continuity Schedule'!$BS22</f>
        <v>22926.8596</v>
      </c>
      <c r="E3" s="147">
        <f t="shared" ref="E3:E13" si="0">C3+D3</f>
        <v>-11877.340399999997</v>
      </c>
      <c r="F3" s="147">
        <f>C3</f>
        <v>-34804.199999999997</v>
      </c>
      <c r="G3" s="147">
        <f>D3</f>
        <v>22926.8596</v>
      </c>
      <c r="H3" s="147">
        <f t="shared" ref="H3:H13" si="1">F3+G3</f>
        <v>-11877.340399999997</v>
      </c>
      <c r="I3" s="147">
        <f>C3-F3</f>
        <v>0</v>
      </c>
      <c r="J3" s="147">
        <f>D3-G3</f>
        <v>0</v>
      </c>
      <c r="K3" s="147">
        <f t="shared" ref="K3:K13" si="2">I3+J3</f>
        <v>0</v>
      </c>
      <c r="L3" s="147">
        <f t="shared" ref="L3:L13" si="3">F3+I3</f>
        <v>-34804.199999999997</v>
      </c>
      <c r="M3" s="147">
        <f t="shared" ref="M3:M13" si="4">G3+J3</f>
        <v>22926.8596</v>
      </c>
      <c r="N3" s="147">
        <f t="shared" ref="N3:N14" si="5">H3+K3</f>
        <v>-11877.340399999997</v>
      </c>
      <c r="O3" s="147">
        <f t="shared" ref="O3:O17" si="6">E3-N3</f>
        <v>0</v>
      </c>
    </row>
    <row r="4" spans="1:15" x14ac:dyDescent="0.25">
      <c r="A4" s="34" t="s">
        <v>46</v>
      </c>
      <c r="B4" s="35">
        <v>1580</v>
      </c>
      <c r="C4" s="147">
        <f>'[1]3. Continuity Schedule'!$BO23</f>
        <v>-2075209.0281386934</v>
      </c>
      <c r="D4" s="147">
        <f>'[1]3. Continuity Schedule'!$BS23</f>
        <v>-85584.298430449096</v>
      </c>
      <c r="E4" s="147">
        <f t="shared" si="0"/>
        <v>-2160793.3265691428</v>
      </c>
      <c r="F4" s="147">
        <f>'[2]RSVA Breakdown Summary'!$F$16</f>
        <v>-1469637.46</v>
      </c>
      <c r="G4" s="147">
        <f>'[2]RSVA Breakdown Summary'!$AE$16</f>
        <v>-76553.162266666666</v>
      </c>
      <c r="H4" s="147">
        <f t="shared" si="1"/>
        <v>-1546190.6222666667</v>
      </c>
      <c r="I4" s="147">
        <f t="shared" ref="I4:I10" si="7">C4-F4</f>
        <v>-605571.56813869346</v>
      </c>
      <c r="J4" s="147">
        <f t="shared" ref="J4:J10" si="8">D4-G4</f>
        <v>-9031.1361637824302</v>
      </c>
      <c r="K4" s="147">
        <f t="shared" si="2"/>
        <v>-614602.7043024759</v>
      </c>
      <c r="L4" s="147">
        <f t="shared" si="3"/>
        <v>-2075209.0281386934</v>
      </c>
      <c r="M4" s="147">
        <f t="shared" si="4"/>
        <v>-85584.298430449096</v>
      </c>
      <c r="N4" s="147">
        <f t="shared" si="5"/>
        <v>-2160793.3265691428</v>
      </c>
      <c r="O4" s="147">
        <f t="shared" si="6"/>
        <v>0</v>
      </c>
    </row>
    <row r="5" spans="1:15" x14ac:dyDescent="0.25">
      <c r="A5" s="34" t="s">
        <v>47</v>
      </c>
      <c r="B5" s="35">
        <v>1580</v>
      </c>
      <c r="C5" s="147">
        <f>'[1]3. Continuity Schedule'!$BO24</f>
        <v>0</v>
      </c>
      <c r="D5" s="147">
        <f>'[1]3. Continuity Schedule'!$BS24</f>
        <v>0</v>
      </c>
      <c r="E5" s="147">
        <f t="shared" si="0"/>
        <v>0</v>
      </c>
      <c r="F5" s="147">
        <v>0</v>
      </c>
      <c r="G5" s="147">
        <v>0</v>
      </c>
      <c r="H5" s="147">
        <f t="shared" si="1"/>
        <v>0</v>
      </c>
      <c r="I5" s="147">
        <f t="shared" si="7"/>
        <v>0</v>
      </c>
      <c r="J5" s="147">
        <f t="shared" si="8"/>
        <v>0</v>
      </c>
      <c r="K5" s="147">
        <f t="shared" si="2"/>
        <v>0</v>
      </c>
      <c r="L5" s="147">
        <f t="shared" si="3"/>
        <v>0</v>
      </c>
      <c r="M5" s="147">
        <f t="shared" si="4"/>
        <v>0</v>
      </c>
      <c r="N5" s="147">
        <f t="shared" si="5"/>
        <v>0</v>
      </c>
      <c r="O5" s="147">
        <f t="shared" si="6"/>
        <v>0</v>
      </c>
    </row>
    <row r="6" spans="1:15" x14ac:dyDescent="0.25">
      <c r="A6" s="34" t="s">
        <v>48</v>
      </c>
      <c r="B6" s="35">
        <v>1580</v>
      </c>
      <c r="C6" s="147">
        <f>'[1]3. Continuity Schedule'!$BO25</f>
        <v>84065.676568404422</v>
      </c>
      <c r="D6" s="147">
        <f>'[1]3. Continuity Schedule'!$BS25</f>
        <v>2046.5436248767037</v>
      </c>
      <c r="E6" s="147">
        <f t="shared" si="0"/>
        <v>86112.220193281129</v>
      </c>
      <c r="F6" s="147">
        <f>'[2]RSVA Breakdown Summary'!$F$17</f>
        <v>34876.21</v>
      </c>
      <c r="G6" s="147">
        <f>'[2]RSVA Breakdown Summary'!$AE$17</f>
        <v>966.2822666666666</v>
      </c>
      <c r="H6" s="147">
        <f t="shared" si="1"/>
        <v>35842.492266666668</v>
      </c>
      <c r="I6" s="147">
        <f t="shared" si="7"/>
        <v>49189.466568404423</v>
      </c>
      <c r="J6" s="147">
        <f t="shared" si="8"/>
        <v>1080.2613582100371</v>
      </c>
      <c r="K6" s="147">
        <f t="shared" si="2"/>
        <v>50269.727926614461</v>
      </c>
      <c r="L6" s="147">
        <f t="shared" si="3"/>
        <v>84065.676568404422</v>
      </c>
      <c r="M6" s="147">
        <f t="shared" si="4"/>
        <v>2046.5436248767037</v>
      </c>
      <c r="N6" s="147">
        <f t="shared" si="5"/>
        <v>86112.220193281129</v>
      </c>
      <c r="O6" s="147">
        <f t="shared" si="6"/>
        <v>0</v>
      </c>
    </row>
    <row r="7" spans="1:15" x14ac:dyDescent="0.25">
      <c r="A7" s="34" t="s">
        <v>22</v>
      </c>
      <c r="B7" s="35">
        <v>1584</v>
      </c>
      <c r="C7" s="147">
        <f>'[1]3. Continuity Schedule'!$BO26</f>
        <v>25197.20070924527</v>
      </c>
      <c r="D7" s="147">
        <f>'[1]3. Continuity Schedule'!$BS26</f>
        <v>-2621.672653247103</v>
      </c>
      <c r="E7" s="147">
        <f t="shared" si="0"/>
        <v>22575.528055998166</v>
      </c>
      <c r="F7" s="147">
        <f>'[2]RSVA Breakdown Summary'!$F$18</f>
        <v>-121336.58</v>
      </c>
      <c r="G7" s="147">
        <f>'[2]RSVA Breakdown Summary'!$AE$18</f>
        <v>-5189.8921333333328</v>
      </c>
      <c r="H7" s="147">
        <f t="shared" si="1"/>
        <v>-126526.47213333333</v>
      </c>
      <c r="I7" s="147">
        <f t="shared" si="7"/>
        <v>146533.78070924527</v>
      </c>
      <c r="J7" s="147">
        <f t="shared" si="8"/>
        <v>2568.2194800862299</v>
      </c>
      <c r="K7" s="147">
        <f t="shared" si="2"/>
        <v>149102.00018933151</v>
      </c>
      <c r="L7" s="147">
        <f t="shared" si="3"/>
        <v>25197.20070924527</v>
      </c>
      <c r="M7" s="147">
        <f t="shared" si="4"/>
        <v>-2621.672653247103</v>
      </c>
      <c r="N7" s="147">
        <f t="shared" si="5"/>
        <v>22575.528055998177</v>
      </c>
      <c r="O7" s="147">
        <f t="shared" si="6"/>
        <v>0</v>
      </c>
    </row>
    <row r="8" spans="1:15" x14ac:dyDescent="0.25">
      <c r="A8" s="34" t="s">
        <v>23</v>
      </c>
      <c r="B8" s="35">
        <v>1586</v>
      </c>
      <c r="C8" s="147">
        <f>'[1]3. Continuity Schedule'!$BO27</f>
        <v>111710.3465934519</v>
      </c>
      <c r="D8" s="147">
        <f>'[1]3. Continuity Schedule'!$BS27</f>
        <v>-10406.646276196054</v>
      </c>
      <c r="E8" s="147">
        <f t="shared" si="0"/>
        <v>101303.70031725585</v>
      </c>
      <c r="F8" s="147">
        <f>'[2]RSVA Breakdown Summary'!$F$19</f>
        <v>-80268.11</v>
      </c>
      <c r="G8" s="147">
        <f>'[2]RSVA Breakdown Summary'!$AE$19</f>
        <v>-13911.032933333334</v>
      </c>
      <c r="H8" s="147">
        <f t="shared" si="1"/>
        <v>-94179.142933333336</v>
      </c>
      <c r="I8" s="147">
        <f t="shared" si="7"/>
        <v>191978.45659345191</v>
      </c>
      <c r="J8" s="147">
        <f t="shared" si="8"/>
        <v>3504.3866571372801</v>
      </c>
      <c r="K8" s="147">
        <f t="shared" si="2"/>
        <v>195482.84325058918</v>
      </c>
      <c r="L8" s="147">
        <f t="shared" si="3"/>
        <v>111710.3465934519</v>
      </c>
      <c r="M8" s="147">
        <f t="shared" si="4"/>
        <v>-10406.646276196054</v>
      </c>
      <c r="N8" s="147">
        <f t="shared" si="5"/>
        <v>101303.70031725585</v>
      </c>
      <c r="O8" s="147">
        <f t="shared" si="6"/>
        <v>0</v>
      </c>
    </row>
    <row r="9" spans="1:15" x14ac:dyDescent="0.25">
      <c r="A9" s="33" t="s">
        <v>49</v>
      </c>
      <c r="B9" s="35">
        <v>1588</v>
      </c>
      <c r="C9" s="147">
        <f>'[1]3. Continuity Schedule'!$BO28</f>
        <v>5033083.8456039233</v>
      </c>
      <c r="D9" s="147">
        <f>'[1]3. Continuity Schedule'!$BS28</f>
        <v>156797.46317553462</v>
      </c>
      <c r="E9" s="147">
        <f t="shared" si="0"/>
        <v>5189881.3087794576</v>
      </c>
      <c r="F9" s="147">
        <f>'[2]RSVA Breakdown Summary'!$F$14</f>
        <v>3720478.97</v>
      </c>
      <c r="G9" s="147">
        <f>'[2]RSVA Breakdown Summary'!$AE$14</f>
        <v>122054.42253333333</v>
      </c>
      <c r="H9" s="147">
        <f t="shared" si="1"/>
        <v>3842533.3925333335</v>
      </c>
      <c r="I9" s="147">
        <f t="shared" si="7"/>
        <v>1312604.8756039231</v>
      </c>
      <c r="J9" s="147">
        <f t="shared" si="8"/>
        <v>34743.040642201289</v>
      </c>
      <c r="K9" s="147">
        <f t="shared" si="2"/>
        <v>1347347.9162461243</v>
      </c>
      <c r="L9" s="147">
        <f t="shared" si="3"/>
        <v>5033083.8456039233</v>
      </c>
      <c r="M9" s="147">
        <f t="shared" si="4"/>
        <v>156797.46317553462</v>
      </c>
      <c r="N9" s="147">
        <f t="shared" si="5"/>
        <v>5189881.3087794576</v>
      </c>
      <c r="O9" s="147">
        <f t="shared" si="6"/>
        <v>0</v>
      </c>
    </row>
    <row r="10" spans="1:15" x14ac:dyDescent="0.25">
      <c r="A10" s="33" t="s">
        <v>24</v>
      </c>
      <c r="B10" s="35">
        <v>1589</v>
      </c>
      <c r="C10" s="147">
        <f>'[1]3. Continuity Schedule'!$BO29</f>
        <v>-3941961.405756556</v>
      </c>
      <c r="D10" s="147">
        <f>'[1]3. Continuity Schedule'!$BS29</f>
        <v>-106802.1214982282</v>
      </c>
      <c r="E10" s="147">
        <f t="shared" si="0"/>
        <v>-4048763.527254784</v>
      </c>
      <c r="F10" s="147">
        <f>'[2]RSVA Breakdown Summary'!$F$15</f>
        <v>-2294957.85</v>
      </c>
      <c r="G10" s="147">
        <f>'[2]RSVA Breakdown Summary'!$AE$15</f>
        <v>-69007.385999999999</v>
      </c>
      <c r="H10" s="147">
        <f t="shared" si="1"/>
        <v>-2363965.236</v>
      </c>
      <c r="I10" s="147">
        <f t="shared" si="7"/>
        <v>-1647003.5557565559</v>
      </c>
      <c r="J10" s="147">
        <f t="shared" si="8"/>
        <v>-37794.735498228198</v>
      </c>
      <c r="K10" s="147">
        <f t="shared" si="2"/>
        <v>-1684798.291254784</v>
      </c>
      <c r="L10" s="147">
        <f t="shared" si="3"/>
        <v>-3941961.405756556</v>
      </c>
      <c r="M10" s="147">
        <f t="shared" si="4"/>
        <v>-106802.1214982282</v>
      </c>
      <c r="N10" s="147">
        <f t="shared" si="5"/>
        <v>-4048763.527254784</v>
      </c>
      <c r="O10" s="147">
        <f t="shared" si="6"/>
        <v>0</v>
      </c>
    </row>
    <row r="11" spans="1:15" x14ac:dyDescent="0.25">
      <c r="A11" s="33" t="s">
        <v>70</v>
      </c>
      <c r="B11" s="35">
        <v>1595</v>
      </c>
      <c r="C11" s="147">
        <f>'[1]3. Continuity Schedule'!$BO31</f>
        <v>-1.2499999998472049</v>
      </c>
      <c r="D11" s="147">
        <f>'[1]3. Continuity Schedule'!$BS31</f>
        <v>-14988.198750000096</v>
      </c>
      <c r="E11" s="147">
        <f t="shared" si="0"/>
        <v>-14989.448749999943</v>
      </c>
      <c r="F11" s="147">
        <f t="shared" ref="F11:F13" si="9">C11</f>
        <v>-1.2499999998472049</v>
      </c>
      <c r="G11" s="147">
        <f t="shared" ref="G11:G13" si="10">D11</f>
        <v>-14988.198750000096</v>
      </c>
      <c r="H11" s="147">
        <f t="shared" si="1"/>
        <v>-14989.448749999943</v>
      </c>
      <c r="I11" s="147">
        <f t="shared" ref="I11:I13" si="11">C11-F11</f>
        <v>0</v>
      </c>
      <c r="J11" s="147">
        <f t="shared" ref="J11:J13" si="12">D11-G11</f>
        <v>0</v>
      </c>
      <c r="K11" s="147">
        <f t="shared" si="2"/>
        <v>0</v>
      </c>
      <c r="L11" s="147">
        <f t="shared" si="3"/>
        <v>-1.2499999998472049</v>
      </c>
      <c r="M11" s="147">
        <f t="shared" si="4"/>
        <v>-14988.198750000096</v>
      </c>
      <c r="N11" s="147">
        <f t="shared" si="5"/>
        <v>-14989.448749999943</v>
      </c>
      <c r="O11" s="147">
        <f t="shared" si="6"/>
        <v>0</v>
      </c>
    </row>
    <row r="12" spans="1:15" x14ac:dyDescent="0.25">
      <c r="A12" s="33" t="s">
        <v>71</v>
      </c>
      <c r="B12" s="35">
        <v>1595</v>
      </c>
      <c r="C12" s="147">
        <f>'[1]3. Continuity Schedule'!$BO33</f>
        <v>-3.0000000027939677E-2</v>
      </c>
      <c r="D12" s="147">
        <f>'[1]3. Continuity Schedule'!$BS33</f>
        <v>69021.989310000004</v>
      </c>
      <c r="E12" s="147">
        <f t="shared" si="0"/>
        <v>69021.959309999977</v>
      </c>
      <c r="F12" s="147">
        <f t="shared" si="9"/>
        <v>-3.0000000027939677E-2</v>
      </c>
      <c r="G12" s="147">
        <f t="shared" si="10"/>
        <v>69021.989310000004</v>
      </c>
      <c r="H12" s="147">
        <f t="shared" si="1"/>
        <v>69021.959309999977</v>
      </c>
      <c r="I12" s="147">
        <f t="shared" si="11"/>
        <v>0</v>
      </c>
      <c r="J12" s="147">
        <f t="shared" si="12"/>
        <v>0</v>
      </c>
      <c r="K12" s="147">
        <f t="shared" si="2"/>
        <v>0</v>
      </c>
      <c r="L12" s="147">
        <f t="shared" si="3"/>
        <v>-3.0000000027939677E-2</v>
      </c>
      <c r="M12" s="147">
        <f t="shared" si="4"/>
        <v>69021.989310000004</v>
      </c>
      <c r="N12" s="147">
        <f t="shared" si="5"/>
        <v>69021.959309999977</v>
      </c>
      <c r="O12" s="147">
        <f t="shared" si="6"/>
        <v>0</v>
      </c>
    </row>
    <row r="13" spans="1:15" x14ac:dyDescent="0.25">
      <c r="A13" s="33" t="s">
        <v>72</v>
      </c>
      <c r="B13" s="35">
        <v>1595</v>
      </c>
      <c r="C13" s="147">
        <f>'[1]3. Continuity Schedule'!$BO34</f>
        <v>-8095.219999999943</v>
      </c>
      <c r="D13" s="147">
        <f>'[1]3. Continuity Schedule'!$BS34</f>
        <v>-14102.430060000001</v>
      </c>
      <c r="E13" s="147">
        <f t="shared" si="0"/>
        <v>-22197.650059999942</v>
      </c>
      <c r="F13" s="147">
        <f t="shared" si="9"/>
        <v>-8095.219999999943</v>
      </c>
      <c r="G13" s="147">
        <f t="shared" si="10"/>
        <v>-14102.430060000001</v>
      </c>
      <c r="H13" s="147">
        <f t="shared" si="1"/>
        <v>-22197.650059999942</v>
      </c>
      <c r="I13" s="147">
        <f t="shared" si="11"/>
        <v>0</v>
      </c>
      <c r="J13" s="147">
        <f t="shared" si="12"/>
        <v>0</v>
      </c>
      <c r="K13" s="147">
        <f t="shared" si="2"/>
        <v>0</v>
      </c>
      <c r="L13" s="147">
        <f t="shared" si="3"/>
        <v>-8095.219999999943</v>
      </c>
      <c r="M13" s="147">
        <f t="shared" si="4"/>
        <v>-14102.430060000001</v>
      </c>
      <c r="N13" s="147">
        <f t="shared" si="5"/>
        <v>-22197.650059999942</v>
      </c>
      <c r="O13" s="147">
        <f t="shared" si="6"/>
        <v>0</v>
      </c>
    </row>
    <row r="14" spans="1:15" x14ac:dyDescent="0.25">
      <c r="B14" s="35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>
        <f t="shared" si="5"/>
        <v>0</v>
      </c>
      <c r="O14" s="147">
        <f t="shared" si="6"/>
        <v>0</v>
      </c>
    </row>
    <row r="15" spans="1:15" x14ac:dyDescent="0.25">
      <c r="A15" s="33" t="s">
        <v>24</v>
      </c>
      <c r="B15" s="35">
        <v>1589</v>
      </c>
      <c r="C15" s="147">
        <f>C10</f>
        <v>-3941961.405756556</v>
      </c>
      <c r="D15" s="147">
        <f>D10</f>
        <v>-106802.1214982282</v>
      </c>
      <c r="E15" s="147">
        <f>E10</f>
        <v>-4048763.527254784</v>
      </c>
      <c r="F15" s="147">
        <f>F10</f>
        <v>-2294957.85</v>
      </c>
      <c r="G15" s="147">
        <f>G10</f>
        <v>-69007.385999999999</v>
      </c>
      <c r="H15" s="147">
        <f>H10</f>
        <v>-2363965.236</v>
      </c>
      <c r="I15" s="147">
        <f>I10</f>
        <v>-1647003.5557565559</v>
      </c>
      <c r="J15" s="147">
        <f>J10</f>
        <v>-37794.735498228198</v>
      </c>
      <c r="K15" s="147">
        <f>K10</f>
        <v>-1684798.291254784</v>
      </c>
      <c r="L15" s="147">
        <f>L10</f>
        <v>-3941961.405756556</v>
      </c>
      <c r="M15" s="147">
        <f>M10</f>
        <v>-106802.1214982282</v>
      </c>
      <c r="N15" s="147">
        <f>N10</f>
        <v>-4048763.527254784</v>
      </c>
      <c r="O15" s="147">
        <f t="shared" si="6"/>
        <v>0</v>
      </c>
    </row>
    <row r="16" spans="1:15" x14ac:dyDescent="0.25">
      <c r="A16" s="33" t="s">
        <v>25</v>
      </c>
      <c r="B16" s="35"/>
      <c r="C16" s="147">
        <f>SUM(C2:C13)-C10</f>
        <v>3412033.8513363311</v>
      </c>
      <c r="D16" s="147">
        <f>SUM(D2:D13)-D10</f>
        <v>132833.647660519</v>
      </c>
      <c r="E16" s="147">
        <f>SUM(E2:E13)-E10</f>
        <v>3544867.4989968501</v>
      </c>
      <c r="F16" s="147">
        <f>SUM(F2:F13)-F10</f>
        <v>2190578.38</v>
      </c>
      <c r="G16" s="147">
        <f>SUM(G2:G13)-G10</f>
        <v>97081.802233333234</v>
      </c>
      <c r="H16" s="147">
        <f>SUM(H2:H13)-H10</f>
        <v>2287660.1822333331</v>
      </c>
      <c r="I16" s="147">
        <f>SUM(I2:I13)-I10</f>
        <v>1221455.4713363312</v>
      </c>
      <c r="J16" s="147">
        <f>SUM(J2:J13)-J10</f>
        <v>35751.845427185741</v>
      </c>
      <c r="K16" s="147">
        <f>SUM(K2:K13)-K10</f>
        <v>1257207.316763517</v>
      </c>
      <c r="L16" s="147">
        <f>SUM(L2:L13)-L10</f>
        <v>3412033.8513363311</v>
      </c>
      <c r="M16" s="147">
        <f>SUM(M2:M13)-M10</f>
        <v>132833.647660519</v>
      </c>
      <c r="N16" s="147">
        <f>SUM(N2:N13)-N10</f>
        <v>3544867.4989968501</v>
      </c>
      <c r="O16" s="147">
        <f t="shared" si="6"/>
        <v>0</v>
      </c>
    </row>
    <row r="17" spans="1:15" x14ac:dyDescent="0.25">
      <c r="A17" s="33" t="s">
        <v>26</v>
      </c>
      <c r="B17" s="35"/>
      <c r="C17" s="147">
        <f t="shared" ref="C17:K17" si="13">C15+C16</f>
        <v>-529927.55442022486</v>
      </c>
      <c r="D17" s="147">
        <f t="shared" si="13"/>
        <v>26031.5261622908</v>
      </c>
      <c r="E17" s="147">
        <f t="shared" si="13"/>
        <v>-503896.02825793391</v>
      </c>
      <c r="F17" s="147">
        <f t="shared" si="13"/>
        <v>-104379.4700000002</v>
      </c>
      <c r="G17" s="147">
        <f t="shared" si="13"/>
        <v>28074.416233333235</v>
      </c>
      <c r="H17" s="147">
        <f t="shared" si="13"/>
        <v>-76305.053766666912</v>
      </c>
      <c r="I17" s="147">
        <f t="shared" si="13"/>
        <v>-425548.08442022465</v>
      </c>
      <c r="J17" s="147">
        <f t="shared" si="13"/>
        <v>-2042.8900710424568</v>
      </c>
      <c r="K17" s="147">
        <f t="shared" si="13"/>
        <v>-427590.974491267</v>
      </c>
      <c r="L17" s="147">
        <f t="shared" ref="L17:N17" si="14">L15+L16</f>
        <v>-529927.55442022486</v>
      </c>
      <c r="M17" s="147">
        <f t="shared" si="14"/>
        <v>26031.5261622908</v>
      </c>
      <c r="N17" s="147">
        <f t="shared" si="14"/>
        <v>-503896.02825793391</v>
      </c>
      <c r="O17" s="147">
        <f t="shared" si="6"/>
        <v>0</v>
      </c>
    </row>
    <row r="18" spans="1:15" x14ac:dyDescent="0.25"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</sheetData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0"/>
  <sheetViews>
    <sheetView topLeftCell="B4" workbookViewId="0">
      <selection activeCell="K18" sqref="K18"/>
    </sheetView>
  </sheetViews>
  <sheetFormatPr defaultColWidth="9.140625" defaultRowHeight="15" x14ac:dyDescent="0.25"/>
  <cols>
    <col min="1" max="1" width="55.140625" style="9" customWidth="1"/>
    <col min="2" max="2" width="9.140625" style="9" customWidth="1"/>
    <col min="3" max="8" width="16" style="9" customWidth="1"/>
    <col min="9" max="9" width="18" style="9" customWidth="1"/>
    <col min="10" max="13" width="17.7109375" style="9" customWidth="1"/>
    <col min="14" max="14" width="15.7109375" style="9" customWidth="1"/>
    <col min="15" max="15" width="11.5703125" style="9" bestFit="1" customWidth="1"/>
    <col min="16" max="16384" width="9.140625" style="9"/>
  </cols>
  <sheetData>
    <row r="1" spans="1:67" s="1" customFormat="1" x14ac:dyDescent="0.25">
      <c r="BO1" s="2"/>
    </row>
    <row r="2" spans="1:67" s="1" customFormat="1" x14ac:dyDescent="0.25">
      <c r="B2" s="2" t="b">
        <v>1</v>
      </c>
    </row>
    <row r="3" spans="1:67" s="1" customFormat="1" x14ac:dyDescent="0.25"/>
    <row r="4" spans="1:67" s="1" customFormat="1" x14ac:dyDescent="0.25"/>
    <row r="5" spans="1:67" s="1" customFormat="1" x14ac:dyDescent="0.25"/>
    <row r="6" spans="1:67" s="1" customFormat="1" ht="15.75" thickBot="1" x14ac:dyDescent="0.3"/>
    <row r="7" spans="1:67" s="1" customFormat="1" ht="15.75" thickBot="1" x14ac:dyDescent="0.3">
      <c r="B7" s="3"/>
      <c r="C7" s="4"/>
      <c r="D7" s="4"/>
      <c r="E7" s="4"/>
      <c r="F7" s="4"/>
      <c r="G7" s="4"/>
      <c r="H7" s="4"/>
      <c r="I7" s="4"/>
      <c r="J7" s="4"/>
    </row>
    <row r="8" spans="1:67" s="1" customFormat="1" ht="15.75" thickBot="1" x14ac:dyDescent="0.3">
      <c r="A8" s="5"/>
      <c r="B8" s="3"/>
      <c r="C8" s="6"/>
      <c r="D8" s="4"/>
      <c r="E8" s="4"/>
      <c r="F8" s="4"/>
      <c r="G8" s="4"/>
      <c r="H8" s="4"/>
      <c r="I8" s="4"/>
      <c r="J8" s="4"/>
    </row>
    <row r="9" spans="1:67" s="1" customFormat="1" ht="15.75" thickBot="1" x14ac:dyDescent="0.3">
      <c r="B9" s="3"/>
      <c r="C9" s="4"/>
      <c r="D9" s="4"/>
      <c r="E9" s="4"/>
      <c r="F9" s="4"/>
      <c r="G9" s="4"/>
      <c r="H9" s="4"/>
      <c r="I9" s="4"/>
      <c r="J9" s="4"/>
    </row>
    <row r="10" spans="1:67" s="1" customFormat="1" ht="15.75" thickBot="1" x14ac:dyDescent="0.3">
      <c r="B10" s="3"/>
      <c r="C10" s="4"/>
      <c r="D10" s="4"/>
      <c r="E10" s="4"/>
      <c r="F10" s="4"/>
      <c r="G10" s="4"/>
      <c r="H10" s="4"/>
      <c r="I10" s="4"/>
      <c r="J10" s="4"/>
    </row>
    <row r="11" spans="1:67" s="1" customFormat="1" ht="15.75" thickBot="1" x14ac:dyDescent="0.3">
      <c r="B11" s="3"/>
      <c r="C11" s="4"/>
      <c r="D11" s="4"/>
      <c r="E11" s="4"/>
      <c r="F11" s="4"/>
      <c r="G11" s="4"/>
      <c r="H11" s="4"/>
      <c r="I11" s="4"/>
      <c r="J11" s="4"/>
    </row>
    <row r="12" spans="1:67" s="1" customFormat="1" ht="15.75" thickBot="1" x14ac:dyDescent="0.3">
      <c r="A12" s="7"/>
      <c r="B12" s="3"/>
      <c r="C12" s="4"/>
      <c r="D12" s="4"/>
      <c r="E12" s="4"/>
      <c r="F12" s="4"/>
      <c r="G12" s="4"/>
      <c r="H12" s="4"/>
      <c r="I12" s="4"/>
      <c r="J12" s="4"/>
    </row>
    <row r="13" spans="1:67" ht="27" customHeight="1" thickBot="1" x14ac:dyDescent="0.3">
      <c r="A13" s="148"/>
      <c r="B13" s="149"/>
      <c r="C13" s="150"/>
      <c r="D13" s="150"/>
      <c r="E13" s="150"/>
      <c r="F13" s="150"/>
      <c r="G13" s="150"/>
      <c r="H13" s="8"/>
      <c r="I13" s="8"/>
      <c r="J13" s="8"/>
      <c r="K13" s="116"/>
      <c r="L13" s="116"/>
      <c r="M13" s="116"/>
    </row>
    <row r="14" spans="1:67" s="12" customFormat="1" ht="15.75" thickBot="1" x14ac:dyDescent="0.3">
      <c r="A14" s="9"/>
      <c r="B14" s="10"/>
      <c r="C14" s="151"/>
      <c r="D14" s="151"/>
      <c r="E14" s="151"/>
      <c r="F14" s="151"/>
      <c r="G14" s="151"/>
      <c r="H14" s="151"/>
      <c r="I14" s="11"/>
      <c r="J14" s="11"/>
      <c r="K14" s="131"/>
      <c r="L14" s="131"/>
      <c r="M14" s="131"/>
    </row>
    <row r="15" spans="1:67" s="91" customFormat="1" ht="33.75" customHeight="1" thickBot="1" x14ac:dyDescent="0.3">
      <c r="A15" s="89"/>
      <c r="B15" s="90"/>
      <c r="C15" s="152" t="s">
        <v>0</v>
      </c>
      <c r="D15" s="152" t="s">
        <v>1</v>
      </c>
      <c r="E15" s="152" t="s">
        <v>2</v>
      </c>
      <c r="F15" s="152" t="s">
        <v>3</v>
      </c>
      <c r="G15" s="154" t="s">
        <v>4</v>
      </c>
      <c r="H15" s="154" t="s">
        <v>5</v>
      </c>
      <c r="I15" s="152" t="s">
        <v>6</v>
      </c>
      <c r="J15" s="152" t="s">
        <v>7</v>
      </c>
      <c r="K15" s="154" t="s">
        <v>67</v>
      </c>
      <c r="L15" s="154" t="s">
        <v>68</v>
      </c>
      <c r="M15" s="154" t="s">
        <v>69</v>
      </c>
      <c r="N15" s="156" t="s">
        <v>50</v>
      </c>
    </row>
    <row r="16" spans="1:67" s="15" customFormat="1" ht="36.75" customHeight="1" thickBot="1" x14ac:dyDescent="0.3">
      <c r="A16" s="13" t="s">
        <v>8</v>
      </c>
      <c r="B16" s="14" t="s">
        <v>9</v>
      </c>
      <c r="C16" s="153"/>
      <c r="D16" s="153"/>
      <c r="E16" s="153"/>
      <c r="F16" s="153"/>
      <c r="G16" s="155"/>
      <c r="H16" s="155"/>
      <c r="I16" s="153"/>
      <c r="J16" s="153"/>
      <c r="K16" s="155"/>
      <c r="L16" s="155"/>
      <c r="M16" s="155"/>
      <c r="N16" s="157"/>
    </row>
    <row r="17" spans="1:14" ht="15.75" customHeight="1" thickBot="1" x14ac:dyDescent="0.3">
      <c r="A17" s="16" t="s">
        <v>10</v>
      </c>
      <c r="B17" s="17" t="s">
        <v>11</v>
      </c>
      <c r="C17" s="123">
        <v>149120393</v>
      </c>
      <c r="D17" s="124"/>
      <c r="E17" s="124">
        <v>22368059</v>
      </c>
      <c r="F17" s="124">
        <v>0</v>
      </c>
      <c r="G17" s="124"/>
      <c r="H17" s="124"/>
      <c r="I17" s="18">
        <f t="shared" ref="I17:J23" si="0">C17-G17</f>
        <v>149120393</v>
      </c>
      <c r="J17" s="19">
        <f t="shared" si="0"/>
        <v>0</v>
      </c>
      <c r="K17" s="136">
        <f>C17/$C$24</f>
        <v>0.3923850777011319</v>
      </c>
      <c r="L17" s="132">
        <f>K17</f>
        <v>0.3923850777011319</v>
      </c>
      <c r="M17" s="132">
        <f>K17</f>
        <v>0.3923850777011319</v>
      </c>
      <c r="N17" s="129">
        <v>18899</v>
      </c>
    </row>
    <row r="18" spans="1:14" ht="15.75" customHeight="1" thickBot="1" x14ac:dyDescent="0.3">
      <c r="A18" s="16" t="s">
        <v>12</v>
      </c>
      <c r="B18" s="17" t="s">
        <v>11</v>
      </c>
      <c r="C18" s="123">
        <v>61992882</v>
      </c>
      <c r="D18" s="124"/>
      <c r="E18" s="124">
        <v>11158719</v>
      </c>
      <c r="F18" s="124">
        <v>0</v>
      </c>
      <c r="G18" s="124"/>
      <c r="H18" s="124"/>
      <c r="I18" s="18">
        <f t="shared" si="0"/>
        <v>61992882</v>
      </c>
      <c r="J18" s="19">
        <f t="shared" si="0"/>
        <v>0</v>
      </c>
      <c r="K18" s="136">
        <f t="shared" ref="K18:K23" si="1">C18/$C$24</f>
        <v>0.16312377758075719</v>
      </c>
      <c r="L18" s="132">
        <f t="shared" ref="L18:L23" si="2">K18</f>
        <v>0.16312377758075719</v>
      </c>
      <c r="M18" s="132">
        <f t="shared" ref="M18:M23" si="3">K18</f>
        <v>0.16312377758075719</v>
      </c>
      <c r="N18" s="130">
        <v>2347</v>
      </c>
    </row>
    <row r="19" spans="1:14" ht="15.75" customHeight="1" thickBot="1" x14ac:dyDescent="0.3">
      <c r="A19" s="16" t="s">
        <v>13</v>
      </c>
      <c r="B19" s="17" t="s">
        <v>14</v>
      </c>
      <c r="C19" s="123">
        <v>130806348</v>
      </c>
      <c r="D19" s="124">
        <v>344556</v>
      </c>
      <c r="E19" s="124">
        <v>106075179.69</v>
      </c>
      <c r="F19" s="124">
        <v>280349.97505172674</v>
      </c>
      <c r="G19" s="124">
        <v>1186025.31</v>
      </c>
      <c r="H19" s="124">
        <v>2185.9439999999995</v>
      </c>
      <c r="I19" s="18">
        <f t="shared" si="0"/>
        <v>129620322.69</v>
      </c>
      <c r="J19" s="19">
        <f t="shared" si="0"/>
        <v>342370.05599999998</v>
      </c>
      <c r="K19" s="132">
        <f t="shared" si="1"/>
        <v>0.34419476767192597</v>
      </c>
      <c r="L19" s="132">
        <f t="shared" si="2"/>
        <v>0.34419476767192597</v>
      </c>
      <c r="M19" s="132">
        <f t="shared" si="3"/>
        <v>0.34419476767192597</v>
      </c>
      <c r="N19" s="121"/>
    </row>
    <row r="20" spans="1:14" ht="15.75" customHeight="1" thickBot="1" x14ac:dyDescent="0.3">
      <c r="A20" s="16" t="s">
        <v>15</v>
      </c>
      <c r="B20" s="17" t="s">
        <v>11</v>
      </c>
      <c r="C20" s="123">
        <v>466025</v>
      </c>
      <c r="D20" s="124"/>
      <c r="E20" s="124"/>
      <c r="F20" s="124">
        <v>0</v>
      </c>
      <c r="G20" s="124"/>
      <c r="H20" s="124"/>
      <c r="I20" s="18">
        <f t="shared" si="0"/>
        <v>466025</v>
      </c>
      <c r="J20" s="19">
        <f t="shared" si="0"/>
        <v>0</v>
      </c>
      <c r="K20" s="132">
        <f t="shared" si="1"/>
        <v>1.2262659194820522E-3</v>
      </c>
      <c r="L20" s="132">
        <f t="shared" si="2"/>
        <v>1.2262659194820522E-3</v>
      </c>
      <c r="M20" s="132">
        <f t="shared" si="3"/>
        <v>1.2262659194820522E-3</v>
      </c>
      <c r="N20" s="121"/>
    </row>
    <row r="21" spans="1:14" ht="15.75" customHeight="1" thickBot="1" x14ac:dyDescent="0.3">
      <c r="A21" s="16" t="s">
        <v>16</v>
      </c>
      <c r="B21" s="17" t="s">
        <v>14</v>
      </c>
      <c r="C21" s="123">
        <v>349585</v>
      </c>
      <c r="D21" s="124">
        <v>879</v>
      </c>
      <c r="E21" s="124"/>
      <c r="F21" s="124">
        <v>0</v>
      </c>
      <c r="G21" s="124"/>
      <c r="H21" s="124"/>
      <c r="I21" s="18">
        <f t="shared" si="0"/>
        <v>349585</v>
      </c>
      <c r="J21" s="19">
        <f t="shared" si="0"/>
        <v>879</v>
      </c>
      <c r="K21" s="132">
        <f t="shared" si="1"/>
        <v>9.1987376527468106E-4</v>
      </c>
      <c r="L21" s="132">
        <f t="shared" si="2"/>
        <v>9.1987376527468106E-4</v>
      </c>
      <c r="M21" s="132">
        <f t="shared" si="3"/>
        <v>9.1987376527468106E-4</v>
      </c>
      <c r="N21" s="121"/>
    </row>
    <row r="22" spans="1:14" ht="15.75" customHeight="1" thickBot="1" x14ac:dyDescent="0.3">
      <c r="A22" s="16" t="s">
        <v>17</v>
      </c>
      <c r="B22" s="20" t="s">
        <v>14</v>
      </c>
      <c r="C22" s="125">
        <v>3400608</v>
      </c>
      <c r="D22" s="126">
        <v>9791</v>
      </c>
      <c r="E22" s="126">
        <v>34006</v>
      </c>
      <c r="F22" s="126">
        <v>97.90976966471878</v>
      </c>
      <c r="G22" s="126"/>
      <c r="H22" s="126"/>
      <c r="I22" s="21">
        <f t="shared" si="0"/>
        <v>3400608</v>
      </c>
      <c r="J22" s="22">
        <f t="shared" si="0"/>
        <v>9791</v>
      </c>
      <c r="K22" s="133">
        <f t="shared" si="1"/>
        <v>8.9481244480833066E-3</v>
      </c>
      <c r="L22" s="133">
        <f t="shared" si="2"/>
        <v>8.9481244480833066E-3</v>
      </c>
      <c r="M22" s="133">
        <f t="shared" si="3"/>
        <v>8.9481244480833066E-3</v>
      </c>
      <c r="N22" s="121"/>
    </row>
    <row r="23" spans="1:14" ht="15.75" customHeight="1" thickBot="1" x14ac:dyDescent="0.3">
      <c r="A23" s="23" t="s">
        <v>18</v>
      </c>
      <c r="B23" s="24" t="s">
        <v>11</v>
      </c>
      <c r="C23" s="127">
        <v>33900000</v>
      </c>
      <c r="D23" s="128"/>
      <c r="E23" s="128">
        <v>33900000</v>
      </c>
      <c r="F23" s="128">
        <v>0</v>
      </c>
      <c r="G23" s="128"/>
      <c r="H23" s="128"/>
      <c r="I23" s="25">
        <f t="shared" si="0"/>
        <v>33900000</v>
      </c>
      <c r="J23" s="26">
        <f t="shared" si="0"/>
        <v>0</v>
      </c>
      <c r="K23" s="134">
        <f t="shared" si="1"/>
        <v>8.9202112913344928E-2</v>
      </c>
      <c r="L23" s="134">
        <f t="shared" si="2"/>
        <v>8.9202112913344928E-2</v>
      </c>
      <c r="M23" s="134">
        <f t="shared" si="3"/>
        <v>8.9202112913344928E-2</v>
      </c>
      <c r="N23" s="119"/>
    </row>
    <row r="24" spans="1:14" x14ac:dyDescent="0.25">
      <c r="B24" s="27" t="s">
        <v>19</v>
      </c>
      <c r="C24" s="28">
        <f>SUM($C$17:$C$23)</f>
        <v>380035841</v>
      </c>
      <c r="D24" s="28">
        <f>SUM($D$17:$D$23)</f>
        <v>355226</v>
      </c>
      <c r="E24" s="28">
        <f>SUM($E$17:$E$23)</f>
        <v>173535963.69</v>
      </c>
      <c r="F24" s="28">
        <f>SUM($F$17:$F$23)</f>
        <v>280447.88482139143</v>
      </c>
      <c r="G24" s="28">
        <f>SUM($G$17:$G$23)</f>
        <v>1186025.31</v>
      </c>
      <c r="H24" s="28">
        <f>SUM($H$17:$H$23)</f>
        <v>2185.9439999999995</v>
      </c>
      <c r="I24" s="28">
        <f>SUM($I$17:$I$23)</f>
        <v>378849815.69</v>
      </c>
      <c r="J24" s="28">
        <f>SUM($J$17:$J$23)</f>
        <v>353040.05599999998</v>
      </c>
      <c r="K24" s="135">
        <f>SUM(K17:K23)</f>
        <v>1.0000000000000002</v>
      </c>
      <c r="L24" s="135">
        <f t="shared" ref="L24:M24" si="4">SUM(L17:L23)</f>
        <v>1.0000000000000002</v>
      </c>
      <c r="M24" s="135">
        <f t="shared" si="4"/>
        <v>1.0000000000000002</v>
      </c>
      <c r="N24" s="120">
        <f>SUM($N$17:$N$23)</f>
        <v>21246</v>
      </c>
    </row>
    <row r="27" spans="1:14" ht="17.25" x14ac:dyDescent="0.25">
      <c r="A27" s="30"/>
    </row>
    <row r="28" spans="1:14" ht="17.25" x14ac:dyDescent="0.25">
      <c r="A28" s="30"/>
    </row>
    <row r="29" spans="1:14" ht="17.25" x14ac:dyDescent="0.25">
      <c r="A29" s="30"/>
    </row>
    <row r="30" spans="1:14" ht="17.25" x14ac:dyDescent="0.25">
      <c r="A30" s="30"/>
    </row>
  </sheetData>
  <mergeCells count="14">
    <mergeCell ref="I15:I16"/>
    <mergeCell ref="J15:J16"/>
    <mergeCell ref="N15:N16"/>
    <mergeCell ref="K15:K16"/>
    <mergeCell ref="L15:L16"/>
    <mergeCell ref="M15:M16"/>
    <mergeCell ref="A13:G13"/>
    <mergeCell ref="C14:H14"/>
    <mergeCell ref="C15:C16"/>
    <mergeCell ref="D15:D16"/>
    <mergeCell ref="E15:E16"/>
    <mergeCell ref="F15:F16"/>
    <mergeCell ref="G15:G16"/>
    <mergeCell ref="H15:H16"/>
  </mergeCells>
  <dataValidations count="1">
    <dataValidation type="list" allowBlank="1" showInputMessage="1" showErrorMessage="1" sqref="B13 B17:B23">
      <formula1>"kWh, kW, kVA"</formula1>
    </dataValidation>
  </dataValidations>
  <pageMargins left="0.7" right="0.7" top="0.75" bottom="0.75" header="0.3" footer="0.3"/>
  <pageSetup scal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40"/>
  <sheetViews>
    <sheetView topLeftCell="E1" workbookViewId="0">
      <selection activeCell="L46" sqref="L46"/>
    </sheetView>
  </sheetViews>
  <sheetFormatPr defaultColWidth="9.140625" defaultRowHeight="15" x14ac:dyDescent="0.25"/>
  <cols>
    <col min="1" max="1" width="61.42578125" style="36" customWidth="1"/>
    <col min="2" max="2" width="9.140625" style="9"/>
    <col min="3" max="3" width="14.85546875" style="9" customWidth="1"/>
    <col min="4" max="4" width="11.85546875" style="9" customWidth="1"/>
    <col min="5" max="5" width="14.7109375" style="9" customWidth="1"/>
    <col min="6" max="14" width="14.85546875" style="9" customWidth="1"/>
    <col min="15" max="16384" width="9.140625" style="9"/>
  </cols>
  <sheetData>
    <row r="12" spans="1:14" ht="18" x14ac:dyDescent="0.25">
      <c r="A12" s="37" t="s">
        <v>59</v>
      </c>
    </row>
    <row r="13" spans="1:14" s="88" customFormat="1" ht="29.25" customHeight="1" x14ac:dyDescent="0.25">
      <c r="A13" s="81"/>
      <c r="B13" s="82"/>
      <c r="C13" s="161" t="s">
        <v>76</v>
      </c>
      <c r="D13" s="161" t="s">
        <v>30</v>
      </c>
      <c r="E13" s="161" t="s">
        <v>77</v>
      </c>
      <c r="F13" s="83"/>
      <c r="G13" s="84"/>
      <c r="H13" s="84" t="s">
        <v>31</v>
      </c>
      <c r="I13" s="83"/>
      <c r="J13" s="83"/>
      <c r="K13" s="84" t="s">
        <v>31</v>
      </c>
      <c r="L13" s="158" t="s">
        <v>32</v>
      </c>
      <c r="M13" s="158" t="s">
        <v>33</v>
      </c>
      <c r="N13" s="158" t="s">
        <v>34</v>
      </c>
    </row>
    <row r="14" spans="1:14" s="88" customFormat="1" ht="20.25" customHeight="1" x14ac:dyDescent="0.25">
      <c r="A14" s="85" t="s">
        <v>8</v>
      </c>
      <c r="B14" s="86"/>
      <c r="C14" s="162"/>
      <c r="D14" s="162"/>
      <c r="E14" s="162"/>
      <c r="F14" s="87">
        <v>1550</v>
      </c>
      <c r="G14" s="87">
        <v>1551</v>
      </c>
      <c r="H14" s="87">
        <v>1580</v>
      </c>
      <c r="I14" s="87">
        <v>1584</v>
      </c>
      <c r="J14" s="87">
        <v>1586</v>
      </c>
      <c r="K14" s="87">
        <v>1588</v>
      </c>
      <c r="L14" s="159"/>
      <c r="M14" s="160"/>
      <c r="N14" s="160"/>
    </row>
    <row r="15" spans="1:14" ht="16.5" x14ac:dyDescent="0.3">
      <c r="B15" s="38"/>
      <c r="C15" s="39"/>
      <c r="D15" s="40"/>
      <c r="E15" s="40"/>
      <c r="F15" s="40"/>
      <c r="G15" s="40"/>
      <c r="H15" s="40"/>
      <c r="I15" s="39"/>
      <c r="J15" s="40"/>
    </row>
    <row r="16" spans="1:14" ht="15.75" customHeight="1" x14ac:dyDescent="0.25">
      <c r="A16" s="41" t="s">
        <v>10</v>
      </c>
      <c r="C16" s="42">
        <f>'Billing Determinants'!C17/'Billing Determinants'!$C$24</f>
        <v>0.3923850777011319</v>
      </c>
      <c r="D16" s="42">
        <f>'Billing Determinants'!N17/'Billing Determinants'!$N$24</f>
        <v>0.88953214722771345</v>
      </c>
      <c r="E16" s="42">
        <f>'Billing Determinants'!I17/'Billing Determinants'!$I$24</f>
        <v>0.39361347643368044</v>
      </c>
      <c r="F16" s="144">
        <f>F$24*$C16</f>
        <v>61299.579748685064</v>
      </c>
      <c r="G16" s="144">
        <f>G24*D16</f>
        <v>-10565.276109366467</v>
      </c>
      <c r="H16" s="144">
        <f>$E16*H$24</f>
        <v>-594493.37807440839</v>
      </c>
      <c r="I16" s="144">
        <f>I$24*$C16</f>
        <v>-49647.0995992881</v>
      </c>
      <c r="J16" s="144">
        <f>J$24*$C16</f>
        <v>-36954.490317722011</v>
      </c>
      <c r="K16" s="144">
        <f>$E16*K$24</f>
        <v>1512472.9269475495</v>
      </c>
      <c r="L16" s="144">
        <f t="shared" ref="L16:N22" si="0">L$24*$C16</f>
        <v>-5881.6360124658622</v>
      </c>
      <c r="M16" s="144">
        <f t="shared" si="0"/>
        <v>27083.186866938704</v>
      </c>
      <c r="N16" s="144">
        <f t="shared" si="0"/>
        <v>-8710.026643575613</v>
      </c>
    </row>
    <row r="17" spans="1:14" ht="15.75" customHeight="1" x14ac:dyDescent="0.25">
      <c r="A17" s="41" t="s">
        <v>12</v>
      </c>
      <c r="C17" s="42">
        <f>'Billing Determinants'!C18/'Billing Determinants'!$C$24</f>
        <v>0.16312377758075719</v>
      </c>
      <c r="D17" s="42">
        <f>'Billing Determinants'!N18/'Billing Determinants'!$N$24</f>
        <v>0.11046785277228655</v>
      </c>
      <c r="E17" s="42">
        <f>'Billing Determinants'!I18/'Billing Determinants'!$I$24</f>
        <v>0.16363445205085353</v>
      </c>
      <c r="F17" s="144">
        <f t="shared" ref="F17:F22" si="1">F$24*$C17</f>
        <v>25483.688297480701</v>
      </c>
      <c r="G17" s="144">
        <f>D17*G24</f>
        <v>-1312.0642906335306</v>
      </c>
      <c r="H17" s="144">
        <f t="shared" ref="H17:H22" si="2">$E17*H$24</f>
        <v>-247144.98865858131</v>
      </c>
      <c r="I17" s="144">
        <f t="shared" ref="I17:J22" si="3">I$24*$C17</f>
        <v>-20639.476098355739</v>
      </c>
      <c r="J17" s="144">
        <f t="shared" si="3"/>
        <v>-15362.857564603408</v>
      </c>
      <c r="K17" s="144">
        <f t="shared" ref="K17:K22" si="4">$E17*K$24</f>
        <v>628770.84617429925</v>
      </c>
      <c r="L17" s="144">
        <f t="shared" si="0"/>
        <v>-2445.1355039531495</v>
      </c>
      <c r="M17" s="144">
        <f t="shared" si="0"/>
        <v>11259.12273867251</v>
      </c>
      <c r="N17" s="144">
        <f t="shared" si="0"/>
        <v>-3620.964531202912</v>
      </c>
    </row>
    <row r="18" spans="1:14" ht="15.75" customHeight="1" x14ac:dyDescent="0.25">
      <c r="A18" s="41" t="s">
        <v>13</v>
      </c>
      <c r="C18" s="42">
        <f>'Billing Determinants'!C19/'Billing Determinants'!$C$24</f>
        <v>0.34419476767192597</v>
      </c>
      <c r="D18" s="42">
        <v>0</v>
      </c>
      <c r="E18" s="42">
        <f>'Billing Determinants'!I19/'Billing Determinants'!$I$24</f>
        <v>0.34214170714039338</v>
      </c>
      <c r="F18" s="144">
        <f t="shared" si="1"/>
        <v>53771.14423820121</v>
      </c>
      <c r="G18" s="144">
        <v>0</v>
      </c>
      <c r="H18" s="144">
        <f t="shared" si="2"/>
        <v>-516753.08757450082</v>
      </c>
      <c r="I18" s="144">
        <f t="shared" si="3"/>
        <v>-43549.749680281078</v>
      </c>
      <c r="J18" s="144">
        <f t="shared" si="3"/>
        <v>-32415.968221479776</v>
      </c>
      <c r="K18" s="144">
        <f t="shared" si="4"/>
        <v>1314690.9346653221</v>
      </c>
      <c r="L18" s="144">
        <f t="shared" si="0"/>
        <v>-5159.2898300364714</v>
      </c>
      <c r="M18" s="144">
        <f t="shared" si="0"/>
        <v>23756.997248966571</v>
      </c>
      <c r="N18" s="144">
        <f t="shared" si="0"/>
        <v>-7640.3150052643932</v>
      </c>
    </row>
    <row r="19" spans="1:14" ht="15.75" customHeight="1" x14ac:dyDescent="0.25">
      <c r="A19" s="41" t="s">
        <v>15</v>
      </c>
      <c r="C19" s="42">
        <f>'Billing Determinants'!C20/'Billing Determinants'!$C$24</f>
        <v>1.2262659194820522E-3</v>
      </c>
      <c r="D19" s="42">
        <v>0</v>
      </c>
      <c r="E19" s="42">
        <f>'Billing Determinants'!I20/'Billing Determinants'!$I$24</f>
        <v>1.2301048613451947E-3</v>
      </c>
      <c r="F19" s="144">
        <f t="shared" si="1"/>
        <v>191.57095872447812</v>
      </c>
      <c r="G19" s="144">
        <v>0</v>
      </c>
      <c r="H19" s="144">
        <f t="shared" si="2"/>
        <v>-1857.8865770366242</v>
      </c>
      <c r="I19" s="144">
        <f t="shared" si="3"/>
        <v>-155.15510068940225</v>
      </c>
      <c r="J19" s="144">
        <f t="shared" si="3"/>
        <v>-115.48867330517562</v>
      </c>
      <c r="K19" s="144">
        <f t="shared" si="4"/>
        <v>4726.7190060364965</v>
      </c>
      <c r="L19" s="144">
        <f t="shared" si="0"/>
        <v>-18.381050153947779</v>
      </c>
      <c r="M19" s="144">
        <f t="shared" si="0"/>
        <v>84.639276397729915</v>
      </c>
      <c r="N19" s="144">
        <f t="shared" si="0"/>
        <v>-27.220221761166659</v>
      </c>
    </row>
    <row r="20" spans="1:14" ht="15.75" customHeight="1" x14ac:dyDescent="0.25">
      <c r="A20" s="41" t="s">
        <v>16</v>
      </c>
      <c r="C20" s="42">
        <f>'Billing Determinants'!C21/'Billing Determinants'!$C$24</f>
        <v>9.1987376527468106E-4</v>
      </c>
      <c r="D20" s="42">
        <v>0</v>
      </c>
      <c r="E20" s="42">
        <f>'Billing Determinants'!I21/'Billing Determinants'!$I$24</f>
        <v>9.2275351741507401E-4</v>
      </c>
      <c r="F20" s="144">
        <f t="shared" si="1"/>
        <v>143.70545272398837</v>
      </c>
      <c r="G20" s="144">
        <v>0</v>
      </c>
      <c r="H20" s="144">
        <f t="shared" si="2"/>
        <v>-1393.6790494787795</v>
      </c>
      <c r="I20" s="144">
        <f t="shared" si="3"/>
        <v>-116.38838232821134</v>
      </c>
      <c r="J20" s="144">
        <f t="shared" si="3"/>
        <v>-86.632922820427709</v>
      </c>
      <c r="K20" s="144">
        <f t="shared" si="4"/>
        <v>3545.7112037450106</v>
      </c>
      <c r="L20" s="144">
        <f t="shared" si="0"/>
        <v>-13.788400661054309</v>
      </c>
      <c r="M20" s="144">
        <f t="shared" si="0"/>
        <v>63.491489597125508</v>
      </c>
      <c r="N20" s="144">
        <f t="shared" si="0"/>
        <v>-20.419035940941896</v>
      </c>
    </row>
    <row r="21" spans="1:14" ht="15.75" customHeight="1" x14ac:dyDescent="0.25">
      <c r="A21" s="41" t="s">
        <v>17</v>
      </c>
      <c r="C21" s="42">
        <f>'Billing Determinants'!C22/'Billing Determinants'!$C$24</f>
        <v>8.9481244480833066E-3</v>
      </c>
      <c r="D21" s="42">
        <v>0</v>
      </c>
      <c r="E21" s="42">
        <f>'Billing Determinants'!I22/'Billing Determinants'!$I$24</f>
        <v>8.9761374010608012E-3</v>
      </c>
      <c r="F21" s="144">
        <f t="shared" si="1"/>
        <v>1397.9029768920768</v>
      </c>
      <c r="G21" s="144">
        <v>0</v>
      </c>
      <c r="H21" s="144">
        <f t="shared" si="2"/>
        <v>-13557.092338315242</v>
      </c>
      <c r="I21" s="144">
        <f t="shared" si="3"/>
        <v>-1132.1746186260111</v>
      </c>
      <c r="J21" s="144">
        <f t="shared" si="3"/>
        <v>-842.7266913812922</v>
      </c>
      <c r="K21" s="144">
        <f t="shared" si="4"/>
        <v>34491.1076995435</v>
      </c>
      <c r="L21" s="144">
        <f t="shared" si="0"/>
        <v>-134.12745282316624</v>
      </c>
      <c r="M21" s="144">
        <f t="shared" si="0"/>
        <v>617.61708155642202</v>
      </c>
      <c r="N21" s="144">
        <f t="shared" si="0"/>
        <v>-198.62733519188336</v>
      </c>
    </row>
    <row r="22" spans="1:14" ht="15.75" customHeight="1" thickBot="1" x14ac:dyDescent="0.3">
      <c r="A22" s="44" t="s">
        <v>18</v>
      </c>
      <c r="B22" s="45"/>
      <c r="C22" s="46">
        <f>'Billing Determinants'!C23/'Billing Determinants'!$C$24</f>
        <v>8.9202112913344928E-2</v>
      </c>
      <c r="D22" s="46">
        <v>0</v>
      </c>
      <c r="E22" s="46">
        <f>'Billing Determinants'!I23/'Billing Determinants'!$I$24</f>
        <v>8.9481368595251534E-2</v>
      </c>
      <c r="F22" s="145">
        <f t="shared" si="1"/>
        <v>13935.422993959141</v>
      </c>
      <c r="G22" s="145">
        <v>0</v>
      </c>
      <c r="H22" s="145">
        <f t="shared" si="2"/>
        <v>-135148.0177276789</v>
      </c>
      <c r="I22" s="145">
        <f t="shared" si="3"/>
        <v>-11286.428653764789</v>
      </c>
      <c r="J22" s="145">
        <f t="shared" si="3"/>
        <v>-8400.978542021252</v>
      </c>
      <c r="K22" s="145">
        <f t="shared" si="4"/>
        <v>343835.14683683758</v>
      </c>
      <c r="L22" s="145">
        <f t="shared" si="0"/>
        <v>-1337.0904999062918</v>
      </c>
      <c r="M22" s="145">
        <f t="shared" si="0"/>
        <v>6156.9046078709171</v>
      </c>
      <c r="N22" s="145">
        <f t="shared" si="0"/>
        <v>-1980.0772870630326</v>
      </c>
    </row>
    <row r="23" spans="1:14" x14ac:dyDescent="0.25">
      <c r="F23" s="144"/>
      <c r="G23" s="144"/>
      <c r="H23" s="144"/>
      <c r="I23" s="144"/>
      <c r="J23" s="144"/>
      <c r="K23" s="144"/>
      <c r="L23" s="144"/>
      <c r="M23" s="144"/>
      <c r="N23" s="144"/>
    </row>
    <row r="24" spans="1:14" x14ac:dyDescent="0.25">
      <c r="A24" s="36" t="s">
        <v>19</v>
      </c>
      <c r="C24" s="47">
        <f>SUM($C$16:$C$22)</f>
        <v>1.0000000000000002</v>
      </c>
      <c r="D24" s="47">
        <f>SUM($D$16:$D$22)</f>
        <v>1</v>
      </c>
      <c r="E24" s="47">
        <f>SUM($E$16:$E$22)</f>
        <v>1</v>
      </c>
      <c r="F24" s="144">
        <f>Variance!H2</f>
        <v>156223.01466666666</v>
      </c>
      <c r="G24" s="144">
        <f>Variance!H3</f>
        <v>-11877.340399999997</v>
      </c>
      <c r="H24" s="144">
        <f>SUM(Variance!H4:H6)</f>
        <v>-1510348.1300000001</v>
      </c>
      <c r="I24" s="144">
        <f>Variance!H7</f>
        <v>-126526.47213333333</v>
      </c>
      <c r="J24" s="144">
        <f>Variance!H8</f>
        <v>-94179.142933333336</v>
      </c>
      <c r="K24" s="144">
        <f>Variance!H9</f>
        <v>3842533.3925333335</v>
      </c>
      <c r="L24" s="146">
        <f>Variance!H11</f>
        <v>-14989.448749999943</v>
      </c>
      <c r="M24" s="146">
        <f>Variance!H12</f>
        <v>69021.959309999977</v>
      </c>
      <c r="N24" s="146">
        <f>Variance!H13</f>
        <v>-22197.650059999942</v>
      </c>
    </row>
    <row r="25" spans="1:14" x14ac:dyDescent="0.25">
      <c r="C25" s="47"/>
      <c r="D25" s="47"/>
      <c r="E25" s="47"/>
      <c r="F25" s="43"/>
      <c r="G25" s="43"/>
      <c r="H25" s="43"/>
      <c r="I25" s="43"/>
      <c r="J25" s="43"/>
      <c r="K25" s="43"/>
      <c r="L25" s="43"/>
      <c r="M25" s="43"/>
      <c r="N25" s="43"/>
    </row>
    <row r="26" spans="1:14" x14ac:dyDescent="0.25">
      <c r="C26" s="47"/>
      <c r="D26" s="47"/>
      <c r="E26" s="47"/>
      <c r="F26" s="43"/>
      <c r="G26" s="43"/>
      <c r="H26" s="43"/>
      <c r="I26" s="43"/>
      <c r="J26" s="43"/>
      <c r="K26" s="43"/>
      <c r="L26" s="43"/>
      <c r="M26" s="43"/>
      <c r="N26" s="43"/>
    </row>
    <row r="28" spans="1:14" ht="18" x14ac:dyDescent="0.25">
      <c r="A28" s="37" t="s">
        <v>60</v>
      </c>
    </row>
    <row r="29" spans="1:14" s="75" customFormat="1" ht="23.25" customHeight="1" x14ac:dyDescent="0.25">
      <c r="A29" s="81"/>
      <c r="B29" s="82"/>
      <c r="C29" s="161" t="s">
        <v>76</v>
      </c>
      <c r="D29" s="161" t="s">
        <v>30</v>
      </c>
      <c r="E29" s="161" t="s">
        <v>77</v>
      </c>
      <c r="F29" s="83"/>
      <c r="G29" s="84"/>
      <c r="H29" s="84" t="s">
        <v>31</v>
      </c>
      <c r="I29" s="83"/>
      <c r="J29" s="83"/>
      <c r="K29" s="84" t="s">
        <v>31</v>
      </c>
      <c r="L29" s="158" t="s">
        <v>32</v>
      </c>
      <c r="M29" s="158" t="s">
        <v>33</v>
      </c>
      <c r="N29" s="158" t="s">
        <v>34</v>
      </c>
    </row>
    <row r="30" spans="1:14" s="75" customFormat="1" ht="15.75" x14ac:dyDescent="0.25">
      <c r="A30" s="85" t="s">
        <v>8</v>
      </c>
      <c r="B30" s="86"/>
      <c r="C30" s="162"/>
      <c r="D30" s="162"/>
      <c r="E30" s="162"/>
      <c r="F30" s="87">
        <v>1550</v>
      </c>
      <c r="G30" s="87">
        <v>1551</v>
      </c>
      <c r="H30" s="87">
        <v>1580</v>
      </c>
      <c r="I30" s="87">
        <v>1584</v>
      </c>
      <c r="J30" s="87">
        <v>1586</v>
      </c>
      <c r="K30" s="87">
        <v>1588</v>
      </c>
      <c r="L30" s="159"/>
      <c r="M30" s="160"/>
      <c r="N30" s="160"/>
    </row>
    <row r="31" spans="1:14" ht="16.5" x14ac:dyDescent="0.3">
      <c r="B31" s="38"/>
      <c r="C31" s="39"/>
      <c r="D31" s="40"/>
      <c r="E31" s="40"/>
      <c r="F31" s="40"/>
      <c r="G31" s="40"/>
      <c r="H31" s="40"/>
      <c r="I31" s="39"/>
      <c r="J31" s="40"/>
    </row>
    <row r="32" spans="1:14" x14ac:dyDescent="0.25">
      <c r="A32" s="41" t="s">
        <v>10</v>
      </c>
      <c r="C32" s="42">
        <f>'Billing Determinants'!C17/SUM('Billing Determinants'!$C$17:$C$22)</f>
        <v>0.43081465522086748</v>
      </c>
      <c r="D32" s="42">
        <f>'Billing Determinants'!N17/'Billing Determinants'!$N$24</f>
        <v>0.88953214722771345</v>
      </c>
      <c r="E32" s="42">
        <f>'Billing Determinants'!I17/SUM('Billing Determinants'!$I$17:$I$22)</f>
        <v>0.43229590571520043</v>
      </c>
      <c r="F32" s="144">
        <f>F$40*$C32</f>
        <v>55836.824838724882</v>
      </c>
      <c r="G32" s="144">
        <f>D32*G40</f>
        <v>0</v>
      </c>
      <c r="H32" s="144">
        <f>$E32*H$40</f>
        <v>-243958.83514735784</v>
      </c>
      <c r="I32" s="144">
        <f>I$40*$C32</f>
        <v>64235.32680430857</v>
      </c>
      <c r="J32" s="144">
        <f>J$40*$C32</f>
        <v>84216.87371659746</v>
      </c>
      <c r="K32" s="144">
        <f>$E32*K$40</f>
        <v>582452.98776710627</v>
      </c>
      <c r="L32" s="144">
        <f>C32*L$40</f>
        <v>0</v>
      </c>
      <c r="M32" s="144">
        <f t="shared" ref="M32:N37" si="5">D32*M$40</f>
        <v>0</v>
      </c>
      <c r="N32" s="144">
        <f t="shared" si="5"/>
        <v>0</v>
      </c>
    </row>
    <row r="33" spans="1:14" x14ac:dyDescent="0.25">
      <c r="A33" s="41" t="s">
        <v>12</v>
      </c>
      <c r="C33" s="42">
        <f>'Billing Determinants'!C18/SUM('Billing Determinants'!$C$17:$C$22)</f>
        <v>0.17909986385951868</v>
      </c>
      <c r="D33" s="42">
        <f>'Billing Determinants'!N18/'Billing Determinants'!$N$24</f>
        <v>0.11046785277228655</v>
      </c>
      <c r="E33" s="42">
        <f>'Billing Determinants'!I18/SUM('Billing Determinants'!$I$17:$I$22)</f>
        <v>0.17971565480038365</v>
      </c>
      <c r="F33" s="144">
        <f t="shared" ref="F33:F37" si="6">F$40*$C33</f>
        <v>23212.691596660025</v>
      </c>
      <c r="G33" s="144">
        <f>D33*G40</f>
        <v>0</v>
      </c>
      <c r="H33" s="144">
        <f t="shared" ref="H33:H38" si="7">$E33*H$40</f>
        <v>-101419.47037483737</v>
      </c>
      <c r="I33" s="144">
        <f t="shared" ref="I33:J37" si="8">I$40*$C33</f>
        <v>26704.147935091201</v>
      </c>
      <c r="J33" s="144">
        <f t="shared" si="8"/>
        <v>35010.950613052155</v>
      </c>
      <c r="K33" s="144">
        <f t="shared" ref="K33:K37" si="9">$E33*K$40</f>
        <v>242139.5130121047</v>
      </c>
      <c r="L33" s="144">
        <f t="shared" ref="L33:L37" si="10">C33*L$40</f>
        <v>0</v>
      </c>
      <c r="M33" s="144">
        <f t="shared" si="5"/>
        <v>0</v>
      </c>
      <c r="N33" s="144">
        <f t="shared" si="5"/>
        <v>0</v>
      </c>
    </row>
    <row r="34" spans="1:14" x14ac:dyDescent="0.25">
      <c r="A34" s="41" t="s">
        <v>13</v>
      </c>
      <c r="C34" s="42">
        <f>'Billing Determinants'!C19/SUM('Billing Determinants'!$C$17:$C$22)</f>
        <v>0.37790466200233797</v>
      </c>
      <c r="D34" s="42">
        <v>0</v>
      </c>
      <c r="E34" s="42">
        <f>'Billing Determinants'!I19/SUM('Billing Determinants'!$I$17:$I$22)</f>
        <v>0.37576573980977968</v>
      </c>
      <c r="F34" s="144">
        <f t="shared" si="6"/>
        <v>48979.291122638671</v>
      </c>
      <c r="G34" s="144">
        <v>0</v>
      </c>
      <c r="H34" s="144">
        <f t="shared" si="7"/>
        <v>-212056.99836693049</v>
      </c>
      <c r="I34" s="144">
        <f t="shared" si="8"/>
        <v>56346.340985421855</v>
      </c>
      <c r="J34" s="144">
        <f t="shared" si="8"/>
        <v>73873.877805869924</v>
      </c>
      <c r="K34" s="144">
        <f t="shared" si="9"/>
        <v>506287.18652938999</v>
      </c>
      <c r="L34" s="144">
        <f t="shared" si="10"/>
        <v>0</v>
      </c>
      <c r="M34" s="144">
        <f t="shared" si="5"/>
        <v>0</v>
      </c>
      <c r="N34" s="144">
        <f t="shared" si="5"/>
        <v>0</v>
      </c>
    </row>
    <row r="35" spans="1:14" x14ac:dyDescent="0.25">
      <c r="A35" s="41" t="s">
        <v>15</v>
      </c>
      <c r="C35" s="42">
        <f>'Billing Determinants'!C20/SUM('Billing Determinants'!$C$17:$C$22)</f>
        <v>1.3463644754430385E-3</v>
      </c>
      <c r="D35" s="42">
        <v>0</v>
      </c>
      <c r="E35" s="42">
        <f>'Billing Determinants'!I20/SUM('Billing Determinants'!$I$17:$I$22)</f>
        <v>1.3509936193698622E-3</v>
      </c>
      <c r="F35" s="144">
        <f t="shared" si="6"/>
        <v>174.4989787913633</v>
      </c>
      <c r="G35" s="144">
        <v>0</v>
      </c>
      <c r="H35" s="144">
        <f t="shared" si="7"/>
        <v>-762.41025028379204</v>
      </c>
      <c r="I35" s="144">
        <f t="shared" si="8"/>
        <v>200.74563627241713</v>
      </c>
      <c r="J35" s="144">
        <f t="shared" si="8"/>
        <v>263.19115571119323</v>
      </c>
      <c r="K35" s="144">
        <f t="shared" si="9"/>
        <v>1820.2584379197936</v>
      </c>
      <c r="L35" s="144">
        <f t="shared" si="10"/>
        <v>0</v>
      </c>
      <c r="M35" s="144">
        <f t="shared" si="5"/>
        <v>0</v>
      </c>
      <c r="N35" s="144">
        <f t="shared" si="5"/>
        <v>0</v>
      </c>
    </row>
    <row r="36" spans="1:14" x14ac:dyDescent="0.25">
      <c r="A36" s="41" t="s">
        <v>16</v>
      </c>
      <c r="C36" s="42">
        <f>'Billing Determinants'!C21/SUM('Billing Determinants'!$C$17:$C$22)</f>
        <v>1.0099647554267575E-3</v>
      </c>
      <c r="D36" s="42">
        <v>0</v>
      </c>
      <c r="E36" s="42">
        <f>'Billing Determinants'!I21/SUM('Billing Determinants'!$I$17:$I$22)</f>
        <v>1.0134372714498436E-3</v>
      </c>
      <c r="F36" s="144">
        <f t="shared" si="6"/>
        <v>130.89904082566116</v>
      </c>
      <c r="G36" s="144">
        <v>0</v>
      </c>
      <c r="H36" s="144">
        <f t="shared" si="7"/>
        <v>-571.916071767522</v>
      </c>
      <c r="I36" s="144">
        <f t="shared" si="8"/>
        <v>150.58776515485854</v>
      </c>
      <c r="J36" s="144">
        <f t="shared" si="8"/>
        <v>197.43078197370849</v>
      </c>
      <c r="K36" s="144">
        <f t="shared" si="9"/>
        <v>1365.4525959341045</v>
      </c>
      <c r="L36" s="144">
        <f t="shared" si="10"/>
        <v>0</v>
      </c>
      <c r="M36" s="144">
        <f t="shared" si="5"/>
        <v>0</v>
      </c>
      <c r="N36" s="144">
        <f t="shared" si="5"/>
        <v>0</v>
      </c>
    </row>
    <row r="37" spans="1:14" x14ac:dyDescent="0.25">
      <c r="A37" s="41" t="s">
        <v>17</v>
      </c>
      <c r="C37" s="42">
        <f>'Billing Determinants'!C22/SUM('Billing Determinants'!$C$17:$C$22)</f>
        <v>9.8244896864060956E-3</v>
      </c>
      <c r="D37" s="42">
        <v>0</v>
      </c>
      <c r="E37" s="42">
        <f>'Billing Determinants'!I22/SUM('Billing Determinants'!$I$17:$I$22)</f>
        <v>9.8582687838165515E-3</v>
      </c>
      <c r="F37" s="144">
        <f t="shared" si="6"/>
        <v>1273.3278756928071</v>
      </c>
      <c r="G37" s="144">
        <v>0</v>
      </c>
      <c r="H37" s="144">
        <f t="shared" si="7"/>
        <v>-5563.346164684438</v>
      </c>
      <c r="I37" s="144">
        <f t="shared" si="8"/>
        <v>1464.8510630826072</v>
      </c>
      <c r="J37" s="144">
        <f t="shared" si="8"/>
        <v>1920.5191773847528</v>
      </c>
      <c r="K37" s="144">
        <f t="shared" si="9"/>
        <v>13282.517903669444</v>
      </c>
      <c r="L37" s="144">
        <f t="shared" si="10"/>
        <v>0</v>
      </c>
      <c r="M37" s="144">
        <f t="shared" si="5"/>
        <v>0</v>
      </c>
      <c r="N37" s="144">
        <f t="shared" si="5"/>
        <v>0</v>
      </c>
    </row>
    <row r="38" spans="1:14" ht="15.75" thickBot="1" x14ac:dyDescent="0.3">
      <c r="A38" s="44" t="s">
        <v>18</v>
      </c>
      <c r="B38" s="45"/>
      <c r="C38" s="46"/>
      <c r="D38" s="46"/>
      <c r="E38" s="46"/>
      <c r="F38" s="145"/>
      <c r="G38" s="145"/>
      <c r="H38" s="145">
        <f t="shared" si="7"/>
        <v>0</v>
      </c>
      <c r="I38" s="145"/>
      <c r="J38" s="145"/>
      <c r="K38" s="145"/>
      <c r="L38" s="145"/>
      <c r="M38" s="145"/>
      <c r="N38" s="145"/>
    </row>
    <row r="39" spans="1:14" x14ac:dyDescent="0.25"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x14ac:dyDescent="0.25">
      <c r="A40" s="36" t="s">
        <v>19</v>
      </c>
      <c r="C40" s="47">
        <f>SUM($C$32:$C$38)</f>
        <v>1</v>
      </c>
      <c r="D40" s="47">
        <f>SUM($D$32:$D$38)</f>
        <v>1</v>
      </c>
      <c r="E40" s="47">
        <f>SUM($E$32:$E$38)</f>
        <v>1</v>
      </c>
      <c r="F40" s="144">
        <f>Variance!K2</f>
        <v>129607.53345333341</v>
      </c>
      <c r="G40" s="144">
        <f>Variance!K3</f>
        <v>0</v>
      </c>
      <c r="H40" s="144">
        <f>SUM(Variance!K4:K6)</f>
        <v>-564332.97637586144</v>
      </c>
      <c r="I40" s="144">
        <f>Variance!K7</f>
        <v>149102.00018933151</v>
      </c>
      <c r="J40" s="144">
        <f>Variance!K8</f>
        <v>195482.84325058918</v>
      </c>
      <c r="K40" s="144">
        <f>Variance!K9</f>
        <v>1347347.9162461243</v>
      </c>
      <c r="L40" s="144">
        <f>Variance!K11</f>
        <v>0</v>
      </c>
      <c r="M40" s="144">
        <f>Variance!K12</f>
        <v>0</v>
      </c>
      <c r="N40" s="144">
        <f>Variance!K13</f>
        <v>0</v>
      </c>
    </row>
  </sheetData>
  <mergeCells count="12">
    <mergeCell ref="N29:N30"/>
    <mergeCell ref="C29:C30"/>
    <mergeCell ref="D29:D30"/>
    <mergeCell ref="E29:E30"/>
    <mergeCell ref="L29:L30"/>
    <mergeCell ref="M29:M30"/>
    <mergeCell ref="L13:L14"/>
    <mergeCell ref="M13:M14"/>
    <mergeCell ref="N13:N14"/>
    <mergeCell ref="C13:C14"/>
    <mergeCell ref="D13:D14"/>
    <mergeCell ref="E13:E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M52"/>
  <sheetViews>
    <sheetView topLeftCell="A30" workbookViewId="0">
      <selection activeCell="C52" sqref="C52:D52"/>
    </sheetView>
  </sheetViews>
  <sheetFormatPr defaultColWidth="9.140625" defaultRowHeight="15" x14ac:dyDescent="0.25"/>
  <cols>
    <col min="1" max="1" width="61.42578125" style="36" customWidth="1"/>
    <col min="2" max="2" width="9.140625" style="9"/>
    <col min="3" max="4" width="25.28515625" style="9" customWidth="1"/>
    <col min="5" max="13" width="10.140625" style="105" customWidth="1"/>
    <col min="14" max="16384" width="9.140625" style="9"/>
  </cols>
  <sheetData>
    <row r="12" spans="1:13" ht="18" x14ac:dyDescent="0.25">
      <c r="A12" s="37" t="s">
        <v>59</v>
      </c>
    </row>
    <row r="13" spans="1:13" s="88" customFormat="1" ht="28.5" customHeight="1" x14ac:dyDescent="0.25">
      <c r="A13" s="102"/>
      <c r="B13" s="103"/>
      <c r="C13" s="164" t="s">
        <v>66</v>
      </c>
      <c r="D13" s="164" t="s">
        <v>65</v>
      </c>
      <c r="E13" s="83"/>
      <c r="F13" s="84"/>
      <c r="G13" s="84"/>
      <c r="H13" s="83"/>
      <c r="I13" s="83"/>
      <c r="J13" s="84"/>
      <c r="K13" s="158"/>
      <c r="L13" s="158"/>
      <c r="M13" s="158"/>
    </row>
    <row r="14" spans="1:13" s="88" customFormat="1" ht="28.5" customHeight="1" x14ac:dyDescent="0.25">
      <c r="A14" s="85" t="s">
        <v>8</v>
      </c>
      <c r="B14" s="86"/>
      <c r="C14" s="165"/>
      <c r="D14" s="165"/>
      <c r="E14" s="106"/>
      <c r="F14" s="106"/>
      <c r="G14" s="106"/>
      <c r="H14" s="106"/>
      <c r="I14" s="106"/>
      <c r="J14" s="106"/>
      <c r="K14" s="158"/>
      <c r="L14" s="163"/>
      <c r="M14" s="163"/>
    </row>
    <row r="15" spans="1:13" ht="16.5" x14ac:dyDescent="0.3">
      <c r="A15" s="113"/>
      <c r="B15" s="114"/>
      <c r="C15" s="115"/>
      <c r="D15" s="115"/>
      <c r="E15" s="107"/>
      <c r="F15" s="107"/>
      <c r="G15" s="107"/>
      <c r="H15" s="108"/>
      <c r="I15" s="107"/>
    </row>
    <row r="16" spans="1:13" ht="15.75" customHeight="1" x14ac:dyDescent="0.25">
      <c r="A16" s="116" t="s">
        <v>10</v>
      </c>
      <c r="B16" s="105"/>
      <c r="C16" s="137">
        <f>SUM('Allocating Def-Var Balances'!F16:N16)</f>
        <v>894603.78680634685</v>
      </c>
      <c r="D16" s="137">
        <v>0</v>
      </c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3" ht="15.75" customHeight="1" x14ac:dyDescent="0.25">
      <c r="A17" s="116" t="s">
        <v>12</v>
      </c>
      <c r="B17" s="105"/>
      <c r="C17" s="137">
        <f>SUM('Allocating Def-Var Balances'!F17:N17)</f>
        <v>374988.17056312243</v>
      </c>
      <c r="D17" s="137">
        <v>0</v>
      </c>
      <c r="E17" s="109"/>
      <c r="F17" s="109"/>
      <c r="G17" s="109"/>
      <c r="H17" s="109"/>
      <c r="I17" s="109"/>
      <c r="J17" s="109"/>
      <c r="K17" s="109"/>
      <c r="L17" s="109"/>
      <c r="M17" s="109"/>
    </row>
    <row r="18" spans="1:13" ht="15.75" customHeight="1" x14ac:dyDescent="0.25">
      <c r="A18" s="116" t="s">
        <v>13</v>
      </c>
      <c r="B18" s="105"/>
      <c r="C18" s="137">
        <f>SUM('Allocating Def-Var Balances'!F18:G18,'Allocating Def-Var Balances'!I18:J18,'Allocating Def-Var Balances'!L18:N18)</f>
        <v>-11237.18124989394</v>
      </c>
      <c r="D18" s="137">
        <f>'Allocating Def-Var Balances'!H18+'Allocating Def-Var Balances'!K18</f>
        <v>797937.84709082125</v>
      </c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ht="15.75" customHeight="1" x14ac:dyDescent="0.25">
      <c r="A19" s="116" t="s">
        <v>15</v>
      </c>
      <c r="B19" s="105"/>
      <c r="C19" s="137">
        <f>SUM('Allocating Def-Var Balances'!F19:N19)</f>
        <v>2828.797618212388</v>
      </c>
      <c r="D19" s="137">
        <v>0</v>
      </c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ht="15.75" customHeight="1" x14ac:dyDescent="0.25">
      <c r="A20" s="116" t="s">
        <v>16</v>
      </c>
      <c r="B20" s="105"/>
      <c r="C20" s="137">
        <f>SUM('Allocating Def-Var Balances'!F20:N20)</f>
        <v>2122.0003548367099</v>
      </c>
      <c r="D20" s="137">
        <v>0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 ht="15.75" customHeight="1" x14ac:dyDescent="0.25">
      <c r="A21" s="116" t="s">
        <v>17</v>
      </c>
      <c r="B21" s="105"/>
      <c r="C21" s="137">
        <f>SUM('Allocating Def-Var Balances'!F21:N21)</f>
        <v>20641.879321654404</v>
      </c>
      <c r="D21" s="137">
        <v>0</v>
      </c>
      <c r="E21" s="109"/>
      <c r="F21" s="109"/>
      <c r="G21" s="109"/>
      <c r="H21" s="109"/>
      <c r="I21" s="109"/>
      <c r="J21" s="109"/>
      <c r="K21" s="109"/>
      <c r="L21" s="109"/>
      <c r="M21" s="109"/>
    </row>
    <row r="22" spans="1:13" ht="15.75" customHeight="1" thickBot="1" x14ac:dyDescent="0.3">
      <c r="A22" s="44" t="s">
        <v>18</v>
      </c>
      <c r="B22" s="45"/>
      <c r="C22" s="138">
        <f>SUM('Allocating Def-Var Balances'!F22:N22)</f>
        <v>205774.88172823336</v>
      </c>
      <c r="D22" s="138">
        <v>0</v>
      </c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x14ac:dyDescent="0.25">
      <c r="C23" s="139"/>
      <c r="D23" s="13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3" x14ac:dyDescent="0.25">
      <c r="A24" s="117" t="s">
        <v>19</v>
      </c>
      <c r="C24" s="140">
        <f>SUM(C16:C22)</f>
        <v>1489722.3351425121</v>
      </c>
      <c r="D24" s="140">
        <f>SUM(D16:D22)</f>
        <v>797937.84709082125</v>
      </c>
      <c r="E24" s="109"/>
      <c r="F24" s="109"/>
      <c r="G24" s="109"/>
      <c r="H24" s="109"/>
      <c r="I24" s="109"/>
      <c r="J24" s="109"/>
      <c r="K24" s="110"/>
      <c r="L24" s="110"/>
      <c r="M24" s="110"/>
    </row>
    <row r="26" spans="1:13" ht="18" x14ac:dyDescent="0.25">
      <c r="A26" s="37" t="s">
        <v>60</v>
      </c>
    </row>
    <row r="27" spans="1:13" s="75" customFormat="1" ht="27" customHeight="1" x14ac:dyDescent="0.25">
      <c r="A27" s="102"/>
      <c r="B27" s="103"/>
      <c r="C27" s="164" t="s">
        <v>66</v>
      </c>
      <c r="D27" s="164" t="s">
        <v>65</v>
      </c>
      <c r="E27" s="83"/>
      <c r="F27" s="84"/>
      <c r="G27" s="84"/>
      <c r="H27" s="83"/>
      <c r="I27" s="83"/>
      <c r="J27" s="84"/>
      <c r="K27" s="158"/>
      <c r="L27" s="158"/>
      <c r="M27" s="158"/>
    </row>
    <row r="28" spans="1:13" s="75" customFormat="1" ht="27" customHeight="1" x14ac:dyDescent="0.25">
      <c r="A28" s="85" t="s">
        <v>8</v>
      </c>
      <c r="B28" s="86"/>
      <c r="C28" s="165"/>
      <c r="D28" s="165"/>
      <c r="E28" s="106"/>
      <c r="F28" s="106"/>
      <c r="G28" s="106"/>
      <c r="H28" s="106"/>
      <c r="I28" s="106"/>
      <c r="J28" s="106"/>
      <c r="K28" s="158"/>
      <c r="L28" s="163"/>
      <c r="M28" s="163"/>
    </row>
    <row r="29" spans="1:13" ht="16.5" x14ac:dyDescent="0.3">
      <c r="B29" s="38"/>
      <c r="C29" s="39"/>
      <c r="D29" s="39"/>
      <c r="E29" s="107"/>
      <c r="F29" s="107"/>
      <c r="G29" s="107"/>
      <c r="H29" s="108"/>
      <c r="I29" s="107"/>
    </row>
    <row r="30" spans="1:13" x14ac:dyDescent="0.25">
      <c r="A30" s="41" t="s">
        <v>10</v>
      </c>
      <c r="C30" s="141">
        <f>SUM('Allocating Def-Var Balances'!F32:N32)</f>
        <v>542783.17797937931</v>
      </c>
      <c r="D30" s="141">
        <f>'Allocating Def-Var Balances'!G32</f>
        <v>0</v>
      </c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x14ac:dyDescent="0.25">
      <c r="A31" s="41" t="s">
        <v>12</v>
      </c>
      <c r="C31" s="141">
        <f>SUM('Allocating Def-Var Balances'!F33:N33)</f>
        <v>225647.83278207071</v>
      </c>
      <c r="D31" s="141">
        <f>'Allocating Def-Var Balances'!G33</f>
        <v>0</v>
      </c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x14ac:dyDescent="0.25">
      <c r="A32" s="41" t="s">
        <v>13</v>
      </c>
      <c r="C32" s="141">
        <f>SUM('Allocating Def-Var Balances'!F34:G34,'Allocating Def-Var Balances'!I34:J34,'Allocating Def-Var Balances'!L34:N34)</f>
        <v>179199.50991393044</v>
      </c>
      <c r="D32" s="141">
        <f>SUM('Allocating Def-Var Balances'!H34,'Allocating Def-Var Balances'!K34)</f>
        <v>294230.18816245953</v>
      </c>
      <c r="E32" s="109"/>
      <c r="F32" s="109"/>
      <c r="G32" s="109"/>
      <c r="H32" s="109"/>
      <c r="I32" s="109"/>
      <c r="J32" s="109"/>
      <c r="K32" s="109"/>
      <c r="L32" s="109"/>
      <c r="M32" s="109"/>
    </row>
    <row r="33" spans="1:13" x14ac:dyDescent="0.25">
      <c r="A33" s="41" t="s">
        <v>15</v>
      </c>
      <c r="C33" s="141">
        <f>SUM('Allocating Def-Var Balances'!F35:N35)</f>
        <v>1696.2839584109752</v>
      </c>
      <c r="D33" s="141">
        <f>'Allocating Def-Var Balances'!G35</f>
        <v>0</v>
      </c>
      <c r="E33" s="109"/>
      <c r="F33" s="109"/>
      <c r="G33" s="109"/>
      <c r="H33" s="109"/>
      <c r="I33" s="109"/>
      <c r="J33" s="109"/>
      <c r="K33" s="109"/>
      <c r="L33" s="109"/>
      <c r="M33" s="109"/>
    </row>
    <row r="34" spans="1:13" x14ac:dyDescent="0.25">
      <c r="A34" s="41" t="s">
        <v>16</v>
      </c>
      <c r="C34" s="141">
        <f>SUM('Allocating Def-Var Balances'!F36:N36)</f>
        <v>1272.4541121208106</v>
      </c>
      <c r="D34" s="141">
        <f>'Allocating Def-Var Balances'!G36</f>
        <v>0</v>
      </c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25">
      <c r="A35" s="41" t="s">
        <v>17</v>
      </c>
      <c r="C35" s="141">
        <f>SUM('Allocating Def-Var Balances'!F37:N37)</f>
        <v>12377.869855145174</v>
      </c>
      <c r="D35" s="141">
        <f>'Allocating Def-Var Balances'!G37</f>
        <v>0</v>
      </c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ht="15.75" thickBot="1" x14ac:dyDescent="0.3">
      <c r="A36" s="44" t="s">
        <v>18</v>
      </c>
      <c r="B36" s="45"/>
      <c r="C36" s="138">
        <f>SUM('Allocating Def-Var Balances'!F38:N38)</f>
        <v>0</v>
      </c>
      <c r="D36" s="138">
        <f>'Allocating Def-Var Balances'!G38</f>
        <v>0</v>
      </c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25">
      <c r="C37" s="139"/>
      <c r="D37" s="139"/>
      <c r="E37" s="109"/>
      <c r="F37" s="109"/>
      <c r="G37" s="109"/>
      <c r="H37" s="109"/>
      <c r="I37" s="109"/>
      <c r="J37" s="109"/>
      <c r="K37" s="109"/>
      <c r="L37" s="109"/>
      <c r="M37" s="109"/>
    </row>
    <row r="38" spans="1:13" x14ac:dyDescent="0.25">
      <c r="A38" s="117" t="s">
        <v>19</v>
      </c>
      <c r="C38" s="140">
        <f>SUM(C30:C36)</f>
        <v>962977.12860105745</v>
      </c>
      <c r="D38" s="140">
        <f>SUM(D30:D36)</f>
        <v>294230.18816245953</v>
      </c>
      <c r="E38" s="109"/>
      <c r="F38" s="109"/>
      <c r="G38" s="109"/>
      <c r="H38" s="109"/>
      <c r="I38" s="109"/>
      <c r="J38" s="109"/>
      <c r="K38" s="109"/>
      <c r="L38" s="109"/>
      <c r="M38" s="109"/>
    </row>
    <row r="39" spans="1:13" x14ac:dyDescent="0.25">
      <c r="C39" s="104"/>
      <c r="D39" s="104"/>
    </row>
    <row r="40" spans="1:13" ht="18" x14ac:dyDescent="0.25">
      <c r="A40" s="37" t="s">
        <v>61</v>
      </c>
    </row>
    <row r="41" spans="1:13" ht="27" customHeight="1" x14ac:dyDescent="0.25">
      <c r="A41" s="102"/>
      <c r="B41" s="103"/>
      <c r="C41" s="164" t="s">
        <v>66</v>
      </c>
      <c r="D41" s="164" t="s">
        <v>65</v>
      </c>
    </row>
    <row r="42" spans="1:13" ht="27" customHeight="1" x14ac:dyDescent="0.25">
      <c r="A42" s="85" t="s">
        <v>8</v>
      </c>
      <c r="B42" s="86"/>
      <c r="C42" s="165"/>
      <c r="D42" s="165"/>
    </row>
    <row r="43" spans="1:13" ht="16.5" x14ac:dyDescent="0.3">
      <c r="B43" s="38"/>
      <c r="C43" s="39"/>
      <c r="D43" s="39"/>
    </row>
    <row r="44" spans="1:13" x14ac:dyDescent="0.25">
      <c r="A44" s="41" t="s">
        <v>10</v>
      </c>
      <c r="C44" s="141">
        <f>C16+C30</f>
        <v>1437386.9647857263</v>
      </c>
      <c r="D44" s="141">
        <f>D16+D30</f>
        <v>0</v>
      </c>
    </row>
    <row r="45" spans="1:13" x14ac:dyDescent="0.25">
      <c r="A45" s="41" t="s">
        <v>12</v>
      </c>
      <c r="C45" s="141">
        <f t="shared" ref="C45:C50" si="0">C17+C31</f>
        <v>600636.00334519311</v>
      </c>
      <c r="D45" s="141">
        <f t="shared" ref="D45" si="1">D17+D31</f>
        <v>0</v>
      </c>
    </row>
    <row r="46" spans="1:13" x14ac:dyDescent="0.25">
      <c r="A46" s="41" t="s">
        <v>13</v>
      </c>
      <c r="C46" s="141">
        <f t="shared" si="0"/>
        <v>167962.3286640365</v>
      </c>
      <c r="D46" s="141">
        <f t="shared" ref="D46" si="2">D18+D32</f>
        <v>1092168.0352532808</v>
      </c>
    </row>
    <row r="47" spans="1:13" x14ac:dyDescent="0.25">
      <c r="A47" s="41" t="s">
        <v>15</v>
      </c>
      <c r="C47" s="141">
        <f t="shared" si="0"/>
        <v>4525.0815766233627</v>
      </c>
      <c r="D47" s="141">
        <f t="shared" ref="D47" si="3">D19+D33</f>
        <v>0</v>
      </c>
    </row>
    <row r="48" spans="1:13" x14ac:dyDescent="0.25">
      <c r="A48" s="41" t="s">
        <v>16</v>
      </c>
      <c r="C48" s="141">
        <f t="shared" si="0"/>
        <v>3394.4544669575207</v>
      </c>
      <c r="D48" s="141">
        <f t="shared" ref="D48" si="4">D20+D34</f>
        <v>0</v>
      </c>
    </row>
    <row r="49" spans="1:4" x14ac:dyDescent="0.25">
      <c r="A49" s="41" t="s">
        <v>17</v>
      </c>
      <c r="C49" s="141">
        <f t="shared" si="0"/>
        <v>33019.749176799582</v>
      </c>
      <c r="D49" s="141">
        <f t="shared" ref="D49" si="5">D21+D35</f>
        <v>0</v>
      </c>
    </row>
    <row r="50" spans="1:4" ht="15.75" thickBot="1" x14ac:dyDescent="0.3">
      <c r="A50" s="44" t="s">
        <v>18</v>
      </c>
      <c r="B50" s="45"/>
      <c r="C50" s="138">
        <f t="shared" si="0"/>
        <v>205774.88172823336</v>
      </c>
      <c r="D50" s="138">
        <f t="shared" ref="D50" si="6">D22+D36</f>
        <v>0</v>
      </c>
    </row>
    <row r="51" spans="1:4" x14ac:dyDescent="0.25">
      <c r="C51" s="139"/>
      <c r="D51" s="139"/>
    </row>
    <row r="52" spans="1:4" x14ac:dyDescent="0.25">
      <c r="A52" s="117" t="s">
        <v>19</v>
      </c>
      <c r="C52" s="140">
        <f>SUM(C44:C50)</f>
        <v>2452699.4637435703</v>
      </c>
      <c r="D52" s="140">
        <f>SUM(D44:D50)</f>
        <v>1092168.0352532808</v>
      </c>
    </row>
  </sheetData>
  <mergeCells count="12">
    <mergeCell ref="C41:C42"/>
    <mergeCell ref="C27:C28"/>
    <mergeCell ref="D41:D42"/>
    <mergeCell ref="K27:K28"/>
    <mergeCell ref="L27:L28"/>
    <mergeCell ref="M27:M28"/>
    <mergeCell ref="C13:C14"/>
    <mergeCell ref="K13:K14"/>
    <mergeCell ref="L13:L14"/>
    <mergeCell ref="M13:M14"/>
    <mergeCell ref="D13:D14"/>
    <mergeCell ref="D27:D2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B1" workbookViewId="0">
      <selection activeCell="G17" sqref="G17:H23"/>
    </sheetView>
  </sheetViews>
  <sheetFormatPr defaultColWidth="9.140625" defaultRowHeight="15" x14ac:dyDescent="0.25"/>
  <cols>
    <col min="1" max="1" width="56.7109375" style="9" bestFit="1" customWidth="1"/>
    <col min="2" max="2" width="9.140625" style="9"/>
    <col min="3" max="3" width="14.140625" style="9" customWidth="1"/>
    <col min="4" max="6" width="14.42578125" style="9" customWidth="1"/>
    <col min="7" max="8" width="22.5703125" style="9" customWidth="1"/>
    <col min="9" max="9" width="16.7109375" style="9" customWidth="1"/>
    <col min="10" max="10" width="21.28515625" style="9" customWidth="1"/>
    <col min="11" max="11" width="9.140625" style="9"/>
    <col min="12" max="13" width="13.28515625" style="9" bestFit="1" customWidth="1"/>
    <col min="14" max="16384" width="9.140625" style="9"/>
  </cols>
  <sheetData>
    <row r="1" spans="1:10" x14ac:dyDescent="0.25">
      <c r="A1" s="9" t="s">
        <v>39</v>
      </c>
    </row>
    <row r="11" spans="1:10" x14ac:dyDescent="0.25">
      <c r="A11" s="169"/>
      <c r="B11" s="169"/>
      <c r="C11" s="169"/>
      <c r="D11" s="169"/>
      <c r="E11" s="169"/>
      <c r="F11" s="169"/>
      <c r="G11" s="169"/>
      <c r="H11" s="169"/>
      <c r="I11" s="169"/>
      <c r="J11" s="169"/>
    </row>
    <row r="12" spans="1:10" ht="15" customHeight="1" x14ac:dyDescent="0.25">
      <c r="A12" s="170" t="s">
        <v>35</v>
      </c>
      <c r="B12" s="171"/>
      <c r="C12" s="49">
        <v>12</v>
      </c>
      <c r="D12" s="63"/>
      <c r="E12" s="63"/>
      <c r="F12" s="63"/>
      <c r="G12" s="63"/>
      <c r="H12" s="63"/>
      <c r="I12" s="63"/>
      <c r="J12" s="63"/>
    </row>
    <row r="13" spans="1:10" x14ac:dyDescent="0.25">
      <c r="A13" s="170" t="s">
        <v>36</v>
      </c>
      <c r="B13" s="171"/>
      <c r="C13" s="50">
        <v>22</v>
      </c>
      <c r="D13" s="64" t="str">
        <f>IF(C13&gt;0, "Rate Rider Recovery to be used below", "If no rate rider recovery period is proposed then the default recovery period of 12 months will be used")</f>
        <v>Rate Rider Recovery to be used below</v>
      </c>
      <c r="E13" s="64"/>
      <c r="F13" s="64"/>
      <c r="I13" s="175"/>
      <c r="J13" s="175"/>
    </row>
    <row r="14" spans="1:10" x14ac:dyDescent="0.25">
      <c r="G14" s="56"/>
      <c r="H14" s="56"/>
    </row>
    <row r="15" spans="1:10" s="75" customFormat="1" ht="33" customHeight="1" x14ac:dyDescent="0.25">
      <c r="B15" s="78"/>
      <c r="C15" s="172" t="s">
        <v>40</v>
      </c>
      <c r="D15" s="173" t="s">
        <v>41</v>
      </c>
      <c r="E15" s="173" t="s">
        <v>42</v>
      </c>
      <c r="F15" s="173" t="s">
        <v>43</v>
      </c>
      <c r="G15" s="174" t="s">
        <v>57</v>
      </c>
      <c r="H15" s="174" t="s">
        <v>58</v>
      </c>
      <c r="I15" s="166" t="s">
        <v>51</v>
      </c>
      <c r="J15" s="166" t="s">
        <v>52</v>
      </c>
    </row>
    <row r="16" spans="1:10" s="75" customFormat="1" ht="27" customHeight="1" x14ac:dyDescent="0.25">
      <c r="A16" s="79" t="s">
        <v>8</v>
      </c>
      <c r="B16" s="80" t="s">
        <v>9</v>
      </c>
      <c r="C16" s="172"/>
      <c r="D16" s="173"/>
      <c r="E16" s="173"/>
      <c r="F16" s="173"/>
      <c r="G16" s="174"/>
      <c r="H16" s="174"/>
      <c r="I16" s="166"/>
      <c r="J16" s="166"/>
    </row>
    <row r="17" spans="1:13" x14ac:dyDescent="0.25">
      <c r="A17" s="41" t="s">
        <v>10</v>
      </c>
      <c r="B17" s="65" t="s">
        <v>11</v>
      </c>
      <c r="C17" s="66">
        <v>149120393</v>
      </c>
      <c r="D17" s="66"/>
      <c r="E17" s="66">
        <v>149120393</v>
      </c>
      <c r="F17" s="66">
        <v>0</v>
      </c>
      <c r="G17" s="142">
        <f>'Final Blanaces by Rate Class'!C44</f>
        <v>1437386.9647857263</v>
      </c>
      <c r="H17" s="139"/>
      <c r="I17" s="143">
        <f>IF(ISERROR(G17/C17),0,IF(OR(ISBLANK(C13), OR(C13=0, C13="")), G17/C17/(C12/12), G17/C17/(C13/12)))</f>
        <v>5.2576930475195776E-3</v>
      </c>
      <c r="J17" s="143">
        <f>IF(ISERROR(H17/E17),0,IF(OR(ISBLANK(C13), OR(C13=0, C13="")), H17/E17/(C12/12), H17/E17/(C13/12)))</f>
        <v>0</v>
      </c>
      <c r="L17" s="118"/>
      <c r="M17" s="118"/>
    </row>
    <row r="18" spans="1:13" x14ac:dyDescent="0.25">
      <c r="A18" s="41" t="s">
        <v>12</v>
      </c>
      <c r="B18" s="65" t="s">
        <v>11</v>
      </c>
      <c r="C18" s="66">
        <v>61992882</v>
      </c>
      <c r="D18" s="66"/>
      <c r="E18" s="66">
        <v>61992882</v>
      </c>
      <c r="F18" s="66">
        <v>0</v>
      </c>
      <c r="G18" s="142">
        <f>'Final Blanaces by Rate Class'!C45</f>
        <v>600636.00334519311</v>
      </c>
      <c r="H18" s="139"/>
      <c r="I18" s="143">
        <f>IF(ISERROR(G18/C18),0,IF(OR(ISBLANK(C13), OR(C13=0, C13="")), G18/C18/(C12/12), G18/C18/(C13/12)))</f>
        <v>5.2847944412116078E-3</v>
      </c>
      <c r="J18" s="143">
        <f>IF(ISERROR(H18/E18),0,IF(OR(ISBLANK(C13), OR(C13=0, C13="")), H18/E18/(C12/12), H18/E18/(C13/12)))</f>
        <v>0</v>
      </c>
      <c r="L18" s="118"/>
      <c r="M18" s="118"/>
    </row>
    <row r="19" spans="1:13" x14ac:dyDescent="0.25">
      <c r="A19" s="41" t="s">
        <v>13</v>
      </c>
      <c r="B19" s="65" t="s">
        <v>14</v>
      </c>
      <c r="C19" s="66">
        <v>130806348</v>
      </c>
      <c r="D19" s="66">
        <v>344556</v>
      </c>
      <c r="E19" s="66">
        <v>129620322.69</v>
      </c>
      <c r="F19" s="66">
        <v>342370.05599999998</v>
      </c>
      <c r="G19" s="142">
        <f>'Final Blanaces by Rate Class'!C46</f>
        <v>167962.3286640365</v>
      </c>
      <c r="H19" s="142">
        <f>'Final Blanaces by Rate Class'!D46</f>
        <v>1092168.0352532808</v>
      </c>
      <c r="I19" s="143">
        <f>IF(ISERROR(G19/D19),0,IF(OR(ISBLANK(C13), OR(C13=0, C13="")), G19/D19/(C12/12), G19/D19/(C13/12)))</f>
        <v>0.26589528446734062</v>
      </c>
      <c r="J19" s="143">
        <f>IF(ISERROR(H19/F19),0,IF(OR(ISBLANK(C13), OR(C13=0, C13="")), H19/F19/(C12/12), H19/F19/(C13/12)))</f>
        <v>1.7400120389881943</v>
      </c>
      <c r="L19" s="118"/>
      <c r="M19" s="118"/>
    </row>
    <row r="20" spans="1:13" x14ac:dyDescent="0.25">
      <c r="A20" s="41" t="s">
        <v>15</v>
      </c>
      <c r="B20" s="65" t="s">
        <v>11</v>
      </c>
      <c r="C20" s="66">
        <v>466025</v>
      </c>
      <c r="D20" s="66"/>
      <c r="E20" s="66">
        <v>466025</v>
      </c>
      <c r="F20" s="66">
        <v>0</v>
      </c>
      <c r="G20" s="142">
        <f>'Final Blanaces by Rate Class'!C47</f>
        <v>4525.0815766233627</v>
      </c>
      <c r="H20" s="139"/>
      <c r="I20" s="143">
        <f>IF(ISERROR(G20/C20),0,IF(OR(ISBLANK(C13), OR(C13=0, C13="")), G20/C20/(C12/12), G20/C20/(C13/12)))</f>
        <v>5.2963388541855784E-3</v>
      </c>
      <c r="J20" s="143">
        <f>IF(ISERROR(H20/E20),0,IF(OR(ISBLANK(C13), OR(C13=0, C13="")), H20/E20/(C12/12), H20/E20/(C13/12)))</f>
        <v>0</v>
      </c>
      <c r="L20" s="118"/>
      <c r="M20" s="118"/>
    </row>
    <row r="21" spans="1:13" x14ac:dyDescent="0.25">
      <c r="A21" s="41" t="s">
        <v>16</v>
      </c>
      <c r="B21" s="65" t="s">
        <v>14</v>
      </c>
      <c r="C21" s="66">
        <v>349585</v>
      </c>
      <c r="D21" s="66">
        <v>879</v>
      </c>
      <c r="E21" s="66">
        <v>349585</v>
      </c>
      <c r="F21" s="66">
        <v>879</v>
      </c>
      <c r="G21" s="142">
        <f>'Final Blanaces by Rate Class'!C48</f>
        <v>3394.4544669575207</v>
      </c>
      <c r="H21" s="139"/>
      <c r="I21" s="143">
        <f>IF(ISERROR(G21/D21),0,IF(OR(ISBLANK(C13), OR(C13=0, C13="")), G21/D21/(C12/12), G21/D21/(C13/12)))</f>
        <v>2.1063943325830103</v>
      </c>
      <c r="J21" s="143">
        <f>IF(ISERROR(H21/F21),0,IF(OR(ISBLANK(C13), OR(C13=0, C13="")), H21/F21/(C12/12), H21/F21/(C13/12)))</f>
        <v>0</v>
      </c>
      <c r="L21" s="118"/>
      <c r="M21" s="118"/>
    </row>
    <row r="22" spans="1:13" x14ac:dyDescent="0.25">
      <c r="A22" s="41" t="s">
        <v>17</v>
      </c>
      <c r="B22" s="65" t="s">
        <v>14</v>
      </c>
      <c r="C22" s="66">
        <v>3400608</v>
      </c>
      <c r="D22" s="66">
        <v>9791</v>
      </c>
      <c r="E22" s="66">
        <v>3400608</v>
      </c>
      <c r="F22" s="66">
        <v>9791</v>
      </c>
      <c r="G22" s="142">
        <f>'Final Blanaces by Rate Class'!C49</f>
        <v>33019.749176799582</v>
      </c>
      <c r="H22" s="139"/>
      <c r="I22" s="143">
        <f>IF(ISERROR(G22/D22),0,IF(OR(ISBLANK(C13), OR(C13=0, C13="")), G22/D22/(C12/12), G22/D22/(C13/12)))</f>
        <v>1.8395232640439505</v>
      </c>
      <c r="J22" s="143">
        <f>IF(ISERROR(H22/F22),0,IF(OR(ISBLANK(C13), OR(C13=0, C13="")), H22/F22/(C12/12), H22/F22/(C13/12)))</f>
        <v>0</v>
      </c>
      <c r="L22" s="118"/>
      <c r="M22" s="118"/>
    </row>
    <row r="23" spans="1:13" x14ac:dyDescent="0.25">
      <c r="A23" s="41" t="s">
        <v>18</v>
      </c>
      <c r="B23" s="65" t="s">
        <v>11</v>
      </c>
      <c r="C23" s="66">
        <v>33900000</v>
      </c>
      <c r="D23" s="66"/>
      <c r="E23" s="66">
        <v>33900000</v>
      </c>
      <c r="F23" s="66">
        <v>0</v>
      </c>
      <c r="G23" s="142">
        <f>'Final Blanaces by Rate Class'!C50</f>
        <v>205774.88172823336</v>
      </c>
      <c r="H23" s="139"/>
      <c r="I23" s="143">
        <f>IF(ISERROR(G23/C23),0,IF(OR(ISBLANK(C13), OR(C13=0, C13="")), G23/C23/(C12/12), G23/C23/(C13/12)))</f>
        <v>3.3109393681131677E-3</v>
      </c>
      <c r="J23" s="143">
        <f>IF(ISERROR(H23/E23),0,IF(OR(ISBLANK(C13), OR(C13=0, C13="")), H23/E23/(C12/12), H23/E23/(C13/12)))</f>
        <v>0</v>
      </c>
      <c r="L23" s="118"/>
      <c r="M23" s="118"/>
    </row>
    <row r="30" spans="1:13" ht="17.25" x14ac:dyDescent="0.25">
      <c r="A30" s="30"/>
    </row>
    <row r="31" spans="1:13" ht="17.25" x14ac:dyDescent="0.25">
      <c r="A31" s="167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13">
    <mergeCell ref="J15:J16"/>
    <mergeCell ref="A31:J31"/>
    <mergeCell ref="A11:J11"/>
    <mergeCell ref="A12:B12"/>
    <mergeCell ref="A13:B13"/>
    <mergeCell ref="C15:C16"/>
    <mergeCell ref="D15:D16"/>
    <mergeCell ref="E15:E16"/>
    <mergeCell ref="F15:F16"/>
    <mergeCell ref="G15:G16"/>
    <mergeCell ref="H15:H16"/>
    <mergeCell ref="I15:I16"/>
    <mergeCell ref="I13:J1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opLeftCell="A31" workbookViewId="0">
      <selection activeCell="C46" sqref="C46:C52"/>
    </sheetView>
  </sheetViews>
  <sheetFormatPr defaultColWidth="9.140625" defaultRowHeight="15" x14ac:dyDescent="0.25"/>
  <cols>
    <col min="1" max="1" width="56" bestFit="1" customWidth="1"/>
    <col min="2" max="2" width="13.7109375" customWidth="1"/>
    <col min="3" max="3" width="30.28515625" customWidth="1"/>
    <col min="4" max="4" width="18.5703125" customWidth="1"/>
    <col min="5" max="5" width="18.85546875" bestFit="1" customWidth="1"/>
    <col min="8" max="8" width="14.7109375" bestFit="1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9"/>
      <c r="B2" s="29" t="b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25">
      <c r="A6" s="9"/>
      <c r="B6" s="9" t="s">
        <v>19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x14ac:dyDescent="0.25">
      <c r="A13" s="176"/>
      <c r="B13" s="177"/>
      <c r="C13" s="177"/>
      <c r="D13" s="67"/>
      <c r="E13" s="6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9.5" customHeight="1" x14ac:dyDescent="0.25">
      <c r="A14" s="37" t="s">
        <v>44</v>
      </c>
      <c r="B14" s="9"/>
      <c r="C14" s="9"/>
      <c r="D14" s="69"/>
      <c r="E14" s="7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s="77" customFormat="1" ht="51" x14ac:dyDescent="0.25">
      <c r="A15" s="71"/>
      <c r="B15" s="72"/>
      <c r="C15" s="73" t="s">
        <v>62</v>
      </c>
      <c r="D15" s="74" t="s">
        <v>37</v>
      </c>
      <c r="E15" s="73" t="s">
        <v>38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 s="52" customFormat="1" x14ac:dyDescent="0.25">
      <c r="A16" s="48"/>
      <c r="B16" s="48"/>
      <c r="C16" s="51" t="s">
        <v>11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55" customFormat="1" x14ac:dyDescent="0.25">
      <c r="A17" s="53"/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17" x14ac:dyDescent="0.25">
      <c r="A18" s="16" t="s">
        <v>10</v>
      </c>
      <c r="B18" s="56" t="s">
        <v>11</v>
      </c>
      <c r="C18" s="57">
        <v>22368059</v>
      </c>
      <c r="D18" s="42">
        <f>C18/C$25</f>
        <v>0.12889581228221778</v>
      </c>
      <c r="E18" s="58">
        <f>E$25*D18</f>
        <v>-304705.21930114465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5">
      <c r="A19" s="16" t="s">
        <v>12</v>
      </c>
      <c r="B19" s="56" t="s">
        <v>11</v>
      </c>
      <c r="C19" s="57">
        <v>11158719</v>
      </c>
      <c r="D19" s="42">
        <f t="shared" ref="D19:D24" si="0">C19/C$25</f>
        <v>6.4302054529363356E-2</v>
      </c>
      <c r="E19" s="58">
        <f t="shared" ref="E19:E24" si="1">E$25*D19</f>
        <v>-152007.82151079131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5">
      <c r="A20" s="16" t="s">
        <v>13</v>
      </c>
      <c r="B20" s="56" t="s">
        <v>11</v>
      </c>
      <c r="C20" s="57">
        <v>106075179.69</v>
      </c>
      <c r="D20" s="42">
        <f t="shared" si="0"/>
        <v>0.61125761735181217</v>
      </c>
      <c r="E20" s="58">
        <f t="shared" si="1"/>
        <v>-1444991.7576598744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25">
      <c r="A21" s="16" t="s">
        <v>15</v>
      </c>
      <c r="B21" s="56" t="s">
        <v>11</v>
      </c>
      <c r="C21" s="57"/>
      <c r="D21" s="42">
        <f t="shared" si="0"/>
        <v>0</v>
      </c>
      <c r="E21" s="58">
        <f t="shared" si="1"/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x14ac:dyDescent="0.25">
      <c r="A22" s="16" t="s">
        <v>16</v>
      </c>
      <c r="B22" s="56" t="s">
        <v>11</v>
      </c>
      <c r="C22" s="57"/>
      <c r="D22" s="42">
        <f t="shared" si="0"/>
        <v>0</v>
      </c>
      <c r="E22" s="58">
        <f t="shared" si="1"/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x14ac:dyDescent="0.25">
      <c r="A23" s="16" t="s">
        <v>17</v>
      </c>
      <c r="B23" s="56" t="s">
        <v>11</v>
      </c>
      <c r="C23" s="57">
        <v>34006</v>
      </c>
      <c r="D23" s="42">
        <f t="shared" si="0"/>
        <v>1.9595938085057349E-4</v>
      </c>
      <c r="E23" s="58">
        <f t="shared" si="1"/>
        <v>-463.24116399883985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 thickBot="1" x14ac:dyDescent="0.3">
      <c r="A24" s="16" t="s">
        <v>18</v>
      </c>
      <c r="B24" s="56" t="s">
        <v>11</v>
      </c>
      <c r="C24" s="57">
        <v>33900000</v>
      </c>
      <c r="D24" s="42">
        <f t="shared" si="0"/>
        <v>0.19534855645575608</v>
      </c>
      <c r="E24" s="58">
        <f t="shared" si="1"/>
        <v>-461797.19636419072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x14ac:dyDescent="0.25">
      <c r="A25" s="9"/>
      <c r="B25" s="59" t="s">
        <v>19</v>
      </c>
      <c r="C25" s="60">
        <f>SUM(C18:C24)</f>
        <v>173535963.69</v>
      </c>
      <c r="D25" s="61">
        <f>SUM(D18:D24)</f>
        <v>1</v>
      </c>
      <c r="E25" s="62">
        <f>Variance!H15</f>
        <v>-2363965.236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8" x14ac:dyDescent="0.25">
      <c r="A28" s="37" t="s">
        <v>45</v>
      </c>
      <c r="B28" s="9"/>
      <c r="C28" s="9"/>
      <c r="D28" s="69"/>
      <c r="E28" s="7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76" customFormat="1" ht="51" x14ac:dyDescent="0.25">
      <c r="A29" s="71"/>
      <c r="B29" s="72"/>
      <c r="C29" s="73" t="s">
        <v>62</v>
      </c>
      <c r="D29" s="74" t="s">
        <v>37</v>
      </c>
      <c r="E29" s="73" t="s">
        <v>38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</row>
    <row r="30" spans="1:17" x14ac:dyDescent="0.25">
      <c r="A30" s="48"/>
      <c r="B30" s="48"/>
      <c r="C30" s="51" t="s">
        <v>11</v>
      </c>
      <c r="D30" s="48"/>
      <c r="E30" s="4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x14ac:dyDescent="0.25">
      <c r="A31" s="53"/>
      <c r="B31" s="54"/>
      <c r="C31" s="53"/>
      <c r="D31" s="53"/>
      <c r="E31" s="5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16" t="s">
        <v>10</v>
      </c>
      <c r="B32" s="56" t="s">
        <v>11</v>
      </c>
      <c r="C32" s="57">
        <v>22368059</v>
      </c>
      <c r="D32" s="42">
        <f t="shared" ref="D32:D37" si="2">C32/$C$39</f>
        <v>0.16018838133747834</v>
      </c>
      <c r="E32" s="58">
        <f>E$39*D32</f>
        <v>-269885.11115625326</v>
      </c>
    </row>
    <row r="33" spans="1:8" x14ac:dyDescent="0.25">
      <c r="A33" s="16" t="s">
        <v>12</v>
      </c>
      <c r="B33" s="56" t="s">
        <v>11</v>
      </c>
      <c r="C33" s="57">
        <v>11158719</v>
      </c>
      <c r="D33" s="42">
        <f t="shared" si="2"/>
        <v>7.991293005842684E-2</v>
      </c>
      <c r="E33" s="58">
        <f t="shared" ref="E33:E38" si="3">E$39*D33</f>
        <v>-134637.16801160062</v>
      </c>
    </row>
    <row r="34" spans="1:8" x14ac:dyDescent="0.25">
      <c r="A34" s="16" t="s">
        <v>13</v>
      </c>
      <c r="B34" s="56" t="s">
        <v>11</v>
      </c>
      <c r="C34" s="57">
        <v>106075179.69</v>
      </c>
      <c r="D34" s="42">
        <f t="shared" si="2"/>
        <v>0.75965515535448369</v>
      </c>
      <c r="E34" s="58">
        <f t="shared" si="3"/>
        <v>-1279865.7076841216</v>
      </c>
    </row>
    <row r="35" spans="1:8" x14ac:dyDescent="0.25">
      <c r="A35" s="16" t="s">
        <v>15</v>
      </c>
      <c r="B35" s="56" t="s">
        <v>11</v>
      </c>
      <c r="C35" s="57"/>
      <c r="D35" s="42">
        <f t="shared" si="2"/>
        <v>0</v>
      </c>
      <c r="E35" s="58">
        <f t="shared" si="3"/>
        <v>0</v>
      </c>
    </row>
    <row r="36" spans="1:8" x14ac:dyDescent="0.25">
      <c r="A36" s="16" t="s">
        <v>16</v>
      </c>
      <c r="B36" s="56" t="s">
        <v>11</v>
      </c>
      <c r="C36" s="57"/>
      <c r="D36" s="42">
        <f t="shared" si="2"/>
        <v>0</v>
      </c>
      <c r="E36" s="58">
        <f t="shared" si="3"/>
        <v>0</v>
      </c>
    </row>
    <row r="37" spans="1:8" x14ac:dyDescent="0.25">
      <c r="A37" s="16" t="s">
        <v>17</v>
      </c>
      <c r="B37" s="56" t="s">
        <v>11</v>
      </c>
      <c r="C37" s="57">
        <v>34006</v>
      </c>
      <c r="D37" s="42">
        <f t="shared" si="2"/>
        <v>2.4353324961107661E-4</v>
      </c>
      <c r="E37" s="58">
        <f t="shared" si="3"/>
        <v>-410.30440280846665</v>
      </c>
    </row>
    <row r="38" spans="1:8" ht="15.75" thickBot="1" x14ac:dyDescent="0.3">
      <c r="A38" s="16" t="s">
        <v>18</v>
      </c>
      <c r="B38" s="56" t="s">
        <v>11</v>
      </c>
      <c r="C38" s="57"/>
      <c r="D38" s="42"/>
      <c r="E38" s="58">
        <f t="shared" si="3"/>
        <v>0</v>
      </c>
    </row>
    <row r="39" spans="1:8" x14ac:dyDescent="0.25">
      <c r="A39" s="9"/>
      <c r="B39" s="59" t="s">
        <v>19</v>
      </c>
      <c r="C39" s="60">
        <f>SUM(C32:C38)</f>
        <v>139635963.69</v>
      </c>
      <c r="D39" s="61">
        <f>SUM(D32:D38)</f>
        <v>1</v>
      </c>
      <c r="E39" s="62">
        <f>Variance!K15</f>
        <v>-1684798.291254784</v>
      </c>
    </row>
    <row r="42" spans="1:8" ht="18" x14ac:dyDescent="0.25">
      <c r="A42" s="37" t="s">
        <v>53</v>
      </c>
    </row>
    <row r="43" spans="1:8" ht="51" x14ac:dyDescent="0.25">
      <c r="A43" s="71"/>
      <c r="B43" s="72"/>
      <c r="C43" s="73" t="s">
        <v>62</v>
      </c>
      <c r="D43" s="73" t="s">
        <v>38</v>
      </c>
      <c r="E43" s="122" t="s">
        <v>78</v>
      </c>
    </row>
    <row r="44" spans="1:8" x14ac:dyDescent="0.25">
      <c r="A44" s="48"/>
      <c r="B44" s="48"/>
      <c r="C44" s="51" t="s">
        <v>11</v>
      </c>
      <c r="D44" s="48"/>
    </row>
    <row r="45" spans="1:8" x14ac:dyDescent="0.25">
      <c r="A45" s="53"/>
      <c r="B45" s="54"/>
      <c r="C45" s="53"/>
      <c r="D45" s="53"/>
    </row>
    <row r="46" spans="1:8" x14ac:dyDescent="0.25">
      <c r="A46" s="16" t="s">
        <v>10</v>
      </c>
      <c r="B46" s="95" t="s">
        <v>11</v>
      </c>
      <c r="C46" s="93">
        <v>22368059</v>
      </c>
      <c r="D46" s="94">
        <f>E18+E32</f>
        <v>-574590.33045739797</v>
      </c>
      <c r="E46" s="96">
        <f>IF(ISERROR(D46/C46),0,IF(OR(ISBLANK('Calculation of Def-Var RR'!$C$13), OR('Calculation of Def-Var RR'!$C$13=0,'Calculation of Def-Var RR'!$C$13= "")), D46/C46/('Calculation of Def-Var RR'!$C$12/12), D46/C46/('Calculation of Def-Var RR'!$C$13/12)))</f>
        <v>-1.4011627362133527E-2</v>
      </c>
      <c r="F46" s="97" t="s">
        <v>11</v>
      </c>
      <c r="H46" s="112"/>
    </row>
    <row r="47" spans="1:8" x14ac:dyDescent="0.25">
      <c r="A47" s="16" t="s">
        <v>12</v>
      </c>
      <c r="B47" s="95" t="s">
        <v>11</v>
      </c>
      <c r="C47" s="93">
        <v>11158719</v>
      </c>
      <c r="D47" s="94">
        <f t="shared" ref="D47:D52" si="4">E19+E33</f>
        <v>-286644.98952239193</v>
      </c>
      <c r="E47" s="96">
        <f>IF(ISERROR(D47/C47),0,IF(OR(ISBLANK('Calculation of Def-Var RR'!$C$13), OR('Calculation of Def-Var RR'!$C$13=0,'Calculation of Def-Var RR'!$C$13= "")), D47/C47/('Calculation of Def-Var RR'!$C$12/12), D47/C47/('Calculation of Def-Var RR'!$C$13/12)))</f>
        <v>-1.4011627362133525E-2</v>
      </c>
      <c r="F47" s="97" t="s">
        <v>11</v>
      </c>
    </row>
    <row r="48" spans="1:8" x14ac:dyDescent="0.25">
      <c r="A48" s="16" t="s">
        <v>13</v>
      </c>
      <c r="B48" s="95" t="s">
        <v>11</v>
      </c>
      <c r="C48" s="93">
        <v>106075179.69</v>
      </c>
      <c r="D48" s="94">
        <f t="shared" si="4"/>
        <v>-2724857.465343996</v>
      </c>
      <c r="E48" s="96">
        <f>IF(ISERROR(D48/C48),0,IF(OR(ISBLANK('Calculation of Def-Var RR'!$C$13), OR('Calculation of Def-Var RR'!$C$13=0,'Calculation of Def-Var RR'!$C$13= "")), D48/C48/('Calculation of Def-Var RR'!$C$12/12), D48/C48/('Calculation of Def-Var RR'!$C$13/12)))</f>
        <v>-1.4011627362133523E-2</v>
      </c>
      <c r="F48" s="97" t="s">
        <v>11</v>
      </c>
    </row>
    <row r="49" spans="1:6" x14ac:dyDescent="0.25">
      <c r="A49" s="16" t="s">
        <v>15</v>
      </c>
      <c r="B49" s="95" t="s">
        <v>11</v>
      </c>
      <c r="C49" s="93">
        <v>0</v>
      </c>
      <c r="D49" s="94">
        <f t="shared" si="4"/>
        <v>0</v>
      </c>
      <c r="E49" s="96">
        <f>IF(ISERROR(D49/C49),0,IF(OR(ISBLANK('Calculation of Def-Var RR'!$C$13), OR('Calculation of Def-Var RR'!$C$13=0,'Calculation of Def-Var RR'!$C$13= "")), D49/C49/('Calculation of Def-Var RR'!$C$12/12), D49/C49/('Calculation of Def-Var RR'!$C$13/12)))</f>
        <v>0</v>
      </c>
      <c r="F49" s="97"/>
    </row>
    <row r="50" spans="1:6" x14ac:dyDescent="0.25">
      <c r="A50" s="16" t="s">
        <v>16</v>
      </c>
      <c r="B50" s="95" t="s">
        <v>11</v>
      </c>
      <c r="C50" s="93">
        <v>0</v>
      </c>
      <c r="D50" s="94">
        <f t="shared" si="4"/>
        <v>0</v>
      </c>
      <c r="E50" s="96">
        <f>IF(ISERROR(D50/C50),0,IF(OR(ISBLANK('Calculation of Def-Var RR'!$C$13), OR('Calculation of Def-Var RR'!$C$13=0,'Calculation of Def-Var RR'!$C$13= "")), D50/C50/('Calculation of Def-Var RR'!$C$12/12), D50/C50/('Calculation of Def-Var RR'!$C$13/12)))</f>
        <v>0</v>
      </c>
      <c r="F50" s="97"/>
    </row>
    <row r="51" spans="1:6" x14ac:dyDescent="0.25">
      <c r="A51" s="16" t="s">
        <v>17</v>
      </c>
      <c r="B51" s="95" t="s">
        <v>11</v>
      </c>
      <c r="C51" s="93">
        <v>34006</v>
      </c>
      <c r="D51" s="94">
        <f t="shared" si="4"/>
        <v>-873.5455668073065</v>
      </c>
      <c r="E51" s="96">
        <f>IF(ISERROR(D51/C51),0,IF(OR(ISBLANK('Calculation of Def-Var RR'!$C$13), OR('Calculation of Def-Var RR'!$C$13=0,'Calculation of Def-Var RR'!$C$13= "")), D51/C51/('Calculation of Def-Var RR'!$C$12/12), D51/C51/('Calculation of Def-Var RR'!$C$13/12)))</f>
        <v>-1.4011627362133525E-2</v>
      </c>
      <c r="F51" s="97" t="s">
        <v>11</v>
      </c>
    </row>
    <row r="52" spans="1:6" ht="15.75" thickBot="1" x14ac:dyDescent="0.3">
      <c r="A52" s="16" t="s">
        <v>18</v>
      </c>
      <c r="B52" s="98" t="s">
        <v>11</v>
      </c>
      <c r="C52" s="99">
        <f>C24</f>
        <v>33900000</v>
      </c>
      <c r="D52" s="100">
        <f t="shared" si="4"/>
        <v>-461797.19636419072</v>
      </c>
      <c r="E52" s="101">
        <f>IF(ISERROR(D52/C52),0,IF(OR(ISBLANK('Calculation of Def-Var RR'!$C$13), OR('Calculation of Def-Var RR'!$C$13=0,'Calculation of Def-Var RR'!$C$13= "")), D52/C52/('Calculation of Def-Var RR'!$C$12/12), D52/C52/('Calculation of Def-Var RR'!$C$13/12)))</f>
        <v>-7.430365186873544E-3</v>
      </c>
      <c r="F52" s="97" t="s">
        <v>11</v>
      </c>
    </row>
    <row r="53" spans="1:6" x14ac:dyDescent="0.25">
      <c r="A53" s="9"/>
      <c r="B53" s="92" t="s">
        <v>19</v>
      </c>
      <c r="C53" s="93"/>
      <c r="D53" s="94">
        <f>SUM(D46:D52)</f>
        <v>-4048763.527254784</v>
      </c>
      <c r="F53" s="111"/>
    </row>
  </sheetData>
  <mergeCells count="1">
    <mergeCell ref="A13:C13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 xsi:nil="true"/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D14612-2814-4679-A576-F2F05B9C3926}"/>
</file>

<file path=customXml/itemProps2.xml><?xml version="1.0" encoding="utf-8"?>
<ds:datastoreItem xmlns:ds="http://schemas.openxmlformats.org/officeDocument/2006/customXml" ds:itemID="{0E2BBB15-20B2-4563-BA6B-60EAED6ED31C}"/>
</file>

<file path=customXml/itemProps3.xml><?xml version="1.0" encoding="utf-8"?>
<ds:datastoreItem xmlns:ds="http://schemas.openxmlformats.org/officeDocument/2006/customXml" ds:itemID="{CBE1381B-4365-4566-A2AD-36874E360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Variance</vt:lpstr>
      <vt:lpstr>Billing Determinants</vt:lpstr>
      <vt:lpstr>Allocating Def-Var Balances</vt:lpstr>
      <vt:lpstr>Final Blanaces by Rate Class</vt:lpstr>
      <vt:lpstr>Calculation of Def-Var RR</vt:lpstr>
      <vt:lpstr>GA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SHETH Nikita</dc:creator>
  <cp:lastModifiedBy>SHETH Nikita</cp:lastModifiedBy>
  <cp:lastPrinted>2017-12-19T19:00:16Z</cp:lastPrinted>
  <dcterms:created xsi:type="dcterms:W3CDTF">2017-12-13T15:04:20Z</dcterms:created>
  <dcterms:modified xsi:type="dcterms:W3CDTF">2018-01-04T18:25:22Z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