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Hydro Hawkesbury\HHI 2018 CoS\Settlement Conference\"/>
    </mc:Choice>
  </mc:AlternateContent>
  <bookViews>
    <workbookView xWindow="0" yWindow="0" windowWidth="21810" windowHeight="86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</externalReference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4" l="1"/>
  <c r="J15" i="4"/>
  <c r="H15" i="4"/>
  <c r="J14" i="4"/>
  <c r="J108" i="4" l="1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102" i="4"/>
  <c r="I102" i="4"/>
  <c r="H102" i="4"/>
  <c r="J101" i="4"/>
  <c r="I101" i="4"/>
  <c r="H101" i="4"/>
  <c r="J100" i="4"/>
  <c r="I100" i="4"/>
  <c r="H100" i="4"/>
  <c r="J99" i="4"/>
  <c r="I99" i="4"/>
  <c r="H99" i="4"/>
  <c r="J98" i="4"/>
  <c r="I98" i="4"/>
  <c r="H98" i="4"/>
  <c r="J97" i="4"/>
  <c r="I97" i="4"/>
  <c r="H97" i="4"/>
  <c r="J96" i="4"/>
  <c r="I96" i="4"/>
  <c r="H96" i="4"/>
  <c r="J95" i="4"/>
  <c r="I95" i="4"/>
  <c r="H95" i="4"/>
  <c r="J94" i="4"/>
  <c r="I94" i="4"/>
  <c r="H94" i="4"/>
  <c r="J93" i="4"/>
  <c r="I93" i="4"/>
  <c r="H93" i="4"/>
  <c r="J92" i="4"/>
  <c r="I92" i="4"/>
  <c r="H92" i="4"/>
  <c r="J88" i="4"/>
  <c r="I88" i="4"/>
  <c r="H88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J77" i="4"/>
  <c r="I77" i="4"/>
  <c r="H77" i="4"/>
  <c r="J76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H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6" i="4"/>
  <c r="I66" i="4"/>
  <c r="H66" i="4"/>
  <c r="J65" i="4"/>
  <c r="I65" i="4"/>
  <c r="H65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J58" i="4"/>
  <c r="I58" i="4"/>
  <c r="H58" i="4"/>
  <c r="J57" i="4"/>
  <c r="I57" i="4"/>
  <c r="H57" i="4"/>
  <c r="J56" i="4"/>
  <c r="I56" i="4"/>
  <c r="H56" i="4"/>
  <c r="J55" i="4"/>
  <c r="I55" i="4"/>
  <c r="H55" i="4"/>
  <c r="J53" i="4"/>
  <c r="I53" i="4"/>
  <c r="H53" i="4"/>
  <c r="J52" i="4"/>
  <c r="I52" i="4"/>
  <c r="H52" i="4"/>
  <c r="J51" i="4"/>
  <c r="I51" i="4"/>
  <c r="H51" i="4"/>
  <c r="J50" i="4"/>
  <c r="I50" i="4"/>
  <c r="H50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4" i="4"/>
  <c r="I44" i="4"/>
  <c r="H44" i="4"/>
  <c r="I14" i="4"/>
  <c r="H14" i="4"/>
  <c r="I10" i="4"/>
  <c r="J9" i="4"/>
  <c r="I9" i="4"/>
  <c r="H9" i="4"/>
  <c r="G248" i="1" l="1"/>
  <c r="J78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22" i="1" s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7" i="4" s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I115" i="4"/>
  <c r="H115" i="4"/>
  <c r="H35" i="4" s="1"/>
  <c r="K115" i="4"/>
  <c r="K29" i="4" s="1"/>
  <c r="L115" i="4"/>
  <c r="L29" i="4" s="1"/>
  <c r="I35" i="4" l="1"/>
  <c r="J35" i="4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I21" i="4" s="1"/>
  <c r="J21" i="4" s="1"/>
  <c r="G20" i="4"/>
  <c r="H20" i="4" s="1"/>
  <c r="I20" i="4" s="1"/>
  <c r="J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122" i="4" l="1"/>
  <c r="I29" i="4" s="1"/>
  <c r="H122" i="4"/>
  <c r="J122" i="4"/>
  <c r="J29" i="4" s="1"/>
  <c r="H16" i="4"/>
  <c r="I16" i="4"/>
  <c r="J16" i="4"/>
  <c r="H135" i="1"/>
  <c r="G37" i="4"/>
  <c r="G36" i="4"/>
  <c r="I145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37" i="4" l="1"/>
  <c r="H27" i="4" s="1"/>
  <c r="J37" i="4"/>
  <c r="J27" i="4" s="1"/>
  <c r="I37" i="4"/>
  <c r="I27" i="4" s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2" i="1"/>
  <c r="I114" i="1" s="1"/>
  <c r="I112" i="1"/>
  <c r="J112" i="1" s="1"/>
  <c r="K112" i="1" s="1"/>
  <c r="L112" i="1" s="1"/>
  <c r="H209" i="1"/>
  <c r="H213" i="1" s="1"/>
  <c r="H113" i="1"/>
  <c r="H129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H247" i="1"/>
  <c r="J139" i="1"/>
  <c r="H156" i="1"/>
  <c r="H220" i="1" s="1"/>
  <c r="I143" i="1"/>
  <c r="H218" i="1"/>
  <c r="H211" i="1"/>
  <c r="I136" i="1"/>
  <c r="I137" i="1" s="1"/>
  <c r="H89" i="1" l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I156" i="1"/>
  <c r="I220" i="1" s="1"/>
  <c r="J143" i="1"/>
  <c r="J116" i="1"/>
  <c r="I247" i="1"/>
  <c r="I152" i="1"/>
  <c r="I206" i="1" s="1"/>
  <c r="K129" i="1"/>
  <c r="K155" i="1"/>
  <c r="K209" i="1" s="1"/>
  <c r="K213" i="1" s="1"/>
  <c r="J136" i="1"/>
  <c r="J137" i="1" s="1"/>
  <c r="H256" i="1" l="1"/>
  <c r="H122" i="1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I122" i="1" s="1"/>
  <c r="J247" i="1"/>
  <c r="J152" i="1"/>
  <c r="J206" i="1" s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J122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0" i="1"/>
  <c r="L156" i="1" l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228" i="1" s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J178" i="1"/>
  <c r="I172" i="1"/>
  <c r="H239" i="1"/>
  <c r="I175" i="1"/>
  <c r="J170" i="1"/>
  <c r="H241" i="1"/>
  <c r="I177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J241" i="1"/>
  <c r="K166" i="1"/>
  <c r="K168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J96" i="1" l="1"/>
  <c r="I96" i="1"/>
  <c r="I128" i="1" l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I211" i="1" l="1"/>
  <c r="I232" i="1" s="1"/>
  <c r="I214" i="1"/>
  <c r="I235" i="1" s="1"/>
  <c r="I228" i="1"/>
  <c r="J211" i="1"/>
  <c r="J232" i="1" s="1"/>
  <c r="J214" i="1"/>
  <c r="J235" i="1" s="1"/>
  <c r="J228" i="1"/>
  <c r="I97" i="1" l="1"/>
  <c r="I129" i="1" l="1"/>
  <c r="I155" i="1"/>
  <c r="I209" i="1" s="1"/>
  <c r="I213" i="1" l="1"/>
  <c r="I234" i="1" s="1"/>
  <c r="I216" i="1"/>
  <c r="I237" i="1" s="1"/>
  <c r="I218" i="1"/>
  <c r="I239" i="1" s="1"/>
  <c r="I230" i="1"/>
  <c r="I98" i="1" l="1"/>
  <c r="I130" i="1" s="1"/>
  <c r="J97" i="1" l="1"/>
  <c r="J98" i="1" l="1"/>
  <c r="J130" i="1" s="1"/>
  <c r="J129" i="1"/>
  <c r="J155" i="1"/>
  <c r="J209" i="1" s="1"/>
  <c r="J216" i="1" l="1"/>
  <c r="J237" i="1" s="1"/>
  <c r="J230" i="1"/>
  <c r="J218" i="1"/>
  <c r="J239" i="1" s="1"/>
  <c r="J213" i="1"/>
  <c r="J234" i="1" s="1"/>
  <c r="H98" i="1" l="1"/>
  <c r="H130" i="1" s="1"/>
  <c r="H131" i="1" s="1"/>
  <c r="H154" i="1" l="1"/>
  <c r="H208" i="1" s="1"/>
  <c r="I131" i="1"/>
  <c r="J131" i="1" l="1"/>
  <c r="I154" i="1"/>
  <c r="I208" i="1" s="1"/>
  <c r="H215" i="1"/>
  <c r="H236" i="1" s="1"/>
  <c r="H219" i="1"/>
  <c r="H240" i="1" s="1"/>
  <c r="H217" i="1"/>
  <c r="H238" i="1" s="1"/>
  <c r="H229" i="1"/>
  <c r="H212" i="1"/>
  <c r="H233" i="1" s="1"/>
  <c r="I229" i="1" l="1"/>
  <c r="I217" i="1"/>
  <c r="I238" i="1" s="1"/>
  <c r="I219" i="1"/>
  <c r="I240" i="1" s="1"/>
  <c r="I212" i="1"/>
  <c r="I233" i="1" s="1"/>
  <c r="I215" i="1"/>
  <c r="I236" i="1" s="1"/>
  <c r="H245" i="1"/>
  <c r="H246" i="1" s="1"/>
  <c r="H248" i="1" s="1"/>
  <c r="H257" i="1" s="1"/>
  <c r="K131" i="1"/>
  <c r="J154" i="1"/>
  <c r="J208" i="1" s="1"/>
  <c r="J212" i="1" l="1"/>
  <c r="J233" i="1" s="1"/>
  <c r="J217" i="1"/>
  <c r="J238" i="1" s="1"/>
  <c r="J229" i="1"/>
  <c r="J215" i="1"/>
  <c r="J236" i="1" s="1"/>
  <c r="J219" i="1"/>
  <c r="J240" i="1" s="1"/>
  <c r="H261" i="1"/>
  <c r="H258" i="1"/>
  <c r="H259" i="1" s="1"/>
  <c r="G12" i="5"/>
  <c r="K154" i="1"/>
  <c r="K208" i="1" s="1"/>
  <c r="L131" i="1"/>
  <c r="I245" i="1"/>
  <c r="I246" i="1" s="1"/>
  <c r="I248" i="1" s="1"/>
  <c r="I257" i="1" s="1"/>
  <c r="J245" i="1" l="1"/>
  <c r="J246" i="1" s="1"/>
  <c r="J248" i="1" s="1"/>
  <c r="J257" i="1" s="1"/>
  <c r="J261" i="1" s="1"/>
  <c r="G14" i="5"/>
  <c r="G16" i="5"/>
  <c r="J258" i="1"/>
  <c r="J259" i="1" s="1"/>
  <c r="I12" i="5"/>
  <c r="M131" i="1"/>
  <c r="M154" i="1" s="1"/>
  <c r="M208" i="1" s="1"/>
  <c r="L154" i="1"/>
  <c r="L208" i="1" s="1"/>
  <c r="I258" i="1"/>
  <c r="I259" i="1" s="1"/>
  <c r="I261" i="1"/>
  <c r="H12" i="5"/>
  <c r="K215" i="1"/>
  <c r="K236" i="1" s="1"/>
  <c r="K229" i="1"/>
  <c r="K217" i="1"/>
  <c r="K238" i="1" s="1"/>
  <c r="K219" i="1"/>
  <c r="K240" i="1" s="1"/>
  <c r="K212" i="1"/>
  <c r="K233" i="1" s="1"/>
  <c r="L215" i="1" l="1"/>
  <c r="L236" i="1" s="1"/>
  <c r="L229" i="1"/>
  <c r="L219" i="1"/>
  <c r="L240" i="1" s="1"/>
  <c r="L212" i="1"/>
  <c r="L233" i="1" s="1"/>
  <c r="L217" i="1"/>
  <c r="L238" i="1" s="1"/>
  <c r="H16" i="5"/>
  <c r="H22" i="5" s="1"/>
  <c r="H14" i="5"/>
  <c r="M215" i="1"/>
  <c r="M236" i="1" s="1"/>
  <c r="M212" i="1"/>
  <c r="M233" i="1" s="1"/>
  <c r="M219" i="1"/>
  <c r="M240" i="1" s="1"/>
  <c r="M217" i="1"/>
  <c r="M238" i="1" s="1"/>
  <c r="M229" i="1"/>
  <c r="G22" i="5"/>
  <c r="H18" i="5"/>
  <c r="H24" i="5" s="1"/>
  <c r="I10" i="5"/>
  <c r="I14" i="5" s="1"/>
  <c r="I16" i="5" s="1"/>
  <c r="I18" i="5" l="1"/>
  <c r="I22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<sst xmlns="http://schemas.openxmlformats.org/spreadsheetml/2006/main" count="520" uniqueCount="278">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</sst>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HI%202018%20TESI_Data%20Vault%20%20SettlementP%20201712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4 TB Var Analysis"/>
      <sheetName val="Exhibit 2 -&gt;"/>
      <sheetName val="2.1. Rate Base Trend "/>
      <sheetName val="2.2 RateBase VarAnalysis"/>
      <sheetName val="2.3 Summary of Capital Projects"/>
      <sheetName val="2.4 Var Capital Expenditures"/>
      <sheetName val="FIXED ASSET CONTINUITY STMT -&gt;"/>
      <sheetName val="2.6 Fixed Asset Cont Stmt"/>
      <sheetName val="2.5 DSP Input Tables"/>
      <sheetName val="2.5 Service Life Comp"/>
      <sheetName val="2.7 Overhead"/>
      <sheetName val="DEPRECIATION EXPENSES -&gt;"/>
      <sheetName val="2.10 DeprExp Bridge NewGAAP"/>
      <sheetName val="2.11 DeprExp Test NewGAAP"/>
      <sheetName val="2.12 Proposed REG Invest."/>
      <sheetName val="2.9 Depreciation Expenses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 2-H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1 OM&amp;A_Detailed_Analysis (2)"/>
      <sheetName val="4.2 OM&amp;A_Summary_Analys"/>
      <sheetName val="4.3 OMA Programs"/>
      <sheetName val="4.4 OM&amp;A_Cost _Drivers"/>
      <sheetName val="4.4 OM&amp;A Driver Summary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3 Corp_Cost_Allocation"/>
      <sheetName val="4.12 PowerSupplExp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"/>
      <sheetName val="6.4 Projected ROE"/>
      <sheetName val="ROE Calcs -&gt;"/>
      <sheetName val="6.4 ROE"/>
      <sheetName val="6.5 OEB Input Appendices"/>
      <sheetName val="6.6 OEB ROE Summary"/>
      <sheetName val="6.8 Over_Under-earning Driv"/>
      <sheetName val="Benchmarking Forecast Tool -&gt;"/>
      <sheetName val="6.8 Scorecard"/>
      <sheetName val="Model Inputs"/>
      <sheetName val="Benchmarking Calculations"/>
      <sheetName val="Results"/>
      <sheetName val="Exhibit 8 -&gt;"/>
      <sheetName val="8.1 Loss Factors"/>
      <sheetName val="Rate Design"/>
      <sheetName val="A. Cost Allocation &amp; RevAllocn"/>
      <sheetName val="B. RateDesign"/>
      <sheetName val="C. Res Rate Design"/>
      <sheetName val="D. Rev_Reconciliation"/>
      <sheetName val="E. Revenues at Curr Rates"/>
      <sheetName val="F.Cost Allocation"/>
      <sheetName val="G.110kV Refund"/>
      <sheetName val="Intergrity Check"/>
      <sheetName val="Integrity Check"/>
      <sheetName val="Bill Impact"/>
      <sheetName val="Bill Impact - Res 10 Pct"/>
      <sheetName val="Bill Impact - Residential 500"/>
      <sheetName val="Bill Impact - Residential 750"/>
      <sheetName val="Bill Impact - Residential 1000"/>
      <sheetName val="Bill Impact - Residential 2000"/>
      <sheetName val="Bill Impact - GS&lt;50"/>
      <sheetName val="Bill Impact - GS&gt;50"/>
      <sheetName val="Bill Impact - USL"/>
      <sheetName val="Bill Impact - Sentinel Lights"/>
      <sheetName val="Bill Impact - StreetLight"/>
      <sheetName val="Sheet2"/>
      <sheetName val="Intervener Tool"/>
      <sheetName val="Settlement Conference Tables"/>
      <sheetName val="8.2 IFRS Transition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7">
          <cell r="F207">
            <v>1496256.99</v>
          </cell>
          <cell r="G207">
            <v>-7745.76</v>
          </cell>
        </row>
        <row r="230">
          <cell r="E230">
            <v>0</v>
          </cell>
        </row>
        <row r="276">
          <cell r="F276">
            <v>899943.08000000007</v>
          </cell>
        </row>
        <row r="345">
          <cell r="F345">
            <v>165830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7">
          <cell r="E37">
            <v>141525131.426</v>
          </cell>
          <cell r="G37">
            <v>157664096.16586328</v>
          </cell>
        </row>
        <row r="52">
          <cell r="G52">
            <v>154939571.96797752</v>
          </cell>
        </row>
        <row r="67">
          <cell r="E67">
            <v>190682.56</v>
          </cell>
        </row>
      </sheetData>
      <sheetData sheetId="41"/>
      <sheetData sheetId="42"/>
      <sheetData sheetId="43">
        <row r="17">
          <cell r="F17">
            <v>0</v>
          </cell>
          <cell r="G17">
            <v>0</v>
          </cell>
          <cell r="H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</row>
        <row r="20">
          <cell r="F20">
            <v>14448.62</v>
          </cell>
          <cell r="G20">
            <v>50580</v>
          </cell>
          <cell r="H20">
            <v>28999</v>
          </cell>
        </row>
        <row r="21">
          <cell r="F21">
            <v>7567.43</v>
          </cell>
          <cell r="G21">
            <v>7719</v>
          </cell>
          <cell r="H21">
            <v>7855</v>
          </cell>
        </row>
        <row r="22">
          <cell r="F22">
            <v>5536.28</v>
          </cell>
          <cell r="G22">
            <v>12647</v>
          </cell>
          <cell r="H22">
            <v>12525</v>
          </cell>
        </row>
        <row r="23">
          <cell r="F23">
            <v>1270.22</v>
          </cell>
          <cell r="G23">
            <v>1296</v>
          </cell>
          <cell r="H23">
            <v>1287</v>
          </cell>
        </row>
        <row r="24">
          <cell r="F24">
            <v>16979.29</v>
          </cell>
          <cell r="G24">
            <v>17319</v>
          </cell>
          <cell r="H24">
            <v>17685</v>
          </cell>
        </row>
        <row r="25">
          <cell r="F25">
            <v>969.65</v>
          </cell>
          <cell r="G25">
            <v>989</v>
          </cell>
          <cell r="H25">
            <v>1008</v>
          </cell>
        </row>
        <row r="27">
          <cell r="F27">
            <v>6998.8</v>
          </cell>
          <cell r="G27">
            <v>7139</v>
          </cell>
          <cell r="H27">
            <v>7271</v>
          </cell>
        </row>
        <row r="28">
          <cell r="F28">
            <v>2760.95</v>
          </cell>
          <cell r="G28">
            <v>2816</v>
          </cell>
          <cell r="H28">
            <v>2872</v>
          </cell>
        </row>
        <row r="31">
          <cell r="F31">
            <v>1079.81</v>
          </cell>
          <cell r="G31">
            <v>1823</v>
          </cell>
          <cell r="H31">
            <v>1864</v>
          </cell>
        </row>
        <row r="33">
          <cell r="F33">
            <v>9407.74</v>
          </cell>
          <cell r="G33">
            <v>9596</v>
          </cell>
          <cell r="H33">
            <v>9776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</row>
        <row r="38">
          <cell r="F38">
            <v>1453.28</v>
          </cell>
          <cell r="G38">
            <v>1482</v>
          </cell>
          <cell r="H38">
            <v>1506</v>
          </cell>
        </row>
        <row r="39">
          <cell r="F39">
            <v>0</v>
          </cell>
          <cell r="G39">
            <v>0</v>
          </cell>
          <cell r="H39">
            <v>0</v>
          </cell>
        </row>
        <row r="43">
          <cell r="F43">
            <v>6684</v>
          </cell>
          <cell r="G43">
            <v>6818</v>
          </cell>
          <cell r="H43">
            <v>6754</v>
          </cell>
        </row>
        <row r="44">
          <cell r="F44">
            <v>0</v>
          </cell>
          <cell r="G44">
            <v>0</v>
          </cell>
          <cell r="H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</row>
        <row r="47">
          <cell r="F47">
            <v>14590.44</v>
          </cell>
          <cell r="G47">
            <v>14882</v>
          </cell>
          <cell r="H47">
            <v>15176</v>
          </cell>
        </row>
        <row r="48">
          <cell r="F48">
            <v>44311.51</v>
          </cell>
          <cell r="G48">
            <v>45198</v>
          </cell>
          <cell r="H48">
            <v>46083</v>
          </cell>
        </row>
        <row r="49">
          <cell r="F49">
            <v>35275.629999999997</v>
          </cell>
          <cell r="G49">
            <v>47527.915000000001</v>
          </cell>
          <cell r="H49">
            <v>48459</v>
          </cell>
        </row>
        <row r="50">
          <cell r="F50">
            <v>50484.49</v>
          </cell>
          <cell r="G50">
            <v>60583</v>
          </cell>
          <cell r="H50">
            <v>61762</v>
          </cell>
        </row>
        <row r="51">
          <cell r="F51">
            <v>129.56</v>
          </cell>
          <cell r="G51">
            <v>374</v>
          </cell>
          <cell r="H51">
            <v>300</v>
          </cell>
        </row>
        <row r="52">
          <cell r="F52">
            <v>6695.22</v>
          </cell>
          <cell r="G52">
            <v>8240</v>
          </cell>
          <cell r="H52">
            <v>8402</v>
          </cell>
        </row>
        <row r="53">
          <cell r="F53">
            <v>6408.06</v>
          </cell>
          <cell r="G53">
            <v>7451</v>
          </cell>
          <cell r="H53">
            <v>7599</v>
          </cell>
        </row>
        <row r="54">
          <cell r="F54">
            <v>2551.9699999999998</v>
          </cell>
          <cell r="G54">
            <v>2603</v>
          </cell>
          <cell r="H54">
            <v>2653</v>
          </cell>
        </row>
        <row r="55">
          <cell r="F55">
            <v>0</v>
          </cell>
          <cell r="G55">
            <v>0</v>
          </cell>
          <cell r="H55">
            <v>0</v>
          </cell>
        </row>
        <row r="68">
          <cell r="F68">
            <v>0</v>
          </cell>
          <cell r="G68">
            <v>0</v>
          </cell>
          <cell r="H68">
            <v>0</v>
          </cell>
        </row>
        <row r="69">
          <cell r="F69">
            <v>30816.54</v>
          </cell>
          <cell r="G69">
            <v>31433</v>
          </cell>
          <cell r="H69">
            <v>32005</v>
          </cell>
        </row>
        <row r="70">
          <cell r="F70">
            <v>257683.45</v>
          </cell>
          <cell r="G70">
            <v>265413.96350000001</v>
          </cell>
          <cell r="H70">
            <v>268376.30240500002</v>
          </cell>
        </row>
        <row r="71">
          <cell r="F71">
            <v>105460.11</v>
          </cell>
          <cell r="G71">
            <v>109739</v>
          </cell>
          <cell r="H71">
            <v>110514</v>
          </cell>
        </row>
        <row r="72">
          <cell r="F72">
            <v>-69.099999999999994</v>
          </cell>
          <cell r="G72">
            <v>12</v>
          </cell>
          <cell r="H72">
            <v>10</v>
          </cell>
        </row>
        <row r="73">
          <cell r="F73">
            <v>0</v>
          </cell>
          <cell r="G73">
            <v>0</v>
          </cell>
          <cell r="H73">
            <v>0</v>
          </cell>
        </row>
        <row r="75">
          <cell r="F75">
            <v>0</v>
          </cell>
          <cell r="G75">
            <v>0</v>
          </cell>
          <cell r="H75">
            <v>0</v>
          </cell>
        </row>
        <row r="80">
          <cell r="F80">
            <v>0</v>
          </cell>
          <cell r="G80">
            <v>0</v>
          </cell>
          <cell r="H80">
            <v>0</v>
          </cell>
        </row>
        <row r="91">
          <cell r="F91">
            <v>107566.94</v>
          </cell>
          <cell r="G91">
            <v>110793.84819999999</v>
          </cell>
          <cell r="H91">
            <v>113319.003646</v>
          </cell>
        </row>
        <row r="92">
          <cell r="F92">
            <v>23782.58</v>
          </cell>
          <cell r="G92">
            <v>57620</v>
          </cell>
          <cell r="H92">
            <v>58549</v>
          </cell>
        </row>
        <row r="93">
          <cell r="F93">
            <v>0</v>
          </cell>
          <cell r="G93">
            <v>0</v>
          </cell>
          <cell r="H93">
            <v>0</v>
          </cell>
        </row>
        <row r="94">
          <cell r="F94">
            <v>21907.16</v>
          </cell>
          <cell r="G94">
            <v>22345</v>
          </cell>
          <cell r="H94">
            <v>22142</v>
          </cell>
        </row>
        <row r="95">
          <cell r="F95">
            <v>0</v>
          </cell>
          <cell r="G95">
            <v>0</v>
          </cell>
          <cell r="H95">
            <v>0</v>
          </cell>
        </row>
        <row r="96">
          <cell r="F96">
            <v>65549.3</v>
          </cell>
          <cell r="G96">
            <v>65549</v>
          </cell>
          <cell r="H96">
            <v>65011</v>
          </cell>
        </row>
        <row r="98">
          <cell r="F98">
            <v>8523.36</v>
          </cell>
          <cell r="G98">
            <v>10194</v>
          </cell>
          <cell r="H98">
            <v>10398</v>
          </cell>
        </row>
        <row r="99">
          <cell r="F99">
            <v>9882.51</v>
          </cell>
          <cell r="G99">
            <v>10080</v>
          </cell>
          <cell r="H99">
            <v>10282</v>
          </cell>
        </row>
        <row r="100">
          <cell r="F100">
            <v>0</v>
          </cell>
          <cell r="G100">
            <v>0</v>
          </cell>
          <cell r="H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</row>
        <row r="103">
          <cell r="F103">
            <v>53425.91</v>
          </cell>
          <cell r="G103">
            <v>94067</v>
          </cell>
          <cell r="H103">
            <v>90527.065774999995</v>
          </cell>
        </row>
        <row r="105">
          <cell r="F105">
            <v>16700</v>
          </cell>
          <cell r="G105">
            <v>17034</v>
          </cell>
          <cell r="H105">
            <v>16886</v>
          </cell>
        </row>
        <row r="106">
          <cell r="F106">
            <v>0</v>
          </cell>
          <cell r="G106">
            <v>0</v>
          </cell>
          <cell r="H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22431.87</v>
          </cell>
          <cell r="G108">
            <v>22881</v>
          </cell>
          <cell r="H108">
            <v>22025</v>
          </cell>
        </row>
        <row r="109">
          <cell r="F109">
            <v>5112.38</v>
          </cell>
          <cell r="G109">
            <v>5506</v>
          </cell>
          <cell r="H109">
            <v>5616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24"/>
  <sheetViews>
    <sheetView topLeftCell="A73" zoomScaleNormal="100" workbookViewId="0">
      <selection activeCell="H15" sqref="H15:J1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7" ht="23.2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7" ht="19.5" customHeight="1" x14ac:dyDescent="0.25">
      <c r="C3" s="223" t="str">
        <f>IF(F5="Click to Choose an LDC","",F5)</f>
        <v>Hydro Hawkesbury Inc.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7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7" ht="25.5" customHeight="1" thickBot="1" x14ac:dyDescent="0.25">
      <c r="B5" s="145" t="s">
        <v>189</v>
      </c>
      <c r="E5" s="78"/>
      <c r="F5" s="146" t="s">
        <v>234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7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7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7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7" x14ac:dyDescent="0.2">
      <c r="B9" s="2">
        <v>1</v>
      </c>
      <c r="C9" s="77"/>
      <c r="D9" s="78" t="s">
        <v>86</v>
      </c>
      <c r="F9" s="26"/>
      <c r="G9" s="86">
        <f>'Benchmarking Calculations'!G92</f>
        <v>612705.76</v>
      </c>
      <c r="H9" s="125">
        <f>'[1]2.6 Fixed Asset Cont Stmt'!$F$207+'[1]2.6 Fixed Asset Cont Stmt'!$G$207</f>
        <v>1488511.23</v>
      </c>
      <c r="I9" s="125">
        <f>'[1]2.6 Fixed Asset Cont Stmt'!$F$276</f>
        <v>899943.08000000007</v>
      </c>
      <c r="J9" s="125">
        <f>'[1]2.6 Fixed Asset Cont Stmt'!$F$345</f>
        <v>165830</v>
      </c>
      <c r="K9" s="125"/>
      <c r="L9" s="125"/>
      <c r="M9" s="125"/>
      <c r="N9" s="78" t="s">
        <v>172</v>
      </c>
      <c r="O9" s="88"/>
    </row>
    <row r="10" spans="2:17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>
        <f>'[1]2.6 Fixed Asset Cont Stmt'!$E$230</f>
        <v>0</v>
      </c>
      <c r="J10" s="125"/>
      <c r="K10" s="125"/>
      <c r="L10" s="125"/>
      <c r="M10" s="125"/>
      <c r="N10" s="78" t="s">
        <v>172</v>
      </c>
      <c r="O10" s="88"/>
    </row>
    <row r="11" spans="2:17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7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7" x14ac:dyDescent="0.2">
      <c r="B13" s="2">
        <v>3</v>
      </c>
      <c r="C13" s="77"/>
      <c r="D13" s="37" t="s">
        <v>89</v>
      </c>
      <c r="F13" s="26"/>
      <c r="G13" s="86">
        <f>'Benchmarking Calculations'!G96</f>
        <v>5510</v>
      </c>
      <c r="H13" s="125">
        <v>5514</v>
      </c>
      <c r="I13" s="125">
        <v>5523</v>
      </c>
      <c r="J13" s="125">
        <v>5533</v>
      </c>
      <c r="K13" s="125"/>
      <c r="L13" s="125"/>
      <c r="M13" s="125"/>
      <c r="N13" s="78" t="s">
        <v>172</v>
      </c>
      <c r="O13" s="88"/>
    </row>
    <row r="14" spans="2:17" x14ac:dyDescent="0.2">
      <c r="B14" s="2">
        <v>4</v>
      </c>
      <c r="C14" s="77"/>
      <c r="D14" s="37" t="s">
        <v>90</v>
      </c>
      <c r="F14" s="26"/>
      <c r="G14" s="86">
        <f>'Benchmarking Calculations'!G97</f>
        <v>138931642</v>
      </c>
      <c r="H14" s="125">
        <f>'[1]3.11 LoadForecast'!$E$37</f>
        <v>141525131.426</v>
      </c>
      <c r="I14" s="125">
        <f>'[1]3.11 LoadForecast'!$G$37</f>
        <v>157664096.16586328</v>
      </c>
      <c r="J14" s="125">
        <f>'[1]3.11 LoadForecast'!$G$52</f>
        <v>154939571.96797752</v>
      </c>
      <c r="K14" s="125"/>
      <c r="L14" s="125"/>
      <c r="M14" s="125"/>
      <c r="N14" s="78" t="s">
        <v>172</v>
      </c>
      <c r="O14" s="88"/>
    </row>
    <row r="15" spans="2:17" x14ac:dyDescent="0.2">
      <c r="B15" s="2">
        <v>5</v>
      </c>
      <c r="C15" s="26"/>
      <c r="D15" s="37" t="s">
        <v>91</v>
      </c>
      <c r="F15" s="26"/>
      <c r="G15" s="86">
        <f>'Benchmarking Calculations'!G98</f>
        <v>33170</v>
      </c>
      <c r="H15" s="125">
        <f>'[1]3.11 LoadForecast'!$E$67*O15</f>
        <v>33170</v>
      </c>
      <c r="I15" s="125">
        <f>'[1]3.11 LoadForecast'!$E$67*P15</f>
        <v>27963.305722392073</v>
      </c>
      <c r="J15" s="125">
        <f>'[1]3.11 LoadForecast'!$E$67*Q15</f>
        <v>28223.235304827333</v>
      </c>
      <c r="K15" s="125"/>
      <c r="L15" s="125"/>
      <c r="M15" s="125"/>
      <c r="N15" s="78" t="s">
        <v>172</v>
      </c>
      <c r="O15" s="88">
        <v>0.17395403124438857</v>
      </c>
      <c r="P15" s="88">
        <v>0.14664847022397892</v>
      </c>
      <c r="Q15" s="88">
        <v>0.1480116236368304</v>
      </c>
    </row>
    <row r="16" spans="2:17" x14ac:dyDescent="0.2">
      <c r="B16" s="2">
        <v>6</v>
      </c>
      <c r="C16" s="26"/>
      <c r="D16" s="78" t="s">
        <v>192</v>
      </c>
      <c r="F16" s="26"/>
      <c r="G16" s="86">
        <f>'Benchmarking Calculations'!G99</f>
        <v>68</v>
      </c>
      <c r="H16" s="125">
        <f>G16</f>
        <v>68</v>
      </c>
      <c r="I16" s="125">
        <f>G16</f>
        <v>68</v>
      </c>
      <c r="J16" s="125">
        <f>G16</f>
        <v>68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4.9923780487804881E-2</v>
      </c>
      <c r="H17" s="119">
        <v>1.3599999999999999E-2</v>
      </c>
      <c r="I17" s="119">
        <v>1.2800000000000001E-2</v>
      </c>
      <c r="J17" s="119">
        <v>6.0000000000000001E-3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 t="shared" ref="H20:J21" si="0">G20</f>
        <v>2.5639327969446551E-2</v>
      </c>
      <c r="I20" s="124">
        <f t="shared" si="0"/>
        <v>2.5639327969446551E-2</v>
      </c>
      <c r="J20" s="124">
        <f t="shared" si="0"/>
        <v>2.5639327969446551E-2</v>
      </c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v>0.02</v>
      </c>
      <c r="I21" s="124">
        <f t="shared" si="0"/>
        <v>0.02</v>
      </c>
      <c r="J21" s="124">
        <f t="shared" si="0"/>
        <v>0.02</v>
      </c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5.5899999999999998E-2</v>
      </c>
      <c r="I22" s="124">
        <v>5.5899999999999998E-2</v>
      </c>
      <c r="J22" s="124">
        <v>5.5899999999999998E-2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198</v>
      </c>
      <c r="G27" s="51">
        <f>G35-G36+G37</f>
        <v>894851.55999999982</v>
      </c>
      <c r="H27" s="51">
        <f t="shared" ref="H27:M27" si="1">H35-H36+H37</f>
        <v>971577.2</v>
      </c>
      <c r="I27" s="51">
        <f t="shared" si="1"/>
        <v>1136951.9667</v>
      </c>
      <c r="J27" s="51">
        <f t="shared" si="1"/>
        <v>1122697.611826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202</v>
      </c>
      <c r="G29" s="51">
        <f t="shared" ref="G29:M29" si="2">G115-G121+G122</f>
        <v>894851.55999999982</v>
      </c>
      <c r="H29" s="51">
        <f t="shared" si="2"/>
        <v>949561.14999999991</v>
      </c>
      <c r="I29" s="51">
        <f t="shared" si="2"/>
        <v>1078652.9667</v>
      </c>
      <c r="J29" s="51">
        <f t="shared" si="2"/>
        <v>1085843.611826</v>
      </c>
      <c r="K29" s="51">
        <f t="shared" si="2"/>
        <v>0</v>
      </c>
      <c r="L29" s="51">
        <f t="shared" si="2"/>
        <v>0</v>
      </c>
      <c r="M29" s="51">
        <f t="shared" si="2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3">IF($E$27="Y",G27,IF($E$29="Y",G29,"Error: Please enter Y for one method"))</f>
        <v>894851.55999999982</v>
      </c>
      <c r="H31" s="51">
        <f t="shared" si="3"/>
        <v>971577.2</v>
      </c>
      <c r="I31" s="51">
        <f t="shared" si="3"/>
        <v>1136951.9667</v>
      </c>
      <c r="J31" s="51">
        <f t="shared" si="3"/>
        <v>1122697.611826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908001.12999999989</v>
      </c>
      <c r="H35" s="120">
        <f>H115</f>
        <v>964375.96</v>
      </c>
      <c r="I35" s="120">
        <f>I115</f>
        <v>1129750.7267</v>
      </c>
      <c r="J35" s="120">
        <f>J115</f>
        <v>1115496.371826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20350.809999999998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7201.24</v>
      </c>
      <c r="H37" s="125">
        <f>G37</f>
        <v>7201.24</v>
      </c>
      <c r="I37" s="125">
        <f>G37</f>
        <v>7201.24</v>
      </c>
      <c r="J37" s="120">
        <f>G37</f>
        <v>7201.24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>
        <f>'[1]4.1 OM&amp;A_Detailed_Analysis'!F17</f>
        <v>0</v>
      </c>
      <c r="I44" s="142">
        <f>'[1]4.1 OM&amp;A_Detailed_Analysis'!G17</f>
        <v>0</v>
      </c>
      <c r="J44" s="142">
        <f>'[1]4.1 OM&amp;A_Detailed_Analysis'!H17</f>
        <v>0</v>
      </c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0</v>
      </c>
      <c r="H45" s="142">
        <f>'[1]4.1 OM&amp;A_Detailed_Analysis'!F18</f>
        <v>0</v>
      </c>
      <c r="I45" s="142">
        <f>'[1]4.1 OM&amp;A_Detailed_Analysis'!G18</f>
        <v>0</v>
      </c>
      <c r="J45" s="142">
        <f>'[1]4.1 OM&amp;A_Detailed_Analysis'!H18</f>
        <v>0</v>
      </c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0</v>
      </c>
      <c r="H46" s="142">
        <f>'[1]4.1 OM&amp;A_Detailed_Analysis'!F19</f>
        <v>0</v>
      </c>
      <c r="I46" s="142">
        <f>'[1]4.1 OM&amp;A_Detailed_Analysis'!G19</f>
        <v>0</v>
      </c>
      <c r="J46" s="142">
        <f>'[1]4.1 OM&amp;A_Detailed_Analysis'!H19</f>
        <v>0</v>
      </c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2435.2800000000002</v>
      </c>
      <c r="H47" s="142">
        <f>'[1]4.1 OM&amp;A_Detailed_Analysis'!F20</f>
        <v>14448.62</v>
      </c>
      <c r="I47" s="142">
        <f>'[1]4.1 OM&amp;A_Detailed_Analysis'!G20</f>
        <v>50580</v>
      </c>
      <c r="J47" s="142">
        <f>'[1]4.1 OM&amp;A_Detailed_Analysis'!H20</f>
        <v>28999</v>
      </c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17915.53</v>
      </c>
      <c r="H48" s="142">
        <f>'[1]4.1 OM&amp;A_Detailed_Analysis'!F21</f>
        <v>7567.43</v>
      </c>
      <c r="I48" s="142">
        <f>'[1]4.1 OM&amp;A_Detailed_Analysis'!G21</f>
        <v>7719</v>
      </c>
      <c r="J48" s="142">
        <f>'[1]4.1 OM&amp;A_Detailed_Analysis'!H21</f>
        <v>7855</v>
      </c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2135.65</v>
      </c>
      <c r="H49" s="142">
        <f>'[1]4.1 OM&amp;A_Detailed_Analysis'!F22</f>
        <v>5536.28</v>
      </c>
      <c r="I49" s="142">
        <f>'[1]4.1 OM&amp;A_Detailed_Analysis'!G22</f>
        <v>12647</v>
      </c>
      <c r="J49" s="142">
        <f>'[1]4.1 OM&amp;A_Detailed_Analysis'!H22</f>
        <v>12525</v>
      </c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2553.5</v>
      </c>
      <c r="H50" s="142">
        <f>'[1]4.1 OM&amp;A_Detailed_Analysis'!F23</f>
        <v>1270.22</v>
      </c>
      <c r="I50" s="142">
        <f>'[1]4.1 OM&amp;A_Detailed_Analysis'!G23</f>
        <v>1296</v>
      </c>
      <c r="J50" s="142">
        <f>'[1]4.1 OM&amp;A_Detailed_Analysis'!H23</f>
        <v>1287</v>
      </c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14779.38</v>
      </c>
      <c r="H51" s="142">
        <f>'[1]4.1 OM&amp;A_Detailed_Analysis'!F24</f>
        <v>16979.29</v>
      </c>
      <c r="I51" s="142">
        <f>'[1]4.1 OM&amp;A_Detailed_Analysis'!G24</f>
        <v>17319</v>
      </c>
      <c r="J51" s="142">
        <f>'[1]4.1 OM&amp;A_Detailed_Analysis'!H24</f>
        <v>17685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723.9</v>
      </c>
      <c r="H52" s="142">
        <f>'[1]4.1 OM&amp;A_Detailed_Analysis'!F25</f>
        <v>969.65</v>
      </c>
      <c r="I52" s="142">
        <f>'[1]4.1 OM&amp;A_Detailed_Analysis'!G25</f>
        <v>989</v>
      </c>
      <c r="J52" s="142">
        <f>'[1]4.1 OM&amp;A_Detailed_Analysis'!H25</f>
        <v>1008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2116.17</v>
      </c>
      <c r="H53" s="142">
        <f>'[1]4.1 OM&amp;A_Detailed_Analysis'!F27</f>
        <v>6998.8</v>
      </c>
      <c r="I53" s="142">
        <f>'[1]4.1 OM&amp;A_Detailed_Analysis'!G27</f>
        <v>7139</v>
      </c>
      <c r="J53" s="142">
        <f>'[1]4.1 OM&amp;A_Detailed_Analysis'!H27</f>
        <v>7271</v>
      </c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2847.6</v>
      </c>
      <c r="H54" s="142"/>
      <c r="I54" s="142"/>
      <c r="J54" s="142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f>'[1]4.1 OM&amp;A_Detailed_Analysis'!F28</f>
        <v>2760.95</v>
      </c>
      <c r="I55" s="142">
        <f>'[1]4.1 OM&amp;A_Detailed_Analysis'!G28</f>
        <v>2816</v>
      </c>
      <c r="J55" s="142">
        <f>'[1]4.1 OM&amp;A_Detailed_Analysis'!H28</f>
        <v>2872</v>
      </c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2119.94</v>
      </c>
      <c r="H56" s="142">
        <f>'[1]4.1 OM&amp;A_Detailed_Analysis'!F31</f>
        <v>1079.81</v>
      </c>
      <c r="I56" s="142">
        <f>'[1]4.1 OM&amp;A_Detailed_Analysis'!G31</f>
        <v>1823</v>
      </c>
      <c r="J56" s="142">
        <f>'[1]4.1 OM&amp;A_Detailed_Analysis'!H31</f>
        <v>1864</v>
      </c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7476.26</v>
      </c>
      <c r="H57" s="142">
        <f>'[1]4.1 OM&amp;A_Detailed_Analysis'!F33</f>
        <v>9407.74</v>
      </c>
      <c r="I57" s="142">
        <f>'[1]4.1 OM&amp;A_Detailed_Analysis'!G33</f>
        <v>9596</v>
      </c>
      <c r="J57" s="142">
        <f>'[1]4.1 OM&amp;A_Detailed_Analysis'!H33</f>
        <v>9776</v>
      </c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>
        <f>'[1]4.1 OM&amp;A_Detailed_Analysis'!F34</f>
        <v>0</v>
      </c>
      <c r="I58" s="142">
        <f>'[1]4.1 OM&amp;A_Detailed_Analysis'!G34</f>
        <v>0</v>
      </c>
      <c r="J58" s="142">
        <f>'[1]4.1 OM&amp;A_Detailed_Analysis'!H34</f>
        <v>0</v>
      </c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>
        <f>'[1]4.1 OM&amp;A_Detailed_Analysis'!F35</f>
        <v>0</v>
      </c>
      <c r="I59" s="142">
        <f>'[1]4.1 OM&amp;A_Detailed_Analysis'!G35</f>
        <v>0</v>
      </c>
      <c r="J59" s="142">
        <f>'[1]4.1 OM&amp;A_Detailed_Analysis'!H35</f>
        <v>0</v>
      </c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0</v>
      </c>
      <c r="H60" s="142">
        <f>'[1]4.1 OM&amp;A_Detailed_Analysis'!F36</f>
        <v>0</v>
      </c>
      <c r="I60" s="142">
        <f>'[1]4.1 OM&amp;A_Detailed_Analysis'!G36</f>
        <v>0</v>
      </c>
      <c r="J60" s="142">
        <f>'[1]4.1 OM&amp;A_Detailed_Analysis'!H36</f>
        <v>0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f>'[1]4.1 OM&amp;A_Detailed_Analysis'!F37</f>
        <v>0</v>
      </c>
      <c r="I61" s="142">
        <f>'[1]4.1 OM&amp;A_Detailed_Analysis'!G37</f>
        <v>0</v>
      </c>
      <c r="J61" s="142">
        <f>'[1]4.1 OM&amp;A_Detailed_Analysis'!H37</f>
        <v>0</v>
      </c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886.91</v>
      </c>
      <c r="H62" s="142">
        <f>'[1]4.1 OM&amp;A_Detailed_Analysis'!F38</f>
        <v>1453.28</v>
      </c>
      <c r="I62" s="142">
        <f>'[1]4.1 OM&amp;A_Detailed_Analysis'!G38</f>
        <v>1482</v>
      </c>
      <c r="J62" s="142">
        <f>'[1]4.1 OM&amp;A_Detailed_Analysis'!H38</f>
        <v>1506</v>
      </c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f>'[1]4.1 OM&amp;A_Detailed_Analysis'!F39</f>
        <v>0</v>
      </c>
      <c r="I63" s="142">
        <f>'[1]4.1 OM&amp;A_Detailed_Analysis'!G39</f>
        <v>0</v>
      </c>
      <c r="J63" s="142">
        <f>'[1]4.1 OM&amp;A_Detailed_Analysis'!H39</f>
        <v>0</v>
      </c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55990.12</v>
      </c>
      <c r="H64" s="81">
        <f>SUM(H44:H63)</f>
        <v>68472.070000000007</v>
      </c>
      <c r="I64" s="81">
        <f t="shared" ref="I64:M64" si="4">SUM(I44:I63)</f>
        <v>113406</v>
      </c>
      <c r="J64" s="81">
        <f t="shared" si="4"/>
        <v>92648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6560</v>
      </c>
      <c r="H65" s="142">
        <f>'[1]4.1 OM&amp;A_Detailed_Analysis'!F43</f>
        <v>6684</v>
      </c>
      <c r="I65" s="142">
        <f>'[1]4.1 OM&amp;A_Detailed_Analysis'!G43</f>
        <v>6818</v>
      </c>
      <c r="J65" s="142">
        <f>'[1]4.1 OM&amp;A_Detailed_Analysis'!H43</f>
        <v>6754</v>
      </c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0</v>
      </c>
      <c r="H66" s="142">
        <f>'[1]4.1 OM&amp;A_Detailed_Analysis'!$F44</f>
        <v>0</v>
      </c>
      <c r="I66" s="142">
        <f>'[1]4.1 OM&amp;A_Detailed_Analysis'!G44</f>
        <v>0</v>
      </c>
      <c r="J66" s="142">
        <f>'[1]4.1 OM&amp;A_Detailed_Analysis'!H44</f>
        <v>0</v>
      </c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f>'[1]4.1 OM&amp;A_Detailed_Analysis'!$F45</f>
        <v>0</v>
      </c>
      <c r="I67" s="142">
        <f>'[1]4.1 OM&amp;A_Detailed_Analysis'!G45</f>
        <v>0</v>
      </c>
      <c r="J67" s="142">
        <f>'[1]4.1 OM&amp;A_Detailed_Analysis'!H45</f>
        <v>0</v>
      </c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0</v>
      </c>
      <c r="H68" s="142">
        <f>'[1]4.1 OM&amp;A_Detailed_Analysis'!$F46</f>
        <v>0</v>
      </c>
      <c r="I68" s="142">
        <f>'[1]4.1 OM&amp;A_Detailed_Analysis'!G46</f>
        <v>0</v>
      </c>
      <c r="J68" s="142">
        <f>'[1]4.1 OM&amp;A_Detailed_Analysis'!H46</f>
        <v>0</v>
      </c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8772.17</v>
      </c>
      <c r="H69" s="142">
        <f>'[1]4.1 OM&amp;A_Detailed_Analysis'!$F47</f>
        <v>14590.44</v>
      </c>
      <c r="I69" s="142">
        <f>'[1]4.1 OM&amp;A_Detailed_Analysis'!G47</f>
        <v>14882</v>
      </c>
      <c r="J69" s="142">
        <f>'[1]4.1 OM&amp;A_Detailed_Analysis'!H47</f>
        <v>15176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36494.410000000003</v>
      </c>
      <c r="H70" s="142">
        <f>'[1]4.1 OM&amp;A_Detailed_Analysis'!$F48</f>
        <v>44311.51</v>
      </c>
      <c r="I70" s="142">
        <f>'[1]4.1 OM&amp;A_Detailed_Analysis'!G48</f>
        <v>45198</v>
      </c>
      <c r="J70" s="142">
        <f>'[1]4.1 OM&amp;A_Detailed_Analysis'!H48</f>
        <v>46083</v>
      </c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53204.39</v>
      </c>
      <c r="H71" s="142">
        <f>'[1]4.1 OM&amp;A_Detailed_Analysis'!$F49</f>
        <v>35275.629999999997</v>
      </c>
      <c r="I71" s="142">
        <f>'[1]4.1 OM&amp;A_Detailed_Analysis'!G49</f>
        <v>47527.915000000001</v>
      </c>
      <c r="J71" s="142">
        <f>'[1]4.1 OM&amp;A_Detailed_Analysis'!H49</f>
        <v>48459</v>
      </c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56039.18</v>
      </c>
      <c r="H72" s="142">
        <f>'[1]4.1 OM&amp;A_Detailed_Analysis'!$F50</f>
        <v>50484.49</v>
      </c>
      <c r="I72" s="142">
        <f>'[1]4.1 OM&amp;A_Detailed_Analysis'!G50</f>
        <v>60583</v>
      </c>
      <c r="J72" s="142">
        <f>'[1]4.1 OM&amp;A_Detailed_Analysis'!H50</f>
        <v>61762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342.72</v>
      </c>
      <c r="H73" s="142">
        <f>'[1]4.1 OM&amp;A_Detailed_Analysis'!$F51</f>
        <v>129.56</v>
      </c>
      <c r="I73" s="142">
        <f>'[1]4.1 OM&amp;A_Detailed_Analysis'!G51</f>
        <v>374</v>
      </c>
      <c r="J73" s="142">
        <f>'[1]4.1 OM&amp;A_Detailed_Analysis'!H51</f>
        <v>300</v>
      </c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2699.1</v>
      </c>
      <c r="H74" s="142">
        <f>'[1]4.1 OM&amp;A_Detailed_Analysis'!$F52</f>
        <v>6695.22</v>
      </c>
      <c r="I74" s="142">
        <f>'[1]4.1 OM&amp;A_Detailed_Analysis'!G52</f>
        <v>8240</v>
      </c>
      <c r="J74" s="142">
        <f>'[1]4.1 OM&amp;A_Detailed_Analysis'!H52</f>
        <v>8402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7065.48</v>
      </c>
      <c r="H75" s="142">
        <f>'[1]4.1 OM&amp;A_Detailed_Analysis'!$F53</f>
        <v>6408.06</v>
      </c>
      <c r="I75" s="142">
        <f>'[1]4.1 OM&amp;A_Detailed_Analysis'!G53</f>
        <v>7451</v>
      </c>
      <c r="J75" s="142">
        <f>'[1]4.1 OM&amp;A_Detailed_Analysis'!H53</f>
        <v>7599</v>
      </c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8771.9699999999993</v>
      </c>
      <c r="H76" s="142">
        <f>'[1]4.1 OM&amp;A_Detailed_Analysis'!$F54</f>
        <v>2551.9699999999998</v>
      </c>
      <c r="I76" s="142">
        <f>'[1]4.1 OM&amp;A_Detailed_Analysis'!G54</f>
        <v>2603</v>
      </c>
      <c r="J76" s="142">
        <f>'[1]4.1 OM&amp;A_Detailed_Analysis'!H54</f>
        <v>2653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0</v>
      </c>
      <c r="H77" s="142">
        <f>'[1]4.1 OM&amp;A_Detailed_Analysis'!$F55</f>
        <v>0</v>
      </c>
      <c r="I77" s="142">
        <f>'[1]4.1 OM&amp;A_Detailed_Analysis'!G55</f>
        <v>0</v>
      </c>
      <c r="J77" s="142">
        <f>'[1]4.1 OM&amp;A_Detailed_Analysis'!H55</f>
        <v>0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179949.42</v>
      </c>
      <c r="H78" s="81">
        <f>SUM(H65:H77)</f>
        <v>167130.88</v>
      </c>
      <c r="I78" s="81">
        <f t="shared" ref="I78:M78" si="5">SUM(I65:I77)</f>
        <v>193676.91500000001</v>
      </c>
      <c r="J78" s="81">
        <f>SUM(J65:J77)</f>
        <v>197188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0</v>
      </c>
      <c r="H79" s="142">
        <f>'[1]4.1 OM&amp;A_Detailed_Analysis'!F68</f>
        <v>0</v>
      </c>
      <c r="I79" s="142">
        <f>'[1]4.1 OM&amp;A_Detailed_Analysis'!G68</f>
        <v>0</v>
      </c>
      <c r="J79" s="142">
        <f>'[1]4.1 OM&amp;A_Detailed_Analysis'!H68</f>
        <v>0</v>
      </c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34817.279999999999</v>
      </c>
      <c r="H80" s="142">
        <f>'[1]4.1 OM&amp;A_Detailed_Analysis'!F69</f>
        <v>30816.54</v>
      </c>
      <c r="I80" s="142">
        <f>'[1]4.1 OM&amp;A_Detailed_Analysis'!G69</f>
        <v>31433</v>
      </c>
      <c r="J80" s="142">
        <f>'[1]4.1 OM&amp;A_Detailed_Analysis'!H69</f>
        <v>32005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233513.81</v>
      </c>
      <c r="H81" s="142">
        <f>'[1]4.1 OM&amp;A_Detailed_Analysis'!F70</f>
        <v>257683.45</v>
      </c>
      <c r="I81" s="142">
        <f>'[1]4.1 OM&amp;A_Detailed_Analysis'!G70</f>
        <v>265413.96350000001</v>
      </c>
      <c r="J81" s="142">
        <f>'[1]4.1 OM&amp;A_Detailed_Analysis'!H70</f>
        <v>268376.30240500002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106676.27</v>
      </c>
      <c r="H82" s="142">
        <f>'[1]4.1 OM&amp;A_Detailed_Analysis'!F71</f>
        <v>105460.11</v>
      </c>
      <c r="I82" s="142">
        <f>'[1]4.1 OM&amp;A_Detailed_Analysis'!G71</f>
        <v>109739</v>
      </c>
      <c r="J82" s="142">
        <f>'[1]4.1 OM&amp;A_Detailed_Analysis'!H71</f>
        <v>110514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7.85</v>
      </c>
      <c r="H83" s="142">
        <f>'[1]4.1 OM&amp;A_Detailed_Analysis'!F72</f>
        <v>-69.099999999999994</v>
      </c>
      <c r="I83" s="142">
        <f>'[1]4.1 OM&amp;A_Detailed_Analysis'!G72</f>
        <v>12</v>
      </c>
      <c r="J83" s="142">
        <f>'[1]4.1 OM&amp;A_Detailed_Analysis'!H72</f>
        <v>10</v>
      </c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>
        <f>'[1]4.1 OM&amp;A_Detailed_Analysis'!F73</f>
        <v>0</v>
      </c>
      <c r="I84" s="142">
        <f>'[1]4.1 OM&amp;A_Detailed_Analysis'!G73</f>
        <v>0</v>
      </c>
      <c r="J84" s="142">
        <f>'[1]4.1 OM&amp;A_Detailed_Analysis'!H73</f>
        <v>0</v>
      </c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>
        <f>'[1]4.1 OM&amp;A_Detailed_Analysis'!F75</f>
        <v>0</v>
      </c>
      <c r="I85" s="142">
        <f>'[1]4.1 OM&amp;A_Detailed_Analysis'!G75</f>
        <v>0</v>
      </c>
      <c r="J85" s="142">
        <f>'[1]4.1 OM&amp;A_Detailed_Analysis'!H75</f>
        <v>0</v>
      </c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375015.20999999996</v>
      </c>
      <c r="H86" s="81">
        <f>SUM(H79:H85)</f>
        <v>393891</v>
      </c>
      <c r="I86" s="81">
        <f t="shared" ref="I86:M86" si="6">SUM(I79:I85)</f>
        <v>406597.96350000001</v>
      </c>
      <c r="J86" s="81">
        <f t="shared" si="6"/>
        <v>410905.30240500002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0</v>
      </c>
      <c r="H88" s="142">
        <f>'[1]4.1 OM&amp;A_Detailed_Analysis'!F80</f>
        <v>0</v>
      </c>
      <c r="I88" s="142">
        <f>'[1]4.1 OM&amp;A_Detailed_Analysis'!G80</f>
        <v>0</v>
      </c>
      <c r="J88" s="142">
        <f>'[1]4.1 OM&amp;A_Detailed_Analysis'!H80</f>
        <v>0</v>
      </c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0</v>
      </c>
      <c r="H91" s="81">
        <f>SUM(H87:H90)</f>
        <v>0</v>
      </c>
      <c r="I91" s="81">
        <f t="shared" ref="I91:M91" si="7">SUM(I87:I90)</f>
        <v>0</v>
      </c>
      <c r="J91" s="81">
        <f t="shared" si="7"/>
        <v>0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101804.32</v>
      </c>
      <c r="H92" s="142">
        <f>'[1]4.1 OM&amp;A_Detailed_Analysis'!F91</f>
        <v>107566.94</v>
      </c>
      <c r="I92" s="142">
        <f>'[1]4.1 OM&amp;A_Detailed_Analysis'!G91</f>
        <v>110793.84819999999</v>
      </c>
      <c r="J92" s="142">
        <f>'[1]4.1 OM&amp;A_Detailed_Analysis'!H91</f>
        <v>113319.003646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39465.199999999997</v>
      </c>
      <c r="H93" s="142">
        <f>'[1]4.1 OM&amp;A_Detailed_Analysis'!F92</f>
        <v>23782.58</v>
      </c>
      <c r="I93" s="142">
        <f>'[1]4.1 OM&amp;A_Detailed_Analysis'!G92</f>
        <v>57620</v>
      </c>
      <c r="J93" s="142">
        <f>'[1]4.1 OM&amp;A_Detailed_Analysis'!H92</f>
        <v>58549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0</v>
      </c>
      <c r="H94" s="142">
        <f>'[1]4.1 OM&amp;A_Detailed_Analysis'!F93</f>
        <v>0</v>
      </c>
      <c r="I94" s="142">
        <f>'[1]4.1 OM&amp;A_Detailed_Analysis'!G93</f>
        <v>0</v>
      </c>
      <c r="J94" s="142">
        <f>'[1]4.1 OM&amp;A_Detailed_Analysis'!H93</f>
        <v>0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22542.75</v>
      </c>
      <c r="H95" s="142">
        <f>'[1]4.1 OM&amp;A_Detailed_Analysis'!F94</f>
        <v>21907.16</v>
      </c>
      <c r="I95" s="142">
        <f>'[1]4.1 OM&amp;A_Detailed_Analysis'!G94</f>
        <v>22345</v>
      </c>
      <c r="J95" s="142">
        <f>'[1]4.1 OM&amp;A_Detailed_Analysis'!H94</f>
        <v>22142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f>'[1]4.1 OM&amp;A_Detailed_Analysis'!F95</f>
        <v>0</v>
      </c>
      <c r="I96" s="142">
        <f>'[1]4.1 OM&amp;A_Detailed_Analysis'!G95</f>
        <v>0</v>
      </c>
      <c r="J96" s="142">
        <f>'[1]4.1 OM&amp;A_Detailed_Analysis'!H95</f>
        <v>0</v>
      </c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32579.31</v>
      </c>
      <c r="H97" s="142">
        <f>'[1]4.1 OM&amp;A_Detailed_Analysis'!F96</f>
        <v>65549.3</v>
      </c>
      <c r="I97" s="142">
        <f>'[1]4.1 OM&amp;A_Detailed_Analysis'!G96</f>
        <v>65549</v>
      </c>
      <c r="J97" s="142">
        <f>'[1]4.1 OM&amp;A_Detailed_Analysis'!H96</f>
        <v>65011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3517.56</v>
      </c>
      <c r="H98" s="142">
        <f>'[1]4.1 OM&amp;A_Detailed_Analysis'!F98</f>
        <v>8523.36</v>
      </c>
      <c r="I98" s="142">
        <f>'[1]4.1 OM&amp;A_Detailed_Analysis'!G98</f>
        <v>10194</v>
      </c>
      <c r="J98" s="142">
        <f>'[1]4.1 OM&amp;A_Detailed_Analysis'!H98</f>
        <v>10398</v>
      </c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10055.07</v>
      </c>
      <c r="H99" s="142">
        <f>'[1]4.1 OM&amp;A_Detailed_Analysis'!F99</f>
        <v>9882.51</v>
      </c>
      <c r="I99" s="142">
        <f>'[1]4.1 OM&amp;A_Detailed_Analysis'!G99</f>
        <v>10080</v>
      </c>
      <c r="J99" s="142">
        <f>'[1]4.1 OM&amp;A_Detailed_Analysis'!H99</f>
        <v>10282</v>
      </c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f>'[1]4.1 OM&amp;A_Detailed_Analysis'!F100</f>
        <v>0</v>
      </c>
      <c r="I100" s="142">
        <f>'[1]4.1 OM&amp;A_Detailed_Analysis'!G100</f>
        <v>0</v>
      </c>
      <c r="J100" s="142">
        <f>'[1]4.1 OM&amp;A_Detailed_Analysis'!H100</f>
        <v>0</v>
      </c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f>'[1]4.1 OM&amp;A_Detailed_Analysis'!F101</f>
        <v>0</v>
      </c>
      <c r="I101" s="142">
        <f>'[1]4.1 OM&amp;A_Detailed_Analysis'!G101</f>
        <v>0</v>
      </c>
      <c r="J101" s="142">
        <f>'[1]4.1 OM&amp;A_Detailed_Analysis'!H101</f>
        <v>0</v>
      </c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f>'[1]4.1 OM&amp;A_Detailed_Analysis'!F102</f>
        <v>0</v>
      </c>
      <c r="I102" s="142">
        <f>'[1]4.1 OM&amp;A_Detailed_Analysis'!G102</f>
        <v>0</v>
      </c>
      <c r="J102" s="142">
        <f>'[1]4.1 OM&amp;A_Detailed_Analysis'!H102</f>
        <v>0</v>
      </c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40927.410000000003</v>
      </c>
      <c r="H103" s="142">
        <f>'[1]4.1 OM&amp;A_Detailed_Analysis'!F103</f>
        <v>53425.91</v>
      </c>
      <c r="I103" s="142">
        <f>'[1]4.1 OM&amp;A_Detailed_Analysis'!G103</f>
        <v>94067</v>
      </c>
      <c r="J103" s="142">
        <f>'[1]4.1 OM&amp;A_Detailed_Analysis'!H103</f>
        <v>90527.065774999995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17503.150000000001</v>
      </c>
      <c r="H104" s="142">
        <f>'[1]4.1 OM&amp;A_Detailed_Analysis'!F105</f>
        <v>16700</v>
      </c>
      <c r="I104" s="142">
        <f>'[1]4.1 OM&amp;A_Detailed_Analysis'!G105</f>
        <v>17034</v>
      </c>
      <c r="J104" s="142">
        <f>'[1]4.1 OM&amp;A_Detailed_Analysis'!H105</f>
        <v>16886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>
        <f>'[1]4.1 OM&amp;A_Detailed_Analysis'!F106</f>
        <v>0</v>
      </c>
      <c r="I105" s="142">
        <f>'[1]4.1 OM&amp;A_Detailed_Analysis'!G106</f>
        <v>0</v>
      </c>
      <c r="J105" s="142">
        <f>'[1]4.1 OM&amp;A_Detailed_Analysis'!H106</f>
        <v>0</v>
      </c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f>'[1]4.1 OM&amp;A_Detailed_Analysis'!F107</f>
        <v>0</v>
      </c>
      <c r="I106" s="142">
        <f>'[1]4.1 OM&amp;A_Detailed_Analysis'!G107</f>
        <v>0</v>
      </c>
      <c r="J106" s="142">
        <f>'[1]4.1 OM&amp;A_Detailed_Analysis'!H107</f>
        <v>0</v>
      </c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19348.43</v>
      </c>
      <c r="H107" s="142">
        <f>'[1]4.1 OM&amp;A_Detailed_Analysis'!F108</f>
        <v>22431.87</v>
      </c>
      <c r="I107" s="142">
        <f>'[1]4.1 OM&amp;A_Detailed_Analysis'!G108</f>
        <v>22881</v>
      </c>
      <c r="J107" s="142">
        <f>'[1]4.1 OM&amp;A_Detailed_Analysis'!H108</f>
        <v>22025</v>
      </c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5108.74</v>
      </c>
      <c r="H108" s="142">
        <f>'[1]4.1 OM&amp;A_Detailed_Analysis'!F109</f>
        <v>5112.38</v>
      </c>
      <c r="I108" s="142">
        <f>'[1]4.1 OM&amp;A_Detailed_Analysis'!G109</f>
        <v>5506</v>
      </c>
      <c r="J108" s="142">
        <f>'[1]4.1 OM&amp;A_Detailed_Analysis'!H109</f>
        <v>5616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292851.94</v>
      </c>
      <c r="H109" s="81">
        <f>SUM(H92:H108)</f>
        <v>334882.01</v>
      </c>
      <c r="I109" s="81">
        <f t="shared" ref="I109:M109" si="8">SUM(I92:I108)</f>
        <v>416069.84820000001</v>
      </c>
      <c r="J109" s="81">
        <f t="shared" si="8"/>
        <v>414755.06942099996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4194.4399999999996</v>
      </c>
      <c r="H110" s="142"/>
      <c r="I110" s="142"/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4194.4399999999996</v>
      </c>
      <c r="H112" s="81">
        <f>H110+H111</f>
        <v>0</v>
      </c>
      <c r="I112" s="81">
        <f t="shared" ref="I112:M112" si="9">I110+I111</f>
        <v>0</v>
      </c>
      <c r="J112" s="81">
        <f t="shared" si="9"/>
        <v>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908001.12999999989</v>
      </c>
      <c r="H115" s="81">
        <f>H114+H112+H109+H91+H86+H78+H64</f>
        <v>964375.96</v>
      </c>
      <c r="I115" s="81">
        <f t="shared" ref="I115:M115" si="11">I114+I112+I109+I91+I86+I78+I64</f>
        <v>1129750.7267</v>
      </c>
      <c r="J115" s="81">
        <f t="shared" si="11"/>
        <v>1115496.371826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2435.2800000000002</v>
      </c>
      <c r="H118" s="58">
        <f t="shared" ref="H118:L118" si="12">H47</f>
        <v>14448.62</v>
      </c>
      <c r="I118" s="58">
        <f t="shared" si="12"/>
        <v>50580</v>
      </c>
      <c r="J118" s="58">
        <f t="shared" si="12"/>
        <v>28999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17915.53</v>
      </c>
      <c r="H119" s="58">
        <f t="shared" ref="H119:L119" si="14">H48</f>
        <v>7567.43</v>
      </c>
      <c r="I119" s="58">
        <f t="shared" si="14"/>
        <v>7719</v>
      </c>
      <c r="J119" s="58">
        <f t="shared" si="14"/>
        <v>7855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20350.809999999998</v>
      </c>
      <c r="H121" s="110">
        <f>H47+H48+H67</f>
        <v>22016.050000000003</v>
      </c>
      <c r="I121" s="110">
        <f t="shared" ref="I121:L121" si="18">I47+I48+I67</f>
        <v>58299</v>
      </c>
      <c r="J121" s="110">
        <f t="shared" si="18"/>
        <v>36854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7201.24</v>
      </c>
      <c r="H122" s="176">
        <f>G122</f>
        <v>7201.24</v>
      </c>
      <c r="I122" s="176">
        <f>G122</f>
        <v>7201.24</v>
      </c>
      <c r="J122" s="176">
        <f>G122</f>
        <v>7201.24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I250" sqref="I25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5" width="13.42578125" style="114" hidden="1" customWidth="1"/>
    <col min="46" max="46" width="13.42578125" style="114" customWidth="1"/>
    <col min="47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7" t="s">
        <v>1</v>
      </c>
      <c r="C3" s="227"/>
      <c r="D3" s="101"/>
      <c r="E3" s="102" t="str">
        <f>'Model Inputs'!F5</f>
        <v>Hydro Hawkesbury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28"/>
      <c r="G4" s="229"/>
      <c r="H4" s="230" t="s">
        <v>2</v>
      </c>
      <c r="I4" s="231"/>
      <c r="J4" s="231"/>
      <c r="K4" s="231"/>
      <c r="L4" s="231"/>
      <c r="M4" s="231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2435.2800000000002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17915.53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2135.65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2553.5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14779.38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723.9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2116.17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2847.6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2119.94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7476.26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886.91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55990.12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6560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8772.17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36494.410000000003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53204.39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56039.18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342.72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2699.1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7065.48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8771.9699999999993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179949.42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34817.279999999999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233513.81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106676.27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7.85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375015.20999999996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0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0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101804.32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39465.199999999997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0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22542.75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32579.31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3517.56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10055.07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40927.410000000003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17503.150000000001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19348.43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5108.74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292851.94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4194.4399999999996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4194.4399999999996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908001.12999999989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2435.2800000000002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17915.53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20350.809999999998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7201.24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894851.55999999982</v>
      </c>
      <c r="H89" s="186">
        <f>'Model Inputs'!H31</f>
        <v>971577.2</v>
      </c>
      <c r="I89" s="187">
        <f>'Model Inputs'!I31</f>
        <v>1136951.9667</v>
      </c>
      <c r="J89" s="187">
        <f>'Model Inputs'!J31</f>
        <v>1122697.611826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612705.76</v>
      </c>
      <c r="H92" s="186">
        <f>'Model Inputs'!H9</f>
        <v>1488511.23</v>
      </c>
      <c r="I92" s="187">
        <f>'Model Inputs'!I9</f>
        <v>899943.08000000007</v>
      </c>
      <c r="J92" s="187">
        <f>'Model Inputs'!J9</f>
        <v>165830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5510</v>
      </c>
      <c r="H96" s="186">
        <f>'Model Inputs'!H13</f>
        <v>5514</v>
      </c>
      <c r="I96" s="187">
        <f>'Model Inputs'!I13</f>
        <v>5523</v>
      </c>
      <c r="J96" s="187">
        <f>'Model Inputs'!J13</f>
        <v>5533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138931642</v>
      </c>
      <c r="H97" s="186">
        <f>'Model Inputs'!H14</f>
        <v>141525131.426</v>
      </c>
      <c r="I97" s="187">
        <f>'Model Inputs'!I14</f>
        <v>157664096.16586328</v>
      </c>
      <c r="J97" s="187">
        <f>'Model Inputs'!J14</f>
        <v>154939571.96797752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33170</v>
      </c>
      <c r="H98" s="186">
        <f>'Model Inputs'!H15</f>
        <v>33170</v>
      </c>
      <c r="I98" s="187">
        <f>'Model Inputs'!I15</f>
        <v>27963.305722392073</v>
      </c>
      <c r="J98" s="187">
        <f>'Model Inputs'!J15</f>
        <v>28223.235304827333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68</v>
      </c>
      <c r="H99" s="186">
        <f>'Model Inputs'!H16</f>
        <v>68</v>
      </c>
      <c r="I99" s="187">
        <f>'Model Inputs'!I16</f>
        <v>68</v>
      </c>
      <c r="J99" s="187">
        <f>'Model Inputs'!J16</f>
        <v>68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6" t="s">
        <v>93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894851.55999999982</v>
      </c>
      <c r="H107" s="29">
        <f t="shared" ref="H107:K107" si="4">H89</f>
        <v>971577.2</v>
      </c>
      <c r="I107" s="29">
        <f t="shared" si="4"/>
        <v>1136951.9667</v>
      </c>
      <c r="J107" s="29">
        <f t="shared" si="4"/>
        <v>1122697.611826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5.5899999999999998E-2</v>
      </c>
      <c r="I110" s="202">
        <f>'Model Inputs'!I22</f>
        <v>5.5899999999999998E-2</v>
      </c>
      <c r="J110" s="202">
        <f>'Model Inputs'!J22</f>
        <v>5.5899999999999998E-2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166.41347905253781</v>
      </c>
      <c r="I112" s="205">
        <f>H112*EXP('Model Inputs'!I21)</f>
        <v>169.77525432791353</v>
      </c>
      <c r="J112" s="205">
        <f>I112*EXP('Model Inputs'!J21)</f>
        <v>173.20494196872065</v>
      </c>
      <c r="K112" s="205">
        <f>J112*EXP('Model Inputs'!K21)</f>
        <v>173.20494196872065</v>
      </c>
      <c r="L112" s="205">
        <f>K112*EXP('Model Inputs'!L21)</f>
        <v>173.20494196872065</v>
      </c>
      <c r="M112" s="206">
        <f>L112*EXP('Model Inputs'!M21)</f>
        <v>173.20494196872065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16.756690059081631</v>
      </c>
      <c r="I113" s="29">
        <f t="shared" si="7"/>
        <v>17.095197652688093</v>
      </c>
      <c r="J113" s="29">
        <f t="shared" si="7"/>
        <v>17.440543553294646</v>
      </c>
      <c r="K113" s="29">
        <f t="shared" si="7"/>
        <v>7.9501068363642782</v>
      </c>
      <c r="L113" s="29">
        <f t="shared" si="7"/>
        <v>7.9501068363642782</v>
      </c>
      <c r="M113" s="29">
        <f t="shared" si="7"/>
        <v>7.9501068363642782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612705.76</v>
      </c>
      <c r="H114" s="207">
        <f>H92</f>
        <v>1488511.23</v>
      </c>
      <c r="I114" s="208">
        <f t="shared" ref="I114:L114" si="8">I92</f>
        <v>899943.08000000007</v>
      </c>
      <c r="J114" s="208">
        <f t="shared" si="8"/>
        <v>165830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3756.2055727274892</v>
      </c>
      <c r="H116" s="8">
        <f t="shared" ref="H116:K116" si="12">(H114-H115)/H112</f>
        <v>8944.6554358139911</v>
      </c>
      <c r="I116" s="8">
        <f t="shared" si="12"/>
        <v>5300.7906456249457</v>
      </c>
      <c r="J116" s="8">
        <f t="shared" si="12"/>
        <v>957.42071857249607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1271.8309893687476</v>
      </c>
      <c r="H117" s="25">
        <f t="shared" ref="H117:M117" si="14">H111*G118</f>
        <v>1385.8637827449138</v>
      </c>
      <c r="I117" s="25">
        <f t="shared" si="14"/>
        <v>1732.8123196207846</v>
      </c>
      <c r="J117" s="25">
        <f t="shared" si="14"/>
        <v>1896.5825247843757</v>
      </c>
      <c r="K117" s="25">
        <f t="shared" si="14"/>
        <v>1853.4749978792504</v>
      </c>
      <c r="L117" s="25">
        <f t="shared" si="14"/>
        <v>1768.4004954765928</v>
      </c>
      <c r="M117" s="25">
        <f t="shared" si="14"/>
        <v>1687.2309127342171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30193.110735183305</v>
      </c>
      <c r="H118" s="25">
        <f t="shared" ref="H118:M118" si="15">G118+H116-H117</f>
        <v>37751.902388252383</v>
      </c>
      <c r="I118" s="25">
        <f t="shared" si="15"/>
        <v>41319.880714256549</v>
      </c>
      <c r="J118" s="25">
        <f t="shared" si="15"/>
        <v>40380.71890804467</v>
      </c>
      <c r="K118" s="25">
        <f t="shared" si="15"/>
        <v>38527.243910165416</v>
      </c>
      <c r="L118" s="25">
        <f t="shared" si="15"/>
        <v>36758.843414688825</v>
      </c>
      <c r="M118" s="25">
        <f t="shared" si="15"/>
        <v>35071.612501954609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541312.90887142566</v>
      </c>
      <c r="H119" s="25">
        <f t="shared" ref="H119:K119" si="16">H113*H118</f>
        <v>632596.92746064882</v>
      </c>
      <c r="I119" s="25">
        <f t="shared" si="16"/>
        <v>706371.5277957106</v>
      </c>
      <c r="J119" s="25">
        <f t="shared" si="16"/>
        <v>704261.68682910164</v>
      </c>
      <c r="K119" s="25">
        <f t="shared" si="16"/>
        <v>306295.70519648009</v>
      </c>
      <c r="L119" s="25">
        <f t="shared" ref="L119:M119" si="17">L113*L118</f>
        <v>292236.73232796165</v>
      </c>
      <c r="M119" s="25">
        <f t="shared" si="17"/>
        <v>278823.0663141082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1436164.4688714254</v>
      </c>
      <c r="H121" s="25">
        <f t="shared" ref="H121:K121" si="18">H107+H119</f>
        <v>1604174.1274606488</v>
      </c>
      <c r="I121" s="25">
        <f t="shared" si="18"/>
        <v>1843323.4944957106</v>
      </c>
      <c r="J121" s="25">
        <f t="shared" si="18"/>
        <v>1826959.2986551016</v>
      </c>
      <c r="K121" s="25">
        <f t="shared" si="18"/>
        <v>306295.70519648009</v>
      </c>
      <c r="L121" s="25">
        <f t="shared" ref="L121:M121" si="19">L107+L119</f>
        <v>292236.73232796165</v>
      </c>
      <c r="M121" s="25">
        <f t="shared" si="19"/>
        <v>278823.0663141082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G122" s="25">
        <f>G121/G142</f>
        <v>21120.065718697431</v>
      </c>
      <c r="H122" s="25">
        <f t="shared" ref="H122:J122" si="20">H121/H142</f>
        <v>23590.795992068364</v>
      </c>
      <c r="I122" s="25">
        <f t="shared" si="20"/>
        <v>27107.698448466334</v>
      </c>
      <c r="J122" s="25">
        <f t="shared" si="20"/>
        <v>26867.048509633845</v>
      </c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6" t="s">
        <v>108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5510</v>
      </c>
      <c r="H128" s="8">
        <f t="shared" ref="H128:K130" si="21">H96</f>
        <v>5514</v>
      </c>
      <c r="I128" s="8">
        <f t="shared" si="21"/>
        <v>5523</v>
      </c>
      <c r="J128" s="8">
        <f t="shared" si="21"/>
        <v>5533</v>
      </c>
      <c r="K128" s="8">
        <f t="shared" si="21"/>
        <v>0</v>
      </c>
      <c r="L128" s="8">
        <f t="shared" ref="L128:M128" si="22">L96</f>
        <v>0</v>
      </c>
      <c r="M128" s="8">
        <f t="shared" si="22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138931642</v>
      </c>
      <c r="H129" s="39">
        <f t="shared" si="21"/>
        <v>141525131.426</v>
      </c>
      <c r="I129" s="39">
        <f t="shared" si="21"/>
        <v>157664096.16586328</v>
      </c>
      <c r="J129" s="39">
        <f t="shared" si="21"/>
        <v>154939571.96797752</v>
      </c>
      <c r="K129" s="39">
        <f t="shared" si="21"/>
        <v>0</v>
      </c>
      <c r="L129" s="39">
        <f t="shared" ref="L129:M129" si="23">L97</f>
        <v>0</v>
      </c>
      <c r="M129" s="39">
        <f t="shared" si="2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33170</v>
      </c>
      <c r="H130" s="8">
        <f t="shared" si="21"/>
        <v>33170</v>
      </c>
      <c r="I130" s="8">
        <f t="shared" si="21"/>
        <v>27963.305722392073</v>
      </c>
      <c r="J130" s="8">
        <f t="shared" si="21"/>
        <v>28223.235304827333</v>
      </c>
      <c r="K130" s="8">
        <f t="shared" si="21"/>
        <v>0</v>
      </c>
      <c r="L130" s="8">
        <f t="shared" ref="L130:M130" si="24">L98</f>
        <v>0</v>
      </c>
      <c r="M130" s="8">
        <f t="shared" si="24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40003</v>
      </c>
      <c r="H131" s="8">
        <f t="shared" ref="H131:M131" si="25">MAX(G131,H130)</f>
        <v>40003</v>
      </c>
      <c r="I131" s="8">
        <f t="shared" si="25"/>
        <v>40003</v>
      </c>
      <c r="J131" s="8">
        <f t="shared" si="25"/>
        <v>40003</v>
      </c>
      <c r="K131" s="8">
        <f t="shared" si="25"/>
        <v>40003</v>
      </c>
      <c r="L131" s="8">
        <f t="shared" si="25"/>
        <v>40003</v>
      </c>
      <c r="M131" s="8">
        <f t="shared" si="25"/>
        <v>40003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117.55269940458292</v>
      </c>
      <c r="I134" s="214">
        <f>H134*EXP('Model Inputs'!I21)</f>
        <v>119.92742145631792</v>
      </c>
      <c r="J134" s="214">
        <f>I134*EXP('Model Inputs'!J21)</f>
        <v>122.35011607568904</v>
      </c>
      <c r="K134" s="214">
        <f>J134*EXP('Model Inputs'!K21)</f>
        <v>122.35011607568904</v>
      </c>
      <c r="L134" s="214">
        <f>K134*EXP('Model Inputs'!L21)</f>
        <v>122.35011607568904</v>
      </c>
      <c r="M134" s="215">
        <f>L134*EXP('Model Inputs'!M21)</f>
        <v>122.35011607568904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1039.7036322800923</v>
      </c>
      <c r="K135" s="217">
        <f>J135*EXP('Model Inputs'!K20)</f>
        <v>1039.7036322800923</v>
      </c>
      <c r="L135" s="217">
        <f>K135*EXP('Model Inputs'!L20)</f>
        <v>1039.7036322800923</v>
      </c>
      <c r="M135" s="218">
        <f>L135*EXP('Model Inputs'!M20)</f>
        <v>1039.7036322800923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2.3947529578612577E-2</v>
      </c>
      <c r="I136" s="40">
        <f t="shared" ref="I136:M136" si="26">LN(I134/H134)*0.3+LN(I135/H135)*0.7</f>
        <v>2.3947529578612577E-2</v>
      </c>
      <c r="J136" s="40">
        <f t="shared" si="26"/>
        <v>2.3947529578612577E-2</v>
      </c>
      <c r="K136" s="40">
        <f t="shared" si="26"/>
        <v>0</v>
      </c>
      <c r="L136" s="40">
        <f t="shared" si="26"/>
        <v>0</v>
      </c>
      <c r="M136" s="40">
        <f t="shared" si="26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109.50985977612379</v>
      </c>
      <c r="H137" s="29">
        <f t="shared" ref="H137:M137" si="27">G137*EXP(H136)</f>
        <v>112.16400363530339</v>
      </c>
      <c r="I137" s="29">
        <f t="shared" si="27"/>
        <v>114.88247484947752</v>
      </c>
      <c r="J137" s="29">
        <f t="shared" si="27"/>
        <v>117.66683249336864</v>
      </c>
      <c r="K137" s="29">
        <f t="shared" si="27"/>
        <v>117.66683249336864</v>
      </c>
      <c r="L137" s="29">
        <f t="shared" si="27"/>
        <v>117.66683249336864</v>
      </c>
      <c r="M137" s="29">
        <f t="shared" si="27"/>
        <v>117.66683249336864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8">H113</f>
        <v>16.756690059081631</v>
      </c>
      <c r="I139" s="29">
        <f t="shared" si="28"/>
        <v>17.095197652688093</v>
      </c>
      <c r="J139" s="29">
        <f t="shared" si="28"/>
        <v>17.440543553294646</v>
      </c>
      <c r="K139" s="29">
        <f t="shared" si="28"/>
        <v>7.9501068363642782</v>
      </c>
      <c r="L139" s="29">
        <f t="shared" ref="L139:M139" si="29">L113</f>
        <v>7.9501068363642782</v>
      </c>
      <c r="M139" s="29">
        <f t="shared" si="29"/>
        <v>7.9501068363642782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68</v>
      </c>
      <c r="H142" s="42">
        <f>'Model Inputs'!H16</f>
        <v>68</v>
      </c>
      <c r="I142" s="42">
        <f>'Model Inputs'!I16</f>
        <v>68</v>
      </c>
      <c r="J142" s="42">
        <f>'Model Inputs'!J16</f>
        <v>68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65.964285714285708</v>
      </c>
      <c r="H143" s="41">
        <f>(G143*14+H142)/15</f>
        <v>66.099999999999994</v>
      </c>
      <c r="I143" s="41">
        <f>(H143*15+I142)/16</f>
        <v>66.21875</v>
      </c>
      <c r="J143" s="41">
        <f>(I143*16+J142)/17</f>
        <v>66.32352941176471</v>
      </c>
      <c r="K143" s="41">
        <f>(J143*17+K142)/18</f>
        <v>62.638888888888886</v>
      </c>
      <c r="L143" s="41">
        <f>(K143*17+L142)/18</f>
        <v>59.158950617283949</v>
      </c>
      <c r="M143" s="41">
        <f>(L143*17+M142)/18</f>
        <v>55.872342249657066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5248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4.9923780487804881E-2</v>
      </c>
      <c r="H145" s="30">
        <f>'Model Inputs'!H17</f>
        <v>1.3599999999999999E-2</v>
      </c>
      <c r="I145" s="30">
        <f>'Model Inputs'!I17</f>
        <v>1.2800000000000001E-2</v>
      </c>
      <c r="J145" s="30">
        <f>'Model Inputs'!J17</f>
        <v>6.0000000000000001E-3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30">HLOOKUP($E$3,$P$3:$CI$269,O151,FALSE)</f>
        <v>1</v>
      </c>
      <c r="H151" s="32">
        <f t="shared" ref="H151:M151" si="31">G151</f>
        <v>1</v>
      </c>
      <c r="I151" s="32">
        <f t="shared" si="31"/>
        <v>1</v>
      </c>
      <c r="J151" s="32">
        <f t="shared" si="31"/>
        <v>1</v>
      </c>
      <c r="K151" s="32">
        <f t="shared" si="31"/>
        <v>1</v>
      </c>
      <c r="L151" s="32">
        <f t="shared" si="31"/>
        <v>1</v>
      </c>
      <c r="M151" s="32">
        <f t="shared" si="31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30"/>
        <v>0.16371455852162778</v>
      </c>
      <c r="H152" s="44">
        <f t="shared" ref="H152:K152" si="32">H113/H137</f>
        <v>0.14939454295484419</v>
      </c>
      <c r="I152" s="44">
        <f t="shared" si="32"/>
        <v>0.14880596605432408</v>
      </c>
      <c r="J152" s="44">
        <f t="shared" si="32"/>
        <v>0.1482197079986626</v>
      </c>
      <c r="K152" s="44">
        <f t="shared" si="32"/>
        <v>6.7564552116352095E-2</v>
      </c>
      <c r="L152" s="44">
        <f t="shared" ref="L152:M152" si="33">L113/L137</f>
        <v>6.7564552116352095E-2</v>
      </c>
      <c r="M152" s="44">
        <f t="shared" si="33"/>
        <v>6.7564552116352095E-2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30"/>
        <v>5510</v>
      </c>
      <c r="H153" s="25">
        <f t="shared" ref="H153:K153" si="34">H96</f>
        <v>5514</v>
      </c>
      <c r="I153" s="25">
        <f t="shared" si="34"/>
        <v>5523</v>
      </c>
      <c r="J153" s="25">
        <f t="shared" si="34"/>
        <v>5533</v>
      </c>
      <c r="K153" s="25">
        <f t="shared" si="34"/>
        <v>0</v>
      </c>
      <c r="L153" s="25">
        <f t="shared" ref="L153:M153" si="35">L96</f>
        <v>0</v>
      </c>
      <c r="M153" s="25">
        <f t="shared" si="35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30"/>
        <v>40003</v>
      </c>
      <c r="H154" s="25">
        <f t="shared" ref="H154:K154" si="36">H131</f>
        <v>40003</v>
      </c>
      <c r="I154" s="25">
        <f t="shared" si="36"/>
        <v>40003</v>
      </c>
      <c r="J154" s="25">
        <f t="shared" si="36"/>
        <v>40003</v>
      </c>
      <c r="K154" s="25">
        <f t="shared" si="36"/>
        <v>40003</v>
      </c>
      <c r="L154" s="25">
        <f t="shared" ref="L154:M154" si="37">L131</f>
        <v>40003</v>
      </c>
      <c r="M154" s="25">
        <f t="shared" si="37"/>
        <v>40003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30"/>
        <v>138931642</v>
      </c>
      <c r="H155" s="39">
        <f t="shared" ref="H155:K155" si="38">H97</f>
        <v>141525131.426</v>
      </c>
      <c r="I155" s="39">
        <f t="shared" si="38"/>
        <v>157664096.16586328</v>
      </c>
      <c r="J155" s="39">
        <f t="shared" si="38"/>
        <v>154939571.96797752</v>
      </c>
      <c r="K155" s="39">
        <f t="shared" si="38"/>
        <v>0</v>
      </c>
      <c r="L155" s="39">
        <f t="shared" ref="L155:M155" si="39">L97</f>
        <v>0</v>
      </c>
      <c r="M155" s="39">
        <f t="shared" si="39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30"/>
        <v>65.964285714285708</v>
      </c>
      <c r="H156" s="45">
        <f t="shared" ref="H156:K156" si="40">H143</f>
        <v>66.099999999999994</v>
      </c>
      <c r="I156" s="45">
        <f t="shared" si="40"/>
        <v>66.21875</v>
      </c>
      <c r="J156" s="45">
        <f t="shared" si="40"/>
        <v>66.32352941176471</v>
      </c>
      <c r="K156" s="45">
        <f t="shared" si="40"/>
        <v>62.638888888888886</v>
      </c>
      <c r="L156" s="45">
        <f t="shared" ref="L156:M156" si="41">L143</f>
        <v>59.158950617283949</v>
      </c>
      <c r="M156" s="45">
        <f t="shared" si="41"/>
        <v>55.872342249657066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30"/>
        <v>4.9923780487804881E-2</v>
      </c>
      <c r="H157" s="31">
        <f t="shared" ref="H157:L157" si="42">H145</f>
        <v>1.3599999999999999E-2</v>
      </c>
      <c r="I157" s="31">
        <f t="shared" si="42"/>
        <v>1.2800000000000001E-2</v>
      </c>
      <c r="J157" s="31">
        <f t="shared" si="42"/>
        <v>6.0000000000000001E-3</v>
      </c>
      <c r="K157" s="31">
        <f t="shared" si="42"/>
        <v>0</v>
      </c>
      <c r="L157" s="31">
        <f t="shared" si="42"/>
        <v>0</v>
      </c>
      <c r="M157" s="31">
        <f t="shared" ref="M157" si="43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30"/>
        <v>9</v>
      </c>
      <c r="H158" s="3">
        <f t="shared" ref="H158:K158" si="44">H5-2006</f>
        <v>10</v>
      </c>
      <c r="I158" s="3">
        <f t="shared" si="44"/>
        <v>11</v>
      </c>
      <c r="J158" s="3">
        <f t="shared" si="44"/>
        <v>12</v>
      </c>
      <c r="K158" s="3">
        <f t="shared" si="44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5">HLOOKUP($E$3,$P$3:$CI$269,O162,FALSE)</f>
        <v>12.806567709189416</v>
      </c>
      <c r="H162" s="49">
        <f t="shared" ref="H162:M179" si="46">G162</f>
        <v>12.806567709189416</v>
      </c>
      <c r="I162" s="49">
        <f t="shared" si="46"/>
        <v>12.806567709189416</v>
      </c>
      <c r="J162" s="49">
        <f t="shared" si="46"/>
        <v>12.806567709189416</v>
      </c>
      <c r="K162" s="49">
        <f t="shared" si="46"/>
        <v>12.806567709189416</v>
      </c>
      <c r="L162" s="49">
        <f t="shared" si="46"/>
        <v>12.806567709189416</v>
      </c>
      <c r="M162" s="49">
        <f t="shared" si="46"/>
        <v>12.806567709189416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5"/>
        <v>0.630250030542991</v>
      </c>
      <c r="H163" s="49">
        <f t="shared" si="46"/>
        <v>0.630250030542991</v>
      </c>
      <c r="I163" s="49">
        <f t="shared" si="46"/>
        <v>0.630250030542991</v>
      </c>
      <c r="J163" s="49">
        <f t="shared" si="46"/>
        <v>0.630250030542991</v>
      </c>
      <c r="K163" s="49">
        <f t="shared" si="46"/>
        <v>0.630250030542991</v>
      </c>
      <c r="L163" s="49">
        <f t="shared" si="46"/>
        <v>0.630250030542991</v>
      </c>
      <c r="M163" s="49">
        <f t="shared" si="46"/>
        <v>0.630250030542991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5"/>
        <v>0.44425993474703762</v>
      </c>
      <c r="H164" s="49">
        <f t="shared" si="46"/>
        <v>0.44425993474703762</v>
      </c>
      <c r="I164" s="49">
        <f t="shared" si="46"/>
        <v>0.44425993474703762</v>
      </c>
      <c r="J164" s="49">
        <f t="shared" si="46"/>
        <v>0.44425993474703762</v>
      </c>
      <c r="K164" s="49">
        <f t="shared" si="46"/>
        <v>0.44425993474703762</v>
      </c>
      <c r="L164" s="49">
        <f t="shared" si="46"/>
        <v>0.44425993474703762</v>
      </c>
      <c r="M164" s="49">
        <f t="shared" si="46"/>
        <v>0.44425993474703762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5"/>
        <v>0.16039174713949583</v>
      </c>
      <c r="H165" s="49">
        <f t="shared" si="46"/>
        <v>0.16039174713949583</v>
      </c>
      <c r="I165" s="49">
        <f t="shared" si="46"/>
        <v>0.16039174713949583</v>
      </c>
      <c r="J165" s="49">
        <f t="shared" si="46"/>
        <v>0.16039174713949583</v>
      </c>
      <c r="K165" s="49">
        <f t="shared" si="46"/>
        <v>0.16039174713949583</v>
      </c>
      <c r="L165" s="49">
        <f t="shared" si="46"/>
        <v>0.16039174713949583</v>
      </c>
      <c r="M165" s="49">
        <f t="shared" si="46"/>
        <v>0.16039174713949583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5"/>
        <v>0.11689601504617993</v>
      </c>
      <c r="H166" s="49">
        <f t="shared" si="46"/>
        <v>0.11689601504617993</v>
      </c>
      <c r="I166" s="49">
        <f t="shared" si="46"/>
        <v>0.11689601504617993</v>
      </c>
      <c r="J166" s="49">
        <f t="shared" si="46"/>
        <v>0.11689601504617993</v>
      </c>
      <c r="K166" s="49">
        <f t="shared" si="46"/>
        <v>0.11689601504617993</v>
      </c>
      <c r="L166" s="49">
        <f t="shared" si="46"/>
        <v>0.11689601504617993</v>
      </c>
      <c r="M166" s="49">
        <f t="shared" si="46"/>
        <v>0.11689601504617993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5"/>
        <v>0.13567249409377924</v>
      </c>
      <c r="H167" s="49">
        <f t="shared" si="46"/>
        <v>0.13567249409377924</v>
      </c>
      <c r="I167" s="49">
        <f t="shared" si="46"/>
        <v>0.13567249409377924</v>
      </c>
      <c r="J167" s="49">
        <f t="shared" si="46"/>
        <v>0.13567249409377924</v>
      </c>
      <c r="K167" s="49">
        <f t="shared" si="46"/>
        <v>0.13567249409377924</v>
      </c>
      <c r="L167" s="49">
        <f t="shared" si="46"/>
        <v>0.13567249409377924</v>
      </c>
      <c r="M167" s="49">
        <f t="shared" si="46"/>
        <v>0.13567249409377924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5"/>
        <v>-0.37337600290101314</v>
      </c>
      <c r="H168" s="49">
        <f t="shared" si="46"/>
        <v>-0.37337600290101314</v>
      </c>
      <c r="I168" s="49">
        <f t="shared" si="46"/>
        <v>-0.37337600290101314</v>
      </c>
      <c r="J168" s="49">
        <f t="shared" si="46"/>
        <v>-0.37337600290101314</v>
      </c>
      <c r="K168" s="49">
        <f t="shared" si="46"/>
        <v>-0.37337600290101314</v>
      </c>
      <c r="L168" s="49">
        <f t="shared" si="46"/>
        <v>-0.37337600290101314</v>
      </c>
      <c r="M168" s="49">
        <f t="shared" si="46"/>
        <v>-0.37337600290101314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5"/>
        <v>0.10588288610709412</v>
      </c>
      <c r="H169" s="49">
        <f t="shared" si="46"/>
        <v>0.10588288610709412</v>
      </c>
      <c r="I169" s="49">
        <f t="shared" si="46"/>
        <v>0.10588288610709412</v>
      </c>
      <c r="J169" s="49">
        <f t="shared" si="46"/>
        <v>0.10588288610709412</v>
      </c>
      <c r="K169" s="49">
        <f t="shared" si="46"/>
        <v>0.10588288610709412</v>
      </c>
      <c r="L169" s="49">
        <f t="shared" si="46"/>
        <v>0.10588288610709412</v>
      </c>
      <c r="M169" s="49">
        <f t="shared" si="46"/>
        <v>0.10588288610709412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5"/>
        <v>0.20678713176491742</v>
      </c>
      <c r="H170" s="49">
        <f t="shared" si="46"/>
        <v>0.20678713176491742</v>
      </c>
      <c r="I170" s="49">
        <f t="shared" si="46"/>
        <v>0.20678713176491742</v>
      </c>
      <c r="J170" s="49">
        <f t="shared" si="46"/>
        <v>0.20678713176491742</v>
      </c>
      <c r="K170" s="49">
        <f t="shared" si="46"/>
        <v>0.20678713176491742</v>
      </c>
      <c r="L170" s="49">
        <f t="shared" si="46"/>
        <v>0.20678713176491742</v>
      </c>
      <c r="M170" s="49">
        <f t="shared" si="46"/>
        <v>0.20678713176491742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5"/>
        <v>4.8389909273165221E-2</v>
      </c>
      <c r="H171" s="49">
        <f t="shared" si="46"/>
        <v>4.8389909273165221E-2</v>
      </c>
      <c r="I171" s="49">
        <f t="shared" si="46"/>
        <v>4.8389909273165221E-2</v>
      </c>
      <c r="J171" s="49">
        <f t="shared" si="46"/>
        <v>4.8389909273165221E-2</v>
      </c>
      <c r="K171" s="49">
        <f t="shared" si="46"/>
        <v>4.8389909273165221E-2</v>
      </c>
      <c r="L171" s="49">
        <f t="shared" si="46"/>
        <v>4.8389909273165221E-2</v>
      </c>
      <c r="M171" s="49">
        <f t="shared" si="46"/>
        <v>4.8389909273165221E-2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5"/>
        <v>1.306357983546147E-2</v>
      </c>
      <c r="H172" s="49">
        <f t="shared" si="46"/>
        <v>1.306357983546147E-2</v>
      </c>
      <c r="I172" s="49">
        <f t="shared" si="46"/>
        <v>1.306357983546147E-2</v>
      </c>
      <c r="J172" s="49">
        <f t="shared" si="46"/>
        <v>1.306357983546147E-2</v>
      </c>
      <c r="K172" s="49">
        <f t="shared" si="46"/>
        <v>1.306357983546147E-2</v>
      </c>
      <c r="L172" s="49">
        <f t="shared" si="46"/>
        <v>1.306357983546147E-2</v>
      </c>
      <c r="M172" s="49">
        <f t="shared" si="46"/>
        <v>1.306357983546147E-2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5"/>
        <v>1.2109405594558365E-3</v>
      </c>
      <c r="H173" s="49">
        <f t="shared" si="46"/>
        <v>1.2109405594558365E-3</v>
      </c>
      <c r="I173" s="49">
        <f t="shared" si="46"/>
        <v>1.2109405594558365E-3</v>
      </c>
      <c r="J173" s="49">
        <f t="shared" si="46"/>
        <v>1.2109405594558365E-3</v>
      </c>
      <c r="K173" s="49">
        <f t="shared" si="46"/>
        <v>1.2109405594558365E-3</v>
      </c>
      <c r="L173" s="49">
        <f t="shared" si="46"/>
        <v>1.2109405594558365E-3</v>
      </c>
      <c r="M173" s="49">
        <f t="shared" si="46"/>
        <v>1.2109405594558365E-3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5"/>
        <v>0.2065999902162769</v>
      </c>
      <c r="H174" s="49">
        <f t="shared" si="46"/>
        <v>0.2065999902162769</v>
      </c>
      <c r="I174" s="49">
        <f t="shared" si="46"/>
        <v>0.2065999902162769</v>
      </c>
      <c r="J174" s="49">
        <f t="shared" si="46"/>
        <v>0.2065999902162769</v>
      </c>
      <c r="K174" s="49">
        <f t="shared" si="46"/>
        <v>0.2065999902162769</v>
      </c>
      <c r="L174" s="49">
        <f t="shared" si="46"/>
        <v>0.2065999902162769</v>
      </c>
      <c r="M174" s="49">
        <f t="shared" si="46"/>
        <v>0.2065999902162769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5"/>
        <v>2.250803236897532E-2</v>
      </c>
      <c r="H175" s="49">
        <f t="shared" si="46"/>
        <v>2.250803236897532E-2</v>
      </c>
      <c r="I175" s="49">
        <f t="shared" si="46"/>
        <v>2.250803236897532E-2</v>
      </c>
      <c r="J175" s="49">
        <f t="shared" si="46"/>
        <v>2.250803236897532E-2</v>
      </c>
      <c r="K175" s="49">
        <f t="shared" si="46"/>
        <v>2.250803236897532E-2</v>
      </c>
      <c r="L175" s="49">
        <f t="shared" si="46"/>
        <v>2.250803236897532E-2</v>
      </c>
      <c r="M175" s="49">
        <f t="shared" si="46"/>
        <v>2.250803236897532E-2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5"/>
        <v>-0.19950805269641952</v>
      </c>
      <c r="H176" s="49">
        <f t="shared" si="46"/>
        <v>-0.19950805269641952</v>
      </c>
      <c r="I176" s="49">
        <f t="shared" si="46"/>
        <v>-0.19950805269641952</v>
      </c>
      <c r="J176" s="49">
        <f t="shared" si="46"/>
        <v>-0.19950805269641952</v>
      </c>
      <c r="K176" s="49">
        <f t="shared" si="46"/>
        <v>-0.19950805269641952</v>
      </c>
      <c r="L176" s="49">
        <f t="shared" si="46"/>
        <v>-0.19950805269641952</v>
      </c>
      <c r="M176" s="49">
        <f t="shared" si="46"/>
        <v>-0.19950805269641952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5"/>
        <v>0.27114185557669329</v>
      </c>
      <c r="H177" s="49">
        <f t="shared" si="46"/>
        <v>0.27114185557669329</v>
      </c>
      <c r="I177" s="49">
        <f t="shared" si="46"/>
        <v>0.27114185557669329</v>
      </c>
      <c r="J177" s="49">
        <f t="shared" si="46"/>
        <v>0.27114185557669329</v>
      </c>
      <c r="K177" s="49">
        <f t="shared" si="46"/>
        <v>0.27114185557669329</v>
      </c>
      <c r="L177" s="49">
        <f t="shared" si="46"/>
        <v>0.27114185557669329</v>
      </c>
      <c r="M177" s="49">
        <f t="shared" si="46"/>
        <v>0.27114185557669329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5"/>
        <v>1.6247560170027778E-2</v>
      </c>
      <c r="H178" s="49">
        <f t="shared" si="46"/>
        <v>1.6247560170027778E-2</v>
      </c>
      <c r="I178" s="49">
        <f t="shared" si="46"/>
        <v>1.6247560170027778E-2</v>
      </c>
      <c r="J178" s="49">
        <f t="shared" si="46"/>
        <v>1.6247560170027778E-2</v>
      </c>
      <c r="K178" s="49">
        <f t="shared" si="46"/>
        <v>1.6247560170027778E-2</v>
      </c>
      <c r="L178" s="49">
        <f t="shared" si="46"/>
        <v>1.6247560170027778E-2</v>
      </c>
      <c r="M178" s="49">
        <f t="shared" si="46"/>
        <v>1.6247560170027778E-2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5"/>
        <v>1.7381500251264996E-2</v>
      </c>
      <c r="H179" s="49">
        <f t="shared" si="46"/>
        <v>1.7381500251264996E-2</v>
      </c>
      <c r="I179" s="49">
        <f t="shared" si="46"/>
        <v>1.7381500251264996E-2</v>
      </c>
      <c r="J179" s="49">
        <f t="shared" si="46"/>
        <v>1.7381500251264996E-2</v>
      </c>
      <c r="K179" s="49">
        <f t="shared" si="46"/>
        <v>1.7381500251264996E-2</v>
      </c>
      <c r="L179" s="49">
        <f t="shared" si="46"/>
        <v>1.7381500251264996E-2</v>
      </c>
      <c r="M179" s="49">
        <f t="shared" si="46"/>
        <v>1.7381500251264996E-2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7">HLOOKUP($E$3,$P$3:$CI$269,O183,FALSE)</f>
        <v>1</v>
      </c>
      <c r="H183" s="49">
        <f t="shared" ref="H183:M199" si="48">G183</f>
        <v>1</v>
      </c>
      <c r="I183" s="49">
        <f t="shared" si="48"/>
        <v>1</v>
      </c>
      <c r="J183" s="49">
        <f t="shared" si="48"/>
        <v>1</v>
      </c>
      <c r="K183" s="49">
        <f t="shared" si="48"/>
        <v>1</v>
      </c>
      <c r="L183" s="49">
        <f t="shared" si="48"/>
        <v>1</v>
      </c>
      <c r="M183" s="49">
        <f t="shared" si="48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7"/>
        <v>0.16439999999999999</v>
      </c>
      <c r="H184" s="49">
        <f t="shared" si="48"/>
        <v>0.16439999999999999</v>
      </c>
      <c r="I184" s="49">
        <f t="shared" si="48"/>
        <v>0.16439999999999999</v>
      </c>
      <c r="J184" s="49">
        <f t="shared" si="48"/>
        <v>0.16439999999999999</v>
      </c>
      <c r="K184" s="49">
        <f t="shared" si="48"/>
        <v>0.16439999999999999</v>
      </c>
      <c r="L184" s="49">
        <f t="shared" si="48"/>
        <v>0.16439999999999999</v>
      </c>
      <c r="M184" s="49">
        <f t="shared" si="48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7"/>
        <v>63422.311800000003</v>
      </c>
      <c r="H185" s="49">
        <f t="shared" si="48"/>
        <v>63422.311800000003</v>
      </c>
      <c r="I185" s="49">
        <f t="shared" si="48"/>
        <v>63422.311800000003</v>
      </c>
      <c r="J185" s="49">
        <f t="shared" si="48"/>
        <v>63422.311800000003</v>
      </c>
      <c r="K185" s="49">
        <f t="shared" si="48"/>
        <v>63422.311800000003</v>
      </c>
      <c r="L185" s="49">
        <f t="shared" si="48"/>
        <v>63422.311800000003</v>
      </c>
      <c r="M185" s="49">
        <f t="shared" si="48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7"/>
        <v>345129.01459999999</v>
      </c>
      <c r="H186" s="49">
        <f t="shared" si="48"/>
        <v>345129.01459999999</v>
      </c>
      <c r="I186" s="49">
        <f t="shared" si="48"/>
        <v>345129.01459999999</v>
      </c>
      <c r="J186" s="49">
        <f t="shared" si="48"/>
        <v>345129.01459999999</v>
      </c>
      <c r="K186" s="49">
        <f t="shared" si="48"/>
        <v>345129.01459999999</v>
      </c>
      <c r="L186" s="49">
        <f t="shared" si="48"/>
        <v>345129.01459999999</v>
      </c>
      <c r="M186" s="49">
        <f t="shared" si="48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7"/>
        <v>1630327994.0632999</v>
      </c>
      <c r="H187" s="52">
        <f t="shared" si="48"/>
        <v>1630327994.0632999</v>
      </c>
      <c r="I187" s="52">
        <f t="shared" si="48"/>
        <v>1630327994.0632999</v>
      </c>
      <c r="J187" s="52">
        <f t="shared" si="48"/>
        <v>1630327994.0632999</v>
      </c>
      <c r="K187" s="52">
        <f t="shared" si="48"/>
        <v>1630327994.0632999</v>
      </c>
      <c r="L187" s="52">
        <f t="shared" si="48"/>
        <v>1630327994.0632999</v>
      </c>
      <c r="M187" s="52">
        <f t="shared" si="48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7"/>
        <v>1</v>
      </c>
      <c r="H188" s="49">
        <f t="shared" si="48"/>
        <v>1</v>
      </c>
      <c r="I188" s="49">
        <f t="shared" si="48"/>
        <v>1</v>
      </c>
      <c r="J188" s="49">
        <f t="shared" si="48"/>
        <v>1</v>
      </c>
      <c r="K188" s="49">
        <f t="shared" si="48"/>
        <v>1</v>
      </c>
      <c r="L188" s="49">
        <f t="shared" si="48"/>
        <v>1</v>
      </c>
      <c r="M188" s="49">
        <f t="shared" si="48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7"/>
        <v>1</v>
      </c>
      <c r="H189" s="49">
        <f t="shared" si="48"/>
        <v>1</v>
      </c>
      <c r="I189" s="49">
        <f t="shared" si="48"/>
        <v>1</v>
      </c>
      <c r="J189" s="49">
        <f t="shared" si="48"/>
        <v>1</v>
      </c>
      <c r="K189" s="49">
        <f t="shared" si="48"/>
        <v>1</v>
      </c>
      <c r="L189" s="49">
        <f t="shared" si="48"/>
        <v>1</v>
      </c>
      <c r="M189" s="49">
        <f t="shared" si="48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7"/>
        <v>1</v>
      </c>
      <c r="H190" s="49">
        <f t="shared" si="48"/>
        <v>1</v>
      </c>
      <c r="I190" s="49">
        <f t="shared" si="48"/>
        <v>1</v>
      </c>
      <c r="J190" s="49">
        <f t="shared" si="48"/>
        <v>1</v>
      </c>
      <c r="K190" s="49">
        <f t="shared" si="48"/>
        <v>1</v>
      </c>
      <c r="L190" s="49">
        <f t="shared" si="48"/>
        <v>1</v>
      </c>
      <c r="M190" s="49">
        <f t="shared" si="48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7"/>
        <v>1</v>
      </c>
      <c r="H191" s="49">
        <f t="shared" si="48"/>
        <v>1</v>
      </c>
      <c r="I191" s="49">
        <f t="shared" si="48"/>
        <v>1</v>
      </c>
      <c r="J191" s="49">
        <f t="shared" si="48"/>
        <v>1</v>
      </c>
      <c r="K191" s="49">
        <f t="shared" si="48"/>
        <v>1</v>
      </c>
      <c r="L191" s="49">
        <f t="shared" si="48"/>
        <v>1</v>
      </c>
      <c r="M191" s="49">
        <f t="shared" si="48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7"/>
        <v>1</v>
      </c>
      <c r="H192" s="49">
        <f t="shared" si="48"/>
        <v>1</v>
      </c>
      <c r="I192" s="49">
        <f t="shared" si="48"/>
        <v>1</v>
      </c>
      <c r="J192" s="49">
        <f t="shared" si="48"/>
        <v>1</v>
      </c>
      <c r="K192" s="49">
        <f t="shared" si="48"/>
        <v>1</v>
      </c>
      <c r="L192" s="49">
        <f t="shared" si="48"/>
        <v>1</v>
      </c>
      <c r="M192" s="49">
        <f t="shared" si="48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7"/>
        <v>1</v>
      </c>
      <c r="H193" s="49">
        <f t="shared" si="48"/>
        <v>1</v>
      </c>
      <c r="I193" s="49">
        <f t="shared" si="48"/>
        <v>1</v>
      </c>
      <c r="J193" s="49">
        <f t="shared" si="48"/>
        <v>1</v>
      </c>
      <c r="K193" s="49">
        <f t="shared" si="48"/>
        <v>1</v>
      </c>
      <c r="L193" s="49">
        <f t="shared" si="48"/>
        <v>1</v>
      </c>
      <c r="M193" s="49">
        <f t="shared" si="48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7"/>
        <v>1</v>
      </c>
      <c r="H194" s="49">
        <f t="shared" si="48"/>
        <v>1</v>
      </c>
      <c r="I194" s="49">
        <f t="shared" si="48"/>
        <v>1</v>
      </c>
      <c r="J194" s="49">
        <f t="shared" si="48"/>
        <v>1</v>
      </c>
      <c r="K194" s="49">
        <f t="shared" si="48"/>
        <v>1</v>
      </c>
      <c r="L194" s="49">
        <f t="shared" si="48"/>
        <v>1</v>
      </c>
      <c r="M194" s="49">
        <f t="shared" si="48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7"/>
        <v>1</v>
      </c>
      <c r="H195" s="49">
        <f t="shared" si="48"/>
        <v>1</v>
      </c>
      <c r="I195" s="49">
        <f t="shared" si="48"/>
        <v>1</v>
      </c>
      <c r="J195" s="49">
        <f t="shared" si="48"/>
        <v>1</v>
      </c>
      <c r="K195" s="49">
        <f t="shared" si="48"/>
        <v>1</v>
      </c>
      <c r="L195" s="49">
        <f t="shared" si="48"/>
        <v>1</v>
      </c>
      <c r="M195" s="49">
        <f t="shared" si="48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7"/>
        <v>1</v>
      </c>
      <c r="H196" s="49">
        <f t="shared" si="48"/>
        <v>1</v>
      </c>
      <c r="I196" s="49">
        <f t="shared" si="48"/>
        <v>1</v>
      </c>
      <c r="J196" s="49">
        <f t="shared" si="48"/>
        <v>1</v>
      </c>
      <c r="K196" s="49">
        <f t="shared" si="48"/>
        <v>1</v>
      </c>
      <c r="L196" s="49">
        <f t="shared" si="48"/>
        <v>1</v>
      </c>
      <c r="M196" s="49">
        <f t="shared" si="48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7"/>
        <v>1</v>
      </c>
      <c r="H197" s="49">
        <f t="shared" si="48"/>
        <v>1</v>
      </c>
      <c r="I197" s="49">
        <f t="shared" si="48"/>
        <v>1</v>
      </c>
      <c r="J197" s="49">
        <f t="shared" si="48"/>
        <v>1</v>
      </c>
      <c r="K197" s="49">
        <f t="shared" si="48"/>
        <v>1</v>
      </c>
      <c r="L197" s="49">
        <f t="shared" si="48"/>
        <v>1</v>
      </c>
      <c r="M197" s="49">
        <f t="shared" si="48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7"/>
        <v>2722.7979999999998</v>
      </c>
      <c r="H198" s="52">
        <f t="shared" si="48"/>
        <v>2722.7979999999998</v>
      </c>
      <c r="I198" s="52">
        <f t="shared" si="48"/>
        <v>2722.7979999999998</v>
      </c>
      <c r="J198" s="52">
        <f t="shared" si="48"/>
        <v>2722.7979999999998</v>
      </c>
      <c r="K198" s="52">
        <f t="shared" si="48"/>
        <v>2722.7979999999998</v>
      </c>
      <c r="L198" s="52">
        <f t="shared" si="48"/>
        <v>2722.7979999999998</v>
      </c>
      <c r="M198" s="52">
        <f t="shared" si="48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7"/>
        <v>0.12859999999999999</v>
      </c>
      <c r="H199" s="49">
        <f t="shared" si="48"/>
        <v>0.12859999999999999</v>
      </c>
      <c r="I199" s="49">
        <f t="shared" si="48"/>
        <v>0.12859999999999999</v>
      </c>
      <c r="J199" s="49">
        <f t="shared" si="48"/>
        <v>0.12859999999999999</v>
      </c>
      <c r="K199" s="49">
        <f t="shared" si="48"/>
        <v>0.12859999999999999</v>
      </c>
      <c r="L199" s="49">
        <f t="shared" si="48"/>
        <v>0.12859999999999999</v>
      </c>
      <c r="M199" s="49">
        <f t="shared" si="48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9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9"/>
        <v>-4.1780680416229265E-3</v>
      </c>
      <c r="H206" s="48">
        <f t="shared" ref="H206:K209" si="50">LN(H152/H184)</f>
        <v>-9.5711736997133354E-2</v>
      </c>
      <c r="I206" s="48">
        <f t="shared" si="50"/>
        <v>-9.9659266575746308E-2</v>
      </c>
      <c r="J206" s="48">
        <f t="shared" si="50"/>
        <v>-0.10360679615435874</v>
      </c>
      <c r="K206" s="48">
        <f t="shared" si="50"/>
        <v>-0.88921901408388992</v>
      </c>
      <c r="L206" s="48">
        <f t="shared" ref="L206:M206" si="51">LN(L152/L184)</f>
        <v>-0.88921901408388992</v>
      </c>
      <c r="M206" s="48">
        <f t="shared" si="51"/>
        <v>-0.88921901408388992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9"/>
        <v>-2.4432510975042856</v>
      </c>
      <c r="H207" s="48">
        <f t="shared" si="50"/>
        <v>-2.4425254080675036</v>
      </c>
      <c r="I207" s="48">
        <f t="shared" si="50"/>
        <v>-2.4408945297500582</v>
      </c>
      <c r="J207" s="48">
        <f t="shared" si="50"/>
        <v>-2.439085556753136</v>
      </c>
      <c r="K207" s="48" t="e">
        <f t="shared" si="50"/>
        <v>#NUM!</v>
      </c>
      <c r="L207" s="48" t="e">
        <f t="shared" ref="L207:M207" si="52">LN(L153/L185)</f>
        <v>#NUM!</v>
      </c>
      <c r="M207" s="48" t="e">
        <f t="shared" si="5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9"/>
        <v>-2.1549638511882216</v>
      </c>
      <c r="H208" s="48">
        <f t="shared" si="50"/>
        <v>-2.1549638511882216</v>
      </c>
      <c r="I208" s="48">
        <f t="shared" si="50"/>
        <v>-2.1549638511882216</v>
      </c>
      <c r="J208" s="48">
        <f t="shared" si="50"/>
        <v>-2.1549638511882216</v>
      </c>
      <c r="K208" s="48">
        <f t="shared" si="50"/>
        <v>-2.1549638511882216</v>
      </c>
      <c r="L208" s="48">
        <f t="shared" ref="L208:M208" si="53">LN(L154/L186)</f>
        <v>-2.1549638511882216</v>
      </c>
      <c r="M208" s="48">
        <f t="shared" si="53"/>
        <v>-2.1549638511882216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9"/>
        <v>-2.4625544689172898</v>
      </c>
      <c r="H209" s="48">
        <f t="shared" si="50"/>
        <v>-2.4440591883459475</v>
      </c>
      <c r="I209" s="48">
        <f t="shared" si="50"/>
        <v>-2.3360697006066604</v>
      </c>
      <c r="J209" s="48">
        <f t="shared" si="50"/>
        <v>-2.3535013142761816</v>
      </c>
      <c r="K209" s="48" t="e">
        <f t="shared" si="50"/>
        <v>#NUM!</v>
      </c>
      <c r="L209" s="48" t="e">
        <f t="shared" ref="L209:M209" si="54">LN(L155/L187)</f>
        <v>#NUM!</v>
      </c>
      <c r="M209" s="48" t="e">
        <f t="shared" si="54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9"/>
        <v>8.7281262802154174E-6</v>
      </c>
      <c r="H210" s="48">
        <f t="shared" ref="H210:K213" si="55">H206*H206/2</f>
        <v>4.5803682995042127E-3</v>
      </c>
      <c r="I210" s="48">
        <f t="shared" si="55"/>
        <v>4.9659847072078328E-3</v>
      </c>
      <c r="J210" s="48">
        <f t="shared" si="55"/>
        <v>5.3671841046854223E-3</v>
      </c>
      <c r="K210" s="48">
        <f t="shared" si="55"/>
        <v>0.39535522750416263</v>
      </c>
      <c r="L210" s="48">
        <f t="shared" ref="L210:M210" si="56">L206*L206/2</f>
        <v>0.39535522750416263</v>
      </c>
      <c r="M210" s="48">
        <f t="shared" si="56"/>
        <v>0.39535522750416263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9"/>
        <v>2.984737962727948</v>
      </c>
      <c r="H211" s="48">
        <f t="shared" si="55"/>
        <v>2.9829651845276626</v>
      </c>
      <c r="I211" s="48">
        <f t="shared" si="55"/>
        <v>2.9789830526818788</v>
      </c>
      <c r="J211" s="48">
        <f t="shared" si="55"/>
        <v>2.9745691765808777</v>
      </c>
      <c r="K211" s="48" t="e">
        <f t="shared" si="55"/>
        <v>#NUM!</v>
      </c>
      <c r="L211" s="48" t="e">
        <f t="shared" ref="L211:M211" si="57">L207*L207/2</f>
        <v>#NUM!</v>
      </c>
      <c r="M211" s="48" t="e">
        <f t="shared" si="57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9"/>
        <v>2.3219345999639858</v>
      </c>
      <c r="H212" s="48">
        <f t="shared" si="55"/>
        <v>2.3219345999639858</v>
      </c>
      <c r="I212" s="48">
        <f t="shared" si="55"/>
        <v>2.3219345999639858</v>
      </c>
      <c r="J212" s="48">
        <f t="shared" si="55"/>
        <v>2.3219345999639858</v>
      </c>
      <c r="K212" s="48">
        <f t="shared" si="55"/>
        <v>2.3219345999639858</v>
      </c>
      <c r="L212" s="48">
        <f t="shared" ref="L212:M212" si="58">L208*L208/2</f>
        <v>2.3219345999639858</v>
      </c>
      <c r="M212" s="48">
        <f t="shared" si="58"/>
        <v>2.3219345999639858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9"/>
        <v>3.0320872561922574</v>
      </c>
      <c r="H213" s="48">
        <f t="shared" si="55"/>
        <v>2.9867126580691257</v>
      </c>
      <c r="I213" s="48">
        <f t="shared" si="55"/>
        <v>2.728610823046246</v>
      </c>
      <c r="J213" s="48">
        <f t="shared" si="55"/>
        <v>2.7694842181498571</v>
      </c>
      <c r="K213" s="48" t="e">
        <f t="shared" si="55"/>
        <v>#NUM!</v>
      </c>
      <c r="L213" s="48" t="e">
        <f t="shared" ref="L213:M213" si="59">L209*L209/2</f>
        <v>#NUM!</v>
      </c>
      <c r="M213" s="48" t="e">
        <f t="shared" si="59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9"/>
        <v>1.0208069328142796E-2</v>
      </c>
      <c r="H214" s="48">
        <f t="shared" ref="H214:K214" si="60">H206*H207</f>
        <v>0.23377834946577272</v>
      </c>
      <c r="I214" s="48">
        <f t="shared" si="60"/>
        <v>0.24325775862364196</v>
      </c>
      <c r="J214" s="48">
        <f t="shared" si="60"/>
        <v>0.25270584008156277</v>
      </c>
      <c r="K214" s="48" t="e">
        <f t="shared" si="60"/>
        <v>#NUM!</v>
      </c>
      <c r="L214" s="48" t="e">
        <f t="shared" ref="L214:M214" si="61">L206*L207</f>
        <v>#NUM!</v>
      </c>
      <c r="M214" s="48" t="e">
        <f t="shared" si="61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9"/>
        <v>9.0035855975021725E-3</v>
      </c>
      <c r="H215" s="48">
        <f t="shared" ref="H215:K215" si="62">H206*H208</f>
        <v>0.20625533336325669</v>
      </c>
      <c r="I215" s="48">
        <f t="shared" si="62"/>
        <v>0.21476211690666389</v>
      </c>
      <c r="J215" s="48">
        <f t="shared" si="62"/>
        <v>0.22326890045006995</v>
      </c>
      <c r="K215" s="48">
        <f t="shared" si="62"/>
        <v>1.916234831140013</v>
      </c>
      <c r="L215" s="48">
        <f t="shared" ref="L215:M215" si="63">L206*L208</f>
        <v>1.916234831140013</v>
      </c>
      <c r="M215" s="48">
        <f t="shared" si="63"/>
        <v>1.916234831140013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9"/>
        <v>1.0288720127339047E-2</v>
      </c>
      <c r="H216" s="48">
        <f t="shared" ref="H216:K216" si="64">H206*H209</f>
        <v>0.23392515024039454</v>
      </c>
      <c r="I216" s="48">
        <f t="shared" si="64"/>
        <v>0.23281099303228303</v>
      </c>
      <c r="J216" s="48">
        <f t="shared" si="64"/>
        <v>0.24383873091722771</v>
      </c>
      <c r="K216" s="48" t="e">
        <f t="shared" si="64"/>
        <v>#NUM!</v>
      </c>
      <c r="L216" s="48" t="e">
        <f t="shared" ref="L216:M216" si="65">L206*L209</f>
        <v>#NUM!</v>
      </c>
      <c r="M216" s="48" t="e">
        <f t="shared" si="65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9"/>
        <v>5.2651177944976846</v>
      </c>
      <c r="H217" s="48">
        <f t="shared" ref="H217:K217" si="66">H207*H208</f>
        <v>5.2635539599942298</v>
      </c>
      <c r="I217" s="48">
        <f t="shared" si="66"/>
        <v>5.2600394761744482</v>
      </c>
      <c r="J217" s="48">
        <f t="shared" si="66"/>
        <v>5.2561412047583058</v>
      </c>
      <c r="K217" s="48" t="e">
        <f t="shared" si="66"/>
        <v>#NUM!</v>
      </c>
      <c r="L217" s="48" t="e">
        <f t="shared" ref="L217:M217" si="67">L207*L208</f>
        <v>#NUM!</v>
      </c>
      <c r="M217" s="48" t="e">
        <f t="shared" si="67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9"/>
        <v>6.0166389088462511</v>
      </c>
      <c r="H218" s="48">
        <f t="shared" ref="H218:K218" si="68">H207*H209</f>
        <v>5.9696766663558174</v>
      </c>
      <c r="I218" s="48">
        <f t="shared" si="68"/>
        <v>5.7020997533256539</v>
      </c>
      <c r="J218" s="48">
        <f t="shared" si="68"/>
        <v>5.7403910634505575</v>
      </c>
      <c r="K218" s="48" t="e">
        <f t="shared" si="68"/>
        <v>#NUM!</v>
      </c>
      <c r="L218" s="48" t="e">
        <f t="shared" ref="L218:M218" si="69">L207*L209</f>
        <v>#NUM!</v>
      </c>
      <c r="M218" s="48" t="e">
        <f t="shared" si="6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9"/>
        <v>5.3067158620987689</v>
      </c>
      <c r="H219" s="48">
        <f t="shared" ref="H219:K219" si="70">H208*H209</f>
        <v>5.2668592010499422</v>
      </c>
      <c r="I219" s="48">
        <f t="shared" si="70"/>
        <v>5.0341457586634446</v>
      </c>
      <c r="J219" s="48">
        <f t="shared" si="70"/>
        <v>5.0717102559891414</v>
      </c>
      <c r="K219" s="48" t="e">
        <f t="shared" si="70"/>
        <v>#NUM!</v>
      </c>
      <c r="L219" s="48" t="e">
        <f t="shared" ref="L219:M219" si="71">L208*L209</f>
        <v>#NUM!</v>
      </c>
      <c r="M219" s="48" t="e">
        <f t="shared" si="71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9"/>
        <v>-3.7203018370115148</v>
      </c>
      <c r="H220" s="48">
        <f t="shared" ref="H220:K220" si="72">LN(H156/H198)</f>
        <v>-3.7182465601779104</v>
      </c>
      <c r="I220" s="48">
        <f t="shared" si="72"/>
        <v>-3.7164516515669783</v>
      </c>
      <c r="J220" s="48">
        <f t="shared" si="72"/>
        <v>-3.7148705797149337</v>
      </c>
      <c r="K220" s="48">
        <f t="shared" si="72"/>
        <v>-3.7720289935548821</v>
      </c>
      <c r="L220" s="48">
        <f t="shared" ref="L220:M220" si="73">LN(L156/L198)</f>
        <v>-3.8291874073948309</v>
      </c>
      <c r="M220" s="48">
        <f t="shared" si="73"/>
        <v>-3.8863458212347792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9"/>
        <v>0.38820980161590113</v>
      </c>
      <c r="H221" s="31">
        <f t="shared" ref="H221:K221" si="74">H157/H199</f>
        <v>0.10575427682737169</v>
      </c>
      <c r="I221" s="31">
        <f t="shared" si="74"/>
        <v>9.9533437013996903E-2</v>
      </c>
      <c r="J221" s="31">
        <f t="shared" si="74"/>
        <v>4.6656298600311043E-2</v>
      </c>
      <c r="K221" s="31">
        <f t="shared" si="74"/>
        <v>0</v>
      </c>
      <c r="L221" s="31">
        <f t="shared" ref="L221:M221" si="75">L157/L199</f>
        <v>0</v>
      </c>
      <c r="M221" s="31">
        <f t="shared" si="75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9"/>
        <v>9</v>
      </c>
      <c r="H222" s="48">
        <f t="shared" ref="H222:K222" si="76">H158</f>
        <v>10</v>
      </c>
      <c r="I222" s="48">
        <f t="shared" si="76"/>
        <v>11</v>
      </c>
      <c r="J222" s="48">
        <f t="shared" si="76"/>
        <v>12</v>
      </c>
      <c r="K222" s="48">
        <f t="shared" si="76"/>
        <v>13</v>
      </c>
      <c r="L222" s="48">
        <f t="shared" ref="L222:M222" si="77">L158</f>
        <v>14</v>
      </c>
      <c r="M222" s="48">
        <f t="shared" si="77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8">HLOOKUP($E$3,$P$3:$CI$269,O226,FALSE)</f>
        <v>12.806567709189416</v>
      </c>
      <c r="H226" s="50">
        <f t="shared" ref="H226:K241" si="79">H162*H205</f>
        <v>12.806567709189416</v>
      </c>
      <c r="I226" s="50">
        <f t="shared" si="79"/>
        <v>12.806567709189416</v>
      </c>
      <c r="J226" s="50">
        <f t="shared" si="79"/>
        <v>12.806567709189416</v>
      </c>
      <c r="K226" s="50">
        <f t="shared" si="79"/>
        <v>12.806567709189416</v>
      </c>
      <c r="L226" s="50">
        <f t="shared" ref="L226:M226" si="80">L162*L205</f>
        <v>12.806567709189416</v>
      </c>
      <c r="M226" s="50">
        <f t="shared" si="80"/>
        <v>12.806567709189416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8"/>
        <v>-2.6332275108435443E-3</v>
      </c>
      <c r="H227" s="50">
        <f t="shared" si="79"/>
        <v>-6.0322325165766015E-2</v>
      </c>
      <c r="I227" s="50">
        <f t="shared" si="79"/>
        <v>-6.2810255803256193E-2</v>
      </c>
      <c r="J227" s="50">
        <f t="shared" si="79"/>
        <v>-6.5298186440746031E-2</v>
      </c>
      <c r="K227" s="50">
        <f t="shared" si="79"/>
        <v>-0.56043031078577998</v>
      </c>
      <c r="L227" s="50">
        <f t="shared" ref="L227:M227" si="81">L163*L206</f>
        <v>-0.56043031078577998</v>
      </c>
      <c r="M227" s="50">
        <f t="shared" si="81"/>
        <v>-0.56043031078577998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8"/>
        <v>-1.0854385731478819</v>
      </c>
      <c r="H228" s="50">
        <f t="shared" si="79"/>
        <v>-1.0851161784060506</v>
      </c>
      <c r="I228" s="50">
        <f t="shared" si="79"/>
        <v>-1.0843916445111619</v>
      </c>
      <c r="J228" s="50">
        <f t="shared" si="79"/>
        <v>-1.0835879902855901</v>
      </c>
      <c r="K228" s="50" t="e">
        <f t="shared" si="79"/>
        <v>#NUM!</v>
      </c>
      <c r="L228" s="50" t="e">
        <f t="shared" ref="L228:M228" si="82">L164*L207</f>
        <v>#NUM!</v>
      </c>
      <c r="M228" s="50" t="e">
        <f t="shared" si="82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8"/>
        <v>-0.34563841711453536</v>
      </c>
      <c r="H229" s="50">
        <f t="shared" si="79"/>
        <v>-0.34563841711453536</v>
      </c>
      <c r="I229" s="50">
        <f t="shared" si="79"/>
        <v>-0.34563841711453536</v>
      </c>
      <c r="J229" s="50">
        <f t="shared" si="79"/>
        <v>-0.34563841711453536</v>
      </c>
      <c r="K229" s="50">
        <f t="shared" si="79"/>
        <v>-0.34563841711453536</v>
      </c>
      <c r="L229" s="50">
        <f t="shared" ref="L229:M229" si="83">L165*L208</f>
        <v>-0.34563841711453536</v>
      </c>
      <c r="M229" s="50">
        <f t="shared" si="83"/>
        <v>-0.34563841711453536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8"/>
        <v>-0.28786280425059313</v>
      </c>
      <c r="H230" s="50">
        <f t="shared" si="79"/>
        <v>-0.28570077965464219</v>
      </c>
      <c r="I230" s="50">
        <f t="shared" si="79"/>
        <v>-0.27307723887104124</v>
      </c>
      <c r="J230" s="50">
        <f t="shared" si="79"/>
        <v>-0.27511492504483276</v>
      </c>
      <c r="K230" s="50" t="e">
        <f t="shared" si="79"/>
        <v>#NUM!</v>
      </c>
      <c r="L230" s="50" t="e">
        <f t="shared" ref="L230:M230" si="84">L166*L209</f>
        <v>#NUM!</v>
      </c>
      <c r="M230" s="50" t="e">
        <f t="shared" si="84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8"/>
        <v>1.1841666612022856E-6</v>
      </c>
      <c r="H231" s="50">
        <f t="shared" si="79"/>
        <v>6.2142999106181893E-4</v>
      </c>
      <c r="I231" s="50">
        <f t="shared" si="79"/>
        <v>6.7374753085845272E-4</v>
      </c>
      <c r="J231" s="50">
        <f t="shared" si="79"/>
        <v>7.2817925374315878E-4</v>
      </c>
      <c r="K231" s="50">
        <f t="shared" si="79"/>
        <v>5.3638829768503253E-2</v>
      </c>
      <c r="L231" s="50">
        <f t="shared" ref="L231:M231" si="85">L167*L210</f>
        <v>5.3638829768503253E-2</v>
      </c>
      <c r="M231" s="50">
        <f t="shared" si="85"/>
        <v>5.3638829768503253E-2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8"/>
        <v>-1.1144295302302742</v>
      </c>
      <c r="H232" s="50">
        <f t="shared" si="79"/>
        <v>-1.1137676173918218</v>
      </c>
      <c r="I232" s="50">
        <f t="shared" si="79"/>
        <v>-1.1122807849202181</v>
      </c>
      <c r="J232" s="50">
        <f t="shared" si="79"/>
        <v>-1.110632749504326</v>
      </c>
      <c r="K232" s="50" t="e">
        <f t="shared" si="79"/>
        <v>#NUM!</v>
      </c>
      <c r="L232" s="50" t="e">
        <f t="shared" ref="L232:M232" si="86">L168*L211</f>
        <v>#NUM!</v>
      </c>
      <c r="M232" s="50" t="e">
        <f t="shared" si="8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8"/>
        <v>0.24585313679610785</v>
      </c>
      <c r="H233" s="50">
        <f t="shared" si="79"/>
        <v>0.24585313679610785</v>
      </c>
      <c r="I233" s="50">
        <f t="shared" si="79"/>
        <v>0.24585313679610785</v>
      </c>
      <c r="J233" s="50">
        <f t="shared" si="79"/>
        <v>0.24585313679610785</v>
      </c>
      <c r="K233" s="50">
        <f t="shared" si="79"/>
        <v>0.24585313679610785</v>
      </c>
      <c r="L233" s="50">
        <f t="shared" ref="L233:M233" si="87">L169*L212</f>
        <v>0.24585313679610785</v>
      </c>
      <c r="M233" s="50">
        <f t="shared" si="87"/>
        <v>0.24585313679610785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8"/>
        <v>0.6269966269689552</v>
      </c>
      <c r="H234" s="50">
        <f t="shared" si="79"/>
        <v>0.61761374396808699</v>
      </c>
      <c r="I234" s="50">
        <f t="shared" si="79"/>
        <v>0.5642416058004438</v>
      </c>
      <c r="J234" s="50">
        <f t="shared" si="79"/>
        <v>0.57269369793941383</v>
      </c>
      <c r="K234" s="50" t="e">
        <f t="shared" si="79"/>
        <v>#NUM!</v>
      </c>
      <c r="L234" s="50" t="e">
        <f t="shared" ref="L234:M234" si="88">L170*L213</f>
        <v>#NUM!</v>
      </c>
      <c r="M234" s="50" t="e">
        <f t="shared" si="88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8"/>
        <v>4.9396754864301058E-4</v>
      </c>
      <c r="H235" s="50">
        <f t="shared" si="79"/>
        <v>1.1312513120679055E-2</v>
      </c>
      <c r="I235" s="50">
        <f t="shared" si="79"/>
        <v>1.1771220869791559E-2</v>
      </c>
      <c r="J235" s="50">
        <f t="shared" si="79"/>
        <v>1.2228412674345822E-2</v>
      </c>
      <c r="K235" s="50" t="e">
        <f t="shared" si="79"/>
        <v>#NUM!</v>
      </c>
      <c r="L235" s="50" t="e">
        <f t="shared" ref="L235:M235" si="89">L171*L214</f>
        <v>#NUM!</v>
      </c>
      <c r="M235" s="50" t="e">
        <f t="shared" si="89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8"/>
        <v>1.1761905925838069E-4</v>
      </c>
      <c r="H236" s="50">
        <f t="shared" si="79"/>
        <v>2.6944330138806232E-3</v>
      </c>
      <c r="I236" s="50">
        <f t="shared" si="79"/>
        <v>2.8055620598429129E-3</v>
      </c>
      <c r="J236" s="50">
        <f t="shared" si="79"/>
        <v>2.9166911058051879E-3</v>
      </c>
      <c r="K236" s="50">
        <f t="shared" si="79"/>
        <v>2.5032886700089588E-2</v>
      </c>
      <c r="L236" s="50">
        <f t="shared" ref="L236:M236" si="90">L172*L215</f>
        <v>2.5032886700089588E-2</v>
      </c>
      <c r="M236" s="50">
        <f t="shared" si="90"/>
        <v>2.5032886700089588E-2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8"/>
        <v>1.245902850708447E-5</v>
      </c>
      <c r="H237" s="50">
        <f t="shared" si="79"/>
        <v>2.8326945230289398E-4</v>
      </c>
      <c r="I237" s="50">
        <f t="shared" si="79"/>
        <v>2.8192027414998164E-4</v>
      </c>
      <c r="J237" s="50">
        <f t="shared" si="79"/>
        <v>2.9527420923390889E-4</v>
      </c>
      <c r="K237" s="50" t="e">
        <f t="shared" si="79"/>
        <v>#NUM!</v>
      </c>
      <c r="L237" s="50" t="e">
        <f t="shared" ref="L237:M237" si="91">L173*L216</f>
        <v>#NUM!</v>
      </c>
      <c r="M237" s="50" t="e">
        <f t="shared" si="91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8"/>
        <v>1.0877732848307671</v>
      </c>
      <c r="H238" s="50">
        <f t="shared" si="79"/>
        <v>1.0874501966376533</v>
      </c>
      <c r="I238" s="50">
        <f t="shared" si="79"/>
        <v>1.0867241043148712</v>
      </c>
      <c r="J238" s="50">
        <f t="shared" si="79"/>
        <v>1.0859187214784358</v>
      </c>
      <c r="K238" s="50" t="e">
        <f t="shared" si="79"/>
        <v>#NUM!</v>
      </c>
      <c r="L238" s="50" t="e">
        <f t="shared" ref="L238:M238" si="92">L174*L217</f>
        <v>#NUM!</v>
      </c>
      <c r="M238" s="50" t="e">
        <f t="shared" si="92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8"/>
        <v>0.13542270331274778</v>
      </c>
      <c r="H239" s="50">
        <f t="shared" si="79"/>
        <v>0.13436567563865343</v>
      </c>
      <c r="I239" s="50">
        <f t="shared" si="79"/>
        <v>0.12834304581898001</v>
      </c>
      <c r="J239" s="50">
        <f t="shared" si="79"/>
        <v>0.12920490786672181</v>
      </c>
      <c r="K239" s="50" t="e">
        <f t="shared" si="79"/>
        <v>#NUM!</v>
      </c>
      <c r="L239" s="50" t="e">
        <f t="shared" ref="L239:M239" si="93">L175*L218</f>
        <v>#NUM!</v>
      </c>
      <c r="M239" s="50" t="e">
        <f t="shared" si="93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8"/>
        <v>-1.0587325478605265</v>
      </c>
      <c r="H240" s="50">
        <f t="shared" si="79"/>
        <v>-1.0507808230276938</v>
      </c>
      <c r="I240" s="50">
        <f t="shared" si="79"/>
        <v>-1.0043526173008834</v>
      </c>
      <c r="J240" s="50">
        <f t="shared" si="79"/>
        <v>-1.0118470370128529</v>
      </c>
      <c r="K240" s="50" t="e">
        <f t="shared" si="79"/>
        <v>#NUM!</v>
      </c>
      <c r="L240" s="50" t="e">
        <f t="shared" ref="L240:M240" si="94">L176*L219</f>
        <v>#NUM!</v>
      </c>
      <c r="M240" s="50" t="e">
        <f t="shared" si="94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8"/>
        <v>-1.0087295433926828</v>
      </c>
      <c r="H241" s="50">
        <f t="shared" si="79"/>
        <v>-1.0081722718182957</v>
      </c>
      <c r="I241" s="50">
        <f t="shared" si="79"/>
        <v>-1.0076855969669369</v>
      </c>
      <c r="J241" s="50">
        <f t="shared" si="79"/>
        <v>-1.0072569022111735</v>
      </c>
      <c r="K241" s="50">
        <f t="shared" si="79"/>
        <v>-1.0227549406015577</v>
      </c>
      <c r="L241" s="50">
        <f t="shared" ref="L241:M241" si="95">L177*L220</f>
        <v>-1.0382529789919419</v>
      </c>
      <c r="M241" s="50">
        <f t="shared" si="95"/>
        <v>-1.0537510173823259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8"/>
        <v>6.3074621103489008E-3</v>
      </c>
      <c r="H242" s="50">
        <f t="shared" ref="H242:K243" si="96">H178*H221</f>
        <v>1.7182489759904958E-3</v>
      </c>
      <c r="I242" s="50">
        <f t="shared" si="96"/>
        <v>1.6171755068145847E-3</v>
      </c>
      <c r="J242" s="50">
        <f t="shared" si="96"/>
        <v>7.5805101881933643E-4</v>
      </c>
      <c r="K242" s="50">
        <f t="shared" si="96"/>
        <v>0</v>
      </c>
      <c r="L242" s="50">
        <f t="shared" ref="L242:M242" si="97">L178*L221</f>
        <v>0</v>
      </c>
      <c r="M242" s="50">
        <f t="shared" si="97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8"/>
        <v>0.15643350226138497</v>
      </c>
      <c r="H243" s="50">
        <f t="shared" si="96"/>
        <v>0.17381500251264997</v>
      </c>
      <c r="I243" s="50">
        <f t="shared" si="96"/>
        <v>0.19119650276391495</v>
      </c>
      <c r="J243" s="50">
        <f t="shared" si="96"/>
        <v>0.20857800301517995</v>
      </c>
      <c r="K243" s="50">
        <f t="shared" si="96"/>
        <v>0.22595950326644496</v>
      </c>
      <c r="L243" s="50">
        <f t="shared" ref="L243:M243" si="98">L179*L222</f>
        <v>0.24334100351770993</v>
      </c>
      <c r="M243" s="50">
        <f t="shared" si="98"/>
        <v>0.26072250376897493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10.162515011765462</v>
      </c>
      <c r="H245" s="44">
        <f t="shared" ref="H245:K245" si="99">SUM(H226:H243)</f>
        <v>10.132796946717677</v>
      </c>
      <c r="I245" s="44">
        <f t="shared" si="99"/>
        <v>10.149839175437156</v>
      </c>
      <c r="J245" s="44">
        <f t="shared" si="99"/>
        <v>10.166366576933166</v>
      </c>
      <c r="K245" s="44" t="e">
        <f t="shared" si="99"/>
        <v>#NUM!</v>
      </c>
      <c r="L245" s="44" t="e">
        <f t="shared" ref="L245:M245" si="100">SUM(L226:L243)</f>
        <v>#NUM!</v>
      </c>
      <c r="M245" s="44" t="e">
        <f t="shared" si="100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25913.387648445856</v>
      </c>
      <c r="H246" s="8">
        <f t="shared" ref="H246:K246" si="101">EXP(H245)</f>
        <v>25154.622270130309</v>
      </c>
      <c r="I246" s="8">
        <f t="shared" si="101"/>
        <v>25586.986859797918</v>
      </c>
      <c r="J246" s="8">
        <f t="shared" si="101"/>
        <v>26013.387203470571</v>
      </c>
      <c r="K246" s="8" t="e">
        <f t="shared" si="101"/>
        <v>#NUM!</v>
      </c>
      <c r="L246" s="8" t="e">
        <f t="shared" ref="L246:M246" si="102">EXP(L245)</f>
        <v>#NUM!</v>
      </c>
      <c r="M246" s="8" t="e">
        <f t="shared" si="102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109.50985977612379</v>
      </c>
      <c r="H247" s="21">
        <f t="shared" ref="H247:K247" si="103">H137</f>
        <v>112.16400363530339</v>
      </c>
      <c r="I247" s="21">
        <f t="shared" si="103"/>
        <v>114.88247484947752</v>
      </c>
      <c r="J247" s="21">
        <f t="shared" si="103"/>
        <v>117.66683249336864</v>
      </c>
      <c r="K247" s="21">
        <f t="shared" si="103"/>
        <v>117.66683249336864</v>
      </c>
      <c r="L247" s="21">
        <f t="shared" ref="L247:M247" si="104">L137</f>
        <v>117.66683249336864</v>
      </c>
      <c r="M247" s="21">
        <f t="shared" si="104"/>
        <v>117.66683249336864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2837771.4477056437</v>
      </c>
      <c r="H248" s="8">
        <f>H246*H247</f>
        <v>2821443.1437515793</v>
      </c>
      <c r="I248" s="8">
        <f t="shared" ref="I248:K248" si="105">I246*I247</f>
        <v>2939496.3743946459</v>
      </c>
      <c r="J248" s="8">
        <f t="shared" si="105"/>
        <v>3060912.8746559112</v>
      </c>
      <c r="K248" s="8" t="e">
        <f t="shared" si="105"/>
        <v>#NUM!</v>
      </c>
      <c r="L248" s="8" t="e">
        <f t="shared" ref="L248:M248" si="106">L246*L247</f>
        <v>#NUM!</v>
      </c>
      <c r="M248" s="8" t="e">
        <f t="shared" si="106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G249" s="25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G250" s="25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6" t="s">
        <v>151</v>
      </c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7">G121</f>
        <v>1436164.4688714254</v>
      </c>
      <c r="H256" s="60">
        <f t="shared" ref="H256:K256" si="108">H121</f>
        <v>1604174.1274606488</v>
      </c>
      <c r="I256" s="60">
        <f t="shared" si="108"/>
        <v>1843323.4944957106</v>
      </c>
      <c r="J256" s="60">
        <f t="shared" si="108"/>
        <v>1826959.2986551016</v>
      </c>
      <c r="K256" s="60">
        <f t="shared" si="108"/>
        <v>306295.70519648009</v>
      </c>
      <c r="L256" s="60">
        <f t="shared" ref="L256:M256" si="109">L121</f>
        <v>292236.73232796165</v>
      </c>
      <c r="M256" s="60">
        <f t="shared" si="109"/>
        <v>278823.0663141082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10">G248</f>
        <v>2837771.4477056437</v>
      </c>
      <c r="H257" s="60">
        <f t="shared" ref="H257:K257" si="111">H248</f>
        <v>2821443.1437515793</v>
      </c>
      <c r="I257" s="60">
        <f t="shared" si="111"/>
        <v>2939496.3743946459</v>
      </c>
      <c r="J257" s="60">
        <f t="shared" si="111"/>
        <v>3060912.8746559112</v>
      </c>
      <c r="K257" s="60" t="e">
        <f t="shared" si="111"/>
        <v>#NUM!</v>
      </c>
      <c r="L257" s="60" t="e">
        <f t="shared" ref="L257:M257" si="112">L248</f>
        <v>#NUM!</v>
      </c>
      <c r="M257" s="60" t="e">
        <f t="shared" si="112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3">G256-G257</f>
        <v>-1401606.9788342183</v>
      </c>
      <c r="H258" s="25">
        <f t="shared" ref="H258:K258" si="114">H256-H257</f>
        <v>-1217269.0162909306</v>
      </c>
      <c r="I258" s="25">
        <f t="shared" si="114"/>
        <v>-1096172.8798989353</v>
      </c>
      <c r="J258" s="25">
        <f t="shared" si="114"/>
        <v>-1233953.5760008097</v>
      </c>
      <c r="K258" s="25" t="e">
        <f t="shared" si="114"/>
        <v>#NUM!</v>
      </c>
      <c r="L258" s="25" t="e">
        <f t="shared" ref="L258:M258" si="115">L256-L257</f>
        <v>#NUM!</v>
      </c>
      <c r="M258" s="25" t="e">
        <f t="shared" si="115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6">G258/G257</f>
        <v>-0.49391115692823906</v>
      </c>
      <c r="H259" s="61">
        <f t="shared" ref="H259:K259" si="117">H258/H257</f>
        <v>-0.43143489139120783</v>
      </c>
      <c r="I259" s="61">
        <f t="shared" si="117"/>
        <v>-0.37291179858137402</v>
      </c>
      <c r="J259" s="61">
        <f t="shared" si="117"/>
        <v>-0.40313253807968091</v>
      </c>
      <c r="K259" s="61" t="e">
        <f t="shared" si="117"/>
        <v>#NUM!</v>
      </c>
      <c r="L259" s="61" t="e">
        <f t="shared" ref="L259:M259" si="118">L258/L257</f>
        <v>#NUM!</v>
      </c>
      <c r="M259" s="61" t="e">
        <f t="shared" si="118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-0.68104304591369058</v>
      </c>
      <c r="H261" s="64">
        <f t="shared" ref="H261:K261" si="119">LN(H256/H257)</f>
        <v>-0.56463944533291932</v>
      </c>
      <c r="I261" s="64">
        <f t="shared" si="119"/>
        <v>-0.4666680761235904</v>
      </c>
      <c r="J261" s="64">
        <f t="shared" si="119"/>
        <v>-0.51606019707033635</v>
      </c>
      <c r="K261" s="64" t="e">
        <f t="shared" si="119"/>
        <v>#NUM!</v>
      </c>
      <c r="L261" s="64" t="e">
        <f t="shared" ref="L261:M261" si="120">LN(L256/L257)</f>
        <v>#NUM!</v>
      </c>
      <c r="M261" s="64" t="e">
        <f t="shared" si="120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O16" sqref="O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2" t="str">
        <f>'Model Inputs'!F5</f>
        <v>Hydro Hawkesbury Inc.</v>
      </c>
      <c r="D3" s="232"/>
      <c r="E3" s="232"/>
      <c r="F3" s="232"/>
      <c r="G3" s="232"/>
      <c r="H3" s="232"/>
      <c r="I3" s="232"/>
      <c r="J3" s="232"/>
      <c r="K3" s="232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1436164.4688714254</v>
      </c>
      <c r="G10" s="86">
        <f>'Benchmarking Calculations'!H121</f>
        <v>1604174.1274606488</v>
      </c>
      <c r="H10" s="86">
        <f>'Benchmarking Calculations'!I121</f>
        <v>1843323.4944957106</v>
      </c>
      <c r="I10" s="91">
        <f>IF(ISNUMBER(I12),'Benchmarking Calculations'!J121,"na")</f>
        <v>1826959.2986551016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2837771.4477056437</v>
      </c>
      <c r="G12" s="86">
        <f>'Benchmarking Calculations'!H257</f>
        <v>2821443.1437515793</v>
      </c>
      <c r="H12" s="86">
        <f>'Benchmarking Calculations'!I257</f>
        <v>2939496.3743946459</v>
      </c>
      <c r="I12" s="91">
        <f>IF(ISNUMBER('Benchmarking Calculations'!J257),'Benchmarking Calculations'!J257,"na")</f>
        <v>3060912.8746559112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-1401606.9788342183</v>
      </c>
      <c r="G14" s="86">
        <f t="shared" si="0"/>
        <v>-1217269.0162909306</v>
      </c>
      <c r="H14" s="86">
        <f t="shared" si="0"/>
        <v>-1096172.8798989353</v>
      </c>
      <c r="I14" s="91">
        <f>IF(ISNUMBER(I12),I10-I12,"na")</f>
        <v>-1233953.5760008097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-0.68104304591369058</v>
      </c>
      <c r="G16" s="167">
        <f t="shared" ref="G16:H16" si="2">LN(G10/G12)</f>
        <v>-0.56463944533291932</v>
      </c>
      <c r="H16" s="167">
        <f t="shared" si="2"/>
        <v>-0.4666680761235904</v>
      </c>
      <c r="I16" s="148">
        <f>IF(ISNUMBER(I14),LN(I10/I12),"na")</f>
        <v>-0.51606019707033635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-0.57078352245673347</v>
      </c>
      <c r="I18" s="66">
        <f>IF(ISNUMBER(I16),AVERAGE(G16:I16),"na")</f>
        <v>-0.51578923950894862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1</v>
      </c>
      <c r="G22" s="149">
        <f t="shared" ref="G22" si="5">IF(G16&lt;-0.25,1,IF(G16&lt;-0.1,2,IF(G16&lt;0.1,3,IF(G16&lt;0.25,4,5))))</f>
        <v>1</v>
      </c>
      <c r="H22" s="149">
        <f>IF($H$16&lt;-0.25,1,IF($H$16&lt;-0.1,2,IF($H$16&lt;0.1,3,IF($H$16&lt;0.25,4,5))))</f>
        <v>1</v>
      </c>
      <c r="I22" s="149">
        <f>IF(ISNUMBER(I16),IF(I16&lt;-0.25,1,IF(I16&lt;-0.1,2,IF(I16&lt;0.1,3,IF(I16&lt;0.25,4,5)))),"na")</f>
        <v>1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Manuela Ris-Schofield</cp:lastModifiedBy>
  <cp:lastPrinted>2016-07-25T18:30:34Z</cp:lastPrinted>
  <dcterms:created xsi:type="dcterms:W3CDTF">2016-07-20T15:58:10Z</dcterms:created>
  <dcterms:modified xsi:type="dcterms:W3CDTF">2017-12-14T02:18:11Z</dcterms:modified>
</cp:coreProperties>
</file>