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8 Mid-Term Rate App Update\1 Models\Working Models - 10. DRO\For Filing with OEB\"/>
    </mc:Choice>
  </mc:AlternateContent>
  <bookViews>
    <workbookView xWindow="900" yWindow="-150" windowWidth="12945" windowHeight="8580" tabRatio="968"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9" r:id="rId10"/>
    <sheet name="Not part of Model ==&gt;" sheetId="27" state="hidden" r:id="rId11"/>
    <sheet name="Data" sheetId="28" state="hidden" r:id="rId12"/>
  </sheets>
  <externalReferences>
    <externalReference r:id="rId13"/>
    <externalReference r:id="rId14"/>
  </externalReferences>
  <definedNames>
    <definedName name="LDC_LIST">[1]lists!$AM$1:$AM$80</definedName>
    <definedName name="_xlnm.Print_Area" localSheetId="0">'1. Info'!$A$1:$Q$41</definedName>
    <definedName name="_xlnm.Print_Area" localSheetId="9">'10. Tracking_Sheet'!$B$16:$O$219</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52511" iterate="1"/>
</workbook>
</file>

<file path=xl/calcChain.xml><?xml version="1.0" encoding="utf-8"?>
<calcChain xmlns="http://schemas.openxmlformats.org/spreadsheetml/2006/main">
  <c r="E218" i="29" l="1"/>
  <c r="O125" i="29"/>
  <c r="O127" i="29" s="1"/>
  <c r="N125" i="29"/>
  <c r="N127" i="29" s="1"/>
  <c r="M125" i="29"/>
  <c r="M126" i="29" s="1"/>
  <c r="L125" i="29"/>
  <c r="L127" i="29" s="1"/>
  <c r="K125" i="29"/>
  <c r="K127" i="29" s="1"/>
  <c r="J125" i="29"/>
  <c r="J127" i="29" s="1"/>
  <c r="I125" i="29"/>
  <c r="I127" i="29" s="1"/>
  <c r="H125" i="29"/>
  <c r="H126" i="29" s="1"/>
  <c r="G125" i="29"/>
  <c r="G127" i="29" s="1"/>
  <c r="F125" i="29"/>
  <c r="F127" i="29" s="1"/>
  <c r="E125" i="29"/>
  <c r="E127" i="29" s="1"/>
  <c r="D125" i="29"/>
  <c r="D127" i="29" s="1"/>
  <c r="E121" i="29"/>
  <c r="E123" i="29" s="1"/>
  <c r="D126" i="29" l="1"/>
  <c r="L126" i="29"/>
  <c r="H127" i="29"/>
  <c r="E126" i="29"/>
  <c r="M127" i="29"/>
  <c r="F126" i="29"/>
  <c r="J126" i="29"/>
  <c r="N126" i="29"/>
  <c r="I126" i="29"/>
  <c r="G126" i="29"/>
  <c r="K126" i="29"/>
  <c r="O126" i="29"/>
  <c r="E122" i="29"/>
  <c r="O85" i="29" l="1"/>
  <c r="N85" i="29"/>
  <c r="M85" i="29"/>
  <c r="L85" i="29"/>
  <c r="K85" i="29"/>
  <c r="J85" i="29"/>
  <c r="I85" i="29"/>
  <c r="H85" i="29"/>
  <c r="G85" i="29"/>
  <c r="F85" i="29"/>
  <c r="E85" i="29"/>
  <c r="D85" i="29"/>
  <c r="U65" i="22" l="1"/>
  <c r="N38" i="28" l="1"/>
  <c r="U49" i="22"/>
  <c r="U58" i="22"/>
  <c r="N47" i="28"/>
  <c r="U51" i="22"/>
  <c r="N40" i="28"/>
  <c r="E60" i="29"/>
  <c r="Q213" i="29" l="1"/>
  <c r="Q210" i="29"/>
  <c r="Q207" i="29"/>
  <c r="Q204" i="29"/>
  <c r="Q201" i="29"/>
  <c r="Q198" i="29"/>
  <c r="Q195" i="29"/>
  <c r="Q192" i="29"/>
  <c r="Q189" i="29"/>
  <c r="Q186" i="29"/>
  <c r="Q183" i="29"/>
  <c r="Q180" i="29"/>
  <c r="Q177" i="29"/>
  <c r="Q174" i="29"/>
  <c r="Q171" i="29"/>
  <c r="Q168" i="29"/>
  <c r="Q165" i="29"/>
  <c r="Q162" i="29"/>
  <c r="Q159" i="29"/>
  <c r="Q156" i="29"/>
  <c r="Q153" i="29"/>
  <c r="Q150" i="29"/>
  <c r="Q147" i="29"/>
  <c r="Q144" i="29"/>
  <c r="Q141" i="29"/>
  <c r="Q138" i="29"/>
  <c r="Q135" i="29"/>
  <c r="Q132" i="29"/>
  <c r="Q129" i="29"/>
  <c r="Q125" i="29"/>
  <c r="Q121" i="29"/>
  <c r="Q117" i="29"/>
  <c r="Q113" i="29"/>
  <c r="Q109" i="29"/>
  <c r="Q105" i="29"/>
  <c r="Q101" i="29"/>
  <c r="Q95" i="29"/>
  <c r="Q91" i="29"/>
  <c r="Q87" i="29"/>
  <c r="Q83" i="29"/>
  <c r="Q80" i="29"/>
  <c r="Q77" i="29"/>
  <c r="Q74" i="29"/>
  <c r="Q71" i="29"/>
  <c r="Q68" i="29"/>
  <c r="Q65" i="29"/>
  <c r="Q62" i="29"/>
  <c r="Q59" i="29"/>
  <c r="Q56" i="29"/>
  <c r="Q53" i="29"/>
  <c r="Q50" i="29"/>
  <c r="Q47" i="29"/>
  <c r="Q44" i="29"/>
  <c r="Q41" i="29"/>
  <c r="Q38" i="29"/>
  <c r="Q35" i="29"/>
  <c r="Q32" i="29"/>
  <c r="Q29" i="29"/>
  <c r="Q26" i="29"/>
  <c r="Q23" i="29"/>
  <c r="J13" i="23" l="1"/>
  <c r="O11" i="14"/>
  <c r="N13" i="13" l="1"/>
  <c r="J13" i="13" s="1"/>
  <c r="K12" i="15"/>
  <c r="J13" i="11"/>
  <c r="G25" i="15"/>
  <c r="K25" i="15" s="1"/>
  <c r="O25" i="15" s="1"/>
  <c r="F33" i="12"/>
  <c r="L18" i="12"/>
  <c r="F34" i="12"/>
  <c r="L22" i="12"/>
  <c r="F38" i="12"/>
  <c r="L23" i="12"/>
  <c r="L55" i="12" s="1"/>
  <c r="F39" i="12"/>
  <c r="F55" i="12" s="1"/>
  <c r="L39" i="12"/>
  <c r="G28" i="14"/>
  <c r="F17" i="12"/>
  <c r="F18" i="12"/>
  <c r="F22" i="12"/>
  <c r="F23" i="12"/>
  <c r="AC1" i="26"/>
  <c r="F29" i="12" s="1"/>
  <c r="P35" i="23"/>
  <c r="N35" i="23"/>
  <c r="F25" i="13"/>
  <c r="N13" i="11"/>
  <c r="P1" i="23"/>
  <c r="N13" i="23"/>
  <c r="D62" i="12"/>
  <c r="O12" i="15"/>
  <c r="V13" i="13"/>
  <c r="Q12" i="22"/>
  <c r="S11" i="14" s="1"/>
  <c r="W11" i="14"/>
  <c r="U1" i="22"/>
  <c r="I12" i="22"/>
  <c r="K11" i="14" s="1"/>
  <c r="E39" i="22"/>
  <c r="M39" i="22"/>
  <c r="U39" i="22"/>
  <c r="E59" i="22"/>
  <c r="M59" i="22"/>
  <c r="E60" i="22"/>
  <c r="M60" i="22"/>
  <c r="F18" i="11" l="1"/>
  <c r="F35" i="12"/>
  <c r="N18" i="11"/>
  <c r="V25" i="13"/>
  <c r="F40" i="12"/>
  <c r="F24" i="12"/>
  <c r="F19" i="12"/>
  <c r="N25" i="13"/>
  <c r="J18" i="11"/>
  <c r="R13" i="13"/>
  <c r="F26" i="12" l="1"/>
  <c r="L24" i="12"/>
  <c r="R25" i="13"/>
  <c r="J25" i="13"/>
  <c r="F42" i="12"/>
  <c r="H43" i="23" l="1"/>
  <c r="F43" i="23"/>
  <c r="E24" i="29" l="1"/>
  <c r="E27" i="29"/>
  <c r="G24" i="29" l="1"/>
  <c r="K24" i="29" l="1"/>
  <c r="H24" i="29"/>
  <c r="F24" i="29" l="1"/>
  <c r="J24" i="29" l="1"/>
  <c r="L24" i="29" l="1"/>
  <c r="O24" i="29" l="1"/>
  <c r="F35" i="23" l="1"/>
  <c r="G35" i="15"/>
  <c r="K35" i="15" s="1"/>
  <c r="O35" i="15" s="1"/>
  <c r="L35" i="23"/>
  <c r="H35" i="23"/>
  <c r="J35" i="23"/>
  <c r="M24" i="29" l="1"/>
  <c r="M27" i="29"/>
  <c r="I24" i="29" l="1"/>
  <c r="I27" i="29"/>
  <c r="G39" i="15" l="1"/>
  <c r="K39" i="15" l="1"/>
  <c r="O39" i="15" l="1"/>
  <c r="G27" i="29"/>
  <c r="K27" i="29" l="1"/>
  <c r="H27" i="29"/>
  <c r="F27" i="29" l="1"/>
  <c r="D24" i="29" l="1"/>
  <c r="D27" i="29"/>
  <c r="J27" i="29" l="1"/>
  <c r="L27" i="29" l="1"/>
  <c r="N24" i="29" l="1"/>
  <c r="N27" i="29"/>
  <c r="O27" i="29" l="1"/>
  <c r="M30" i="29" l="1"/>
  <c r="I30" i="29" l="1"/>
  <c r="E30" i="29" l="1"/>
  <c r="G30" i="29" l="1"/>
  <c r="K30" i="29" l="1"/>
  <c r="H30" i="29"/>
  <c r="F30" i="29" l="1"/>
  <c r="D30" i="29" l="1"/>
  <c r="J30" i="29" l="1"/>
  <c r="L30" i="29" l="1"/>
  <c r="N30" i="29" l="1"/>
  <c r="O30" i="29" l="1"/>
  <c r="M33" i="29" l="1"/>
  <c r="I33" i="29" l="1"/>
  <c r="E36" i="29" l="1"/>
  <c r="E33" i="29"/>
  <c r="G33" i="29" l="1"/>
  <c r="K33" i="29" l="1"/>
  <c r="H33" i="29"/>
  <c r="F33" i="29" l="1"/>
  <c r="D33" i="29" l="1"/>
  <c r="J33" i="29" l="1"/>
  <c r="L33" i="29" l="1"/>
  <c r="N33" i="29" l="1"/>
  <c r="O33" i="29" l="1"/>
  <c r="G36" i="29" l="1"/>
  <c r="K36" i="29" l="1"/>
  <c r="H36" i="29"/>
  <c r="F36" i="29" l="1"/>
  <c r="J36" i="29" l="1"/>
  <c r="L36" i="29" l="1"/>
  <c r="O36" i="29" l="1"/>
  <c r="M36" i="29" l="1"/>
  <c r="I36" i="29" l="1"/>
  <c r="D36" i="29" l="1"/>
  <c r="N36" i="29" l="1"/>
  <c r="L17" i="12" l="1"/>
  <c r="L19" i="12"/>
  <c r="L26" i="12" s="1"/>
  <c r="E39" i="29" l="1"/>
  <c r="H47" i="23"/>
  <c r="F47" i="23"/>
  <c r="F47" i="13" l="1"/>
  <c r="F46" i="13" l="1"/>
  <c r="G13" i="14" l="1"/>
  <c r="F24" i="13" l="1"/>
  <c r="F17" i="11" s="1"/>
  <c r="F45" i="13" l="1"/>
  <c r="F44" i="13" l="1"/>
  <c r="F48" i="13" s="1"/>
  <c r="F21" i="23" s="1"/>
  <c r="F17" i="13" l="1"/>
  <c r="H21" i="23"/>
  <c r="F27" i="11"/>
  <c r="F32" i="11"/>
  <c r="F23" i="13" l="1"/>
  <c r="F16" i="11" s="1"/>
  <c r="G14" i="14" l="1"/>
  <c r="G15" i="14" l="1"/>
  <c r="G18" i="15" l="1"/>
  <c r="F30" i="23"/>
  <c r="H30" i="23"/>
  <c r="G25" i="14" l="1"/>
  <c r="F26" i="13" l="1"/>
  <c r="F20" i="11" s="1"/>
  <c r="G24" i="14" l="1"/>
  <c r="F22" i="13" l="1"/>
  <c r="G26" i="14"/>
  <c r="G30" i="14" l="1"/>
  <c r="F27" i="13"/>
  <c r="F15" i="11"/>
  <c r="H24" i="23" l="1"/>
  <c r="F24" i="23"/>
  <c r="G17" i="14"/>
  <c r="G18" i="14" s="1"/>
  <c r="J26" i="12" l="1"/>
  <c r="F38" i="23"/>
  <c r="H38" i="23"/>
  <c r="J22" i="12" l="1"/>
  <c r="J23" i="12"/>
  <c r="P23" i="12" s="1"/>
  <c r="J17" i="12"/>
  <c r="J18" i="12"/>
  <c r="P18" i="12" s="1"/>
  <c r="P22" i="12" l="1"/>
  <c r="J24" i="12"/>
  <c r="F40" i="23" s="1"/>
  <c r="J19" i="12"/>
  <c r="P17" i="12"/>
  <c r="P19" i="12" s="1"/>
  <c r="F30" i="13" l="1"/>
  <c r="H40" i="23"/>
  <c r="P24" i="12"/>
  <c r="H50" i="23" s="1"/>
  <c r="F50" i="23" s="1"/>
  <c r="G16" i="15"/>
  <c r="G20" i="15" s="1"/>
  <c r="F23" i="11" l="1"/>
  <c r="P26" i="12"/>
  <c r="F25" i="23"/>
  <c r="H25" i="23"/>
  <c r="H26" i="23" s="1"/>
  <c r="F32" i="13"/>
  <c r="G40" i="15" l="1"/>
  <c r="G41" i="15"/>
  <c r="F22" i="11"/>
  <c r="F26" i="23"/>
  <c r="G24" i="15" l="1"/>
  <c r="E47" i="22"/>
  <c r="F33" i="23"/>
  <c r="H33" i="23"/>
  <c r="G29" i="15" l="1"/>
  <c r="G31" i="15" s="1"/>
  <c r="F35" i="13" s="1"/>
  <c r="G26" i="15"/>
  <c r="G33" i="15" l="1"/>
  <c r="F19" i="11" s="1"/>
  <c r="F16" i="13" l="1"/>
  <c r="F25" i="11"/>
  <c r="F31" i="11" l="1"/>
  <c r="F33" i="11" s="1"/>
  <c r="F35" i="11" s="1"/>
  <c r="F18" i="13"/>
  <c r="F34" i="13" s="1"/>
  <c r="F37" i="13" s="1"/>
  <c r="H36" i="23" s="1"/>
  <c r="F28" i="11"/>
  <c r="H46" i="23" l="1"/>
  <c r="H48" i="23" s="1"/>
  <c r="H51" i="23" s="1"/>
  <c r="H42" i="23"/>
  <c r="H44" i="23" s="1"/>
  <c r="F20" i="23" l="1"/>
  <c r="F22" i="23" s="1"/>
  <c r="F28" i="23" s="1"/>
  <c r="F31" i="23" s="1"/>
  <c r="F34" i="23" s="1"/>
  <c r="F36" i="23" s="1"/>
  <c r="F42" i="23" l="1"/>
  <c r="F44" i="23" s="1"/>
  <c r="F51" i="23"/>
  <c r="F52" i="23" s="1"/>
  <c r="F46" i="23"/>
  <c r="F48" i="23" s="1"/>
  <c r="H19" i="23" l="1"/>
  <c r="H20" i="23" s="1"/>
  <c r="H22" i="23" s="1"/>
  <c r="H28" i="23" s="1"/>
  <c r="H31" i="23" s="1"/>
  <c r="H34" i="23" s="1"/>
  <c r="G39" i="29" l="1"/>
  <c r="K39" i="29" l="1"/>
  <c r="H39" i="29"/>
  <c r="F39" i="29" l="1"/>
  <c r="J39" i="29" l="1"/>
  <c r="L39" i="29" l="1"/>
  <c r="O39" i="29" l="1"/>
  <c r="M39" i="29" l="1"/>
  <c r="M42" i="29"/>
  <c r="I39" i="29" l="1"/>
  <c r="I42" i="29"/>
  <c r="E42" i="29" l="1"/>
  <c r="G42" i="29" l="1"/>
  <c r="H42" i="29" l="1"/>
  <c r="K42" i="29"/>
  <c r="F42" i="29" l="1"/>
  <c r="D39" i="29" l="1"/>
  <c r="D42" i="29"/>
  <c r="J42" i="29" l="1"/>
  <c r="L42" i="29" l="1"/>
  <c r="N39" i="29" l="1"/>
  <c r="N42" i="29"/>
  <c r="O42" i="29" l="1"/>
  <c r="E45" i="29" l="1"/>
  <c r="G45" i="29" l="1"/>
  <c r="H45" i="29" l="1"/>
  <c r="K45" i="29"/>
  <c r="F45" i="29" l="1"/>
  <c r="J45" i="29" l="1"/>
  <c r="L45" i="29" l="1"/>
  <c r="O45" i="29" l="1"/>
  <c r="M45" i="29" l="1"/>
  <c r="I45" i="29" l="1"/>
  <c r="D45" i="29" l="1"/>
  <c r="N45" i="29" l="1"/>
  <c r="G48" i="29" l="1"/>
  <c r="H48" i="29" l="1"/>
  <c r="K48" i="29"/>
  <c r="F48" i="29" l="1"/>
  <c r="J48" i="29" l="1"/>
  <c r="L48" i="29" l="1"/>
  <c r="O48" i="29" l="1"/>
  <c r="M48" i="29" l="1"/>
  <c r="M51" i="29"/>
  <c r="I48" i="29" l="1"/>
  <c r="I51" i="29"/>
  <c r="E48" i="29" l="1"/>
  <c r="E51" i="29"/>
  <c r="G51" i="29" l="1"/>
  <c r="K51" i="29" l="1"/>
  <c r="H51" i="29"/>
  <c r="F51" i="29" l="1"/>
  <c r="D48" i="29" l="1"/>
  <c r="D51" i="29"/>
  <c r="J51" i="29" l="1"/>
  <c r="L51" i="29" l="1"/>
  <c r="N48" i="29" l="1"/>
  <c r="N51" i="29"/>
  <c r="O51" i="29" l="1"/>
  <c r="E54" i="29" l="1"/>
  <c r="G54" i="29" l="1"/>
  <c r="K54" i="29" l="1"/>
  <c r="H54" i="29"/>
  <c r="F54" i="29" l="1"/>
  <c r="J54" i="29" l="1"/>
  <c r="L54" i="29" l="1"/>
  <c r="O54" i="29" l="1"/>
  <c r="M60" i="29" l="1"/>
  <c r="M63" i="29"/>
  <c r="M54" i="29"/>
  <c r="M57" i="29"/>
  <c r="I60" i="29" l="1"/>
  <c r="I63" i="29"/>
  <c r="I54" i="29"/>
  <c r="I57" i="29"/>
  <c r="E63" i="29" l="1"/>
  <c r="E57" i="29"/>
  <c r="O28" i="14" l="1"/>
  <c r="K28" i="14" s="1"/>
  <c r="G60" i="29" l="1"/>
  <c r="G63" i="29"/>
  <c r="G57" i="29"/>
  <c r="K60" i="29" l="1"/>
  <c r="K63" i="29"/>
  <c r="H60" i="29"/>
  <c r="H63" i="29"/>
  <c r="K57" i="29"/>
  <c r="H57" i="29"/>
  <c r="F60" i="29" l="1"/>
  <c r="F63" i="29"/>
  <c r="F57" i="29"/>
  <c r="D60" i="29" l="1"/>
  <c r="D63" i="29"/>
  <c r="D54" i="29"/>
  <c r="D57" i="29"/>
  <c r="J60" i="29" l="1"/>
  <c r="J63" i="29"/>
  <c r="J57" i="29"/>
  <c r="L60" i="29" l="1"/>
  <c r="L63" i="29"/>
  <c r="L57" i="29"/>
  <c r="N60" i="29" l="1"/>
  <c r="N63" i="29"/>
  <c r="N54" i="29"/>
  <c r="N57" i="29"/>
  <c r="O60" i="29" l="1"/>
  <c r="O63" i="29"/>
  <c r="O57" i="29"/>
  <c r="M66" i="29" l="1"/>
  <c r="I66" i="29" l="1"/>
  <c r="E66" i="29" l="1"/>
  <c r="G66" i="29" l="1"/>
  <c r="H66" i="29" l="1"/>
  <c r="F66" i="29" l="1"/>
  <c r="K66" i="29" l="1"/>
  <c r="D66" i="29" l="1"/>
  <c r="J66" i="29" l="1"/>
  <c r="L66" i="29" l="1"/>
  <c r="N66" i="29" l="1"/>
  <c r="O66" i="29" l="1"/>
  <c r="M69" i="29" l="1"/>
  <c r="I69" i="29" l="1"/>
  <c r="E69" i="29" l="1"/>
  <c r="G69" i="29" l="1"/>
  <c r="K69" i="29" l="1"/>
  <c r="H69" i="29"/>
  <c r="F69" i="29" l="1"/>
  <c r="D69" i="29" l="1"/>
  <c r="J69" i="29" l="1"/>
  <c r="L69" i="29" l="1"/>
  <c r="N69" i="29" l="1"/>
  <c r="O69" i="29" l="1"/>
  <c r="M72" i="29" l="1"/>
  <c r="I72" i="29" l="1"/>
  <c r="E72" i="29" l="1"/>
  <c r="G72" i="29" l="1"/>
  <c r="H72" i="29" l="1"/>
  <c r="K72" i="29"/>
  <c r="F72" i="29" l="1"/>
  <c r="D72" i="29" l="1"/>
  <c r="J72" i="29" l="1"/>
  <c r="L72" i="29" l="1"/>
  <c r="N72" i="29" l="1"/>
  <c r="O72" i="29" l="1"/>
  <c r="M75" i="29" l="1"/>
  <c r="I75" i="29" l="1"/>
  <c r="E75" i="29" l="1"/>
  <c r="G75" i="29" l="1"/>
  <c r="H75" i="29" l="1"/>
  <c r="K75" i="29"/>
  <c r="F75" i="29" l="1"/>
  <c r="D75" i="29" l="1"/>
  <c r="J75" i="29" l="1"/>
  <c r="L75" i="29" l="1"/>
  <c r="N75" i="29" l="1"/>
  <c r="O75" i="29" l="1"/>
  <c r="E78" i="29" l="1"/>
  <c r="M78" i="29" l="1"/>
  <c r="I78" i="29" l="1"/>
  <c r="G78" i="29" l="1"/>
  <c r="K78" i="29" l="1"/>
  <c r="H78" i="29"/>
  <c r="F78" i="29" l="1"/>
  <c r="D78" i="29" l="1"/>
  <c r="J78" i="29" l="1"/>
  <c r="L78" i="29" l="1"/>
  <c r="N78" i="29" l="1"/>
  <c r="O78" i="29" l="1"/>
  <c r="L34" i="12" l="1"/>
  <c r="L33" i="12" l="1"/>
  <c r="L35" i="12" s="1"/>
  <c r="L38" i="12" l="1"/>
  <c r="L40" i="12" s="1"/>
  <c r="L43" i="23" l="1"/>
  <c r="J43" i="23"/>
  <c r="L42" i="12"/>
  <c r="E84" i="29"/>
  <c r="E96" i="29" l="1"/>
  <c r="E97" i="29"/>
  <c r="E93" i="29"/>
  <c r="E92" i="29"/>
  <c r="E88" i="29"/>
  <c r="E89" i="29"/>
  <c r="L47" i="23"/>
  <c r="J47" i="23"/>
  <c r="G84" i="29"/>
  <c r="K84" i="29" l="1"/>
  <c r="H84" i="29"/>
  <c r="F84" i="29" l="1"/>
  <c r="J84" i="29" l="1"/>
  <c r="L84" i="29" l="1"/>
  <c r="O84" i="29" l="1"/>
  <c r="M84" i="29" l="1"/>
  <c r="I84" i="29" l="1"/>
  <c r="D84" i="29" l="1"/>
  <c r="N84" i="29" l="1"/>
  <c r="M88" i="29" l="1"/>
  <c r="M89" i="29"/>
  <c r="I88" i="29" l="1"/>
  <c r="I89" i="29"/>
  <c r="G88" i="29" l="1"/>
  <c r="G89" i="29"/>
  <c r="K88" i="29"/>
  <c r="K89" i="29"/>
  <c r="H88" i="29" l="1"/>
  <c r="H89" i="29"/>
  <c r="F88" i="29" l="1"/>
  <c r="F89" i="29"/>
  <c r="D88" i="29" l="1"/>
  <c r="D89" i="29"/>
  <c r="J88" i="29" l="1"/>
  <c r="J89" i="29"/>
  <c r="N88" i="29" l="1"/>
  <c r="N89" i="29"/>
  <c r="L88" i="29"/>
  <c r="L89" i="29"/>
  <c r="O88" i="29" l="1"/>
  <c r="O89" i="29"/>
  <c r="M92" i="29" l="1"/>
  <c r="M93" i="29"/>
  <c r="I92" i="29" l="1"/>
  <c r="I93" i="29"/>
  <c r="G92" i="29" l="1"/>
  <c r="G93" i="29"/>
  <c r="K92" i="29" l="1"/>
  <c r="K93" i="29"/>
  <c r="H92" i="29"/>
  <c r="H93" i="29"/>
  <c r="F93" i="29" l="1"/>
  <c r="F92" i="29"/>
  <c r="D93" i="29" l="1"/>
  <c r="D92" i="29"/>
  <c r="J93" i="29" l="1"/>
  <c r="J92" i="29"/>
  <c r="N92" i="29" l="1"/>
  <c r="N93" i="29"/>
  <c r="L92" i="29"/>
  <c r="L93" i="29"/>
  <c r="O93" i="29" l="1"/>
  <c r="O92" i="29"/>
  <c r="M96" i="29" l="1"/>
  <c r="M97" i="29"/>
  <c r="I97" i="29" l="1"/>
  <c r="I96" i="29"/>
  <c r="G96" i="29" l="1"/>
  <c r="G97" i="29"/>
  <c r="H96" i="29" l="1"/>
  <c r="H97" i="29"/>
  <c r="K96" i="29"/>
  <c r="K97" i="29"/>
  <c r="F96" i="29" l="1"/>
  <c r="F97" i="29"/>
  <c r="D96" i="29" l="1"/>
  <c r="D97" i="29"/>
  <c r="O96" i="29" l="1"/>
  <c r="O97" i="29"/>
  <c r="J97" i="29" l="1"/>
  <c r="J96" i="29"/>
  <c r="L96" i="29" l="1"/>
  <c r="L97" i="29"/>
  <c r="N96" i="29"/>
  <c r="N97" i="29"/>
  <c r="N44" i="28" l="1"/>
  <c r="U55" i="22"/>
  <c r="N45" i="28"/>
  <c r="U56" i="22"/>
  <c r="F50" i="12" s="1"/>
  <c r="F49" i="12" l="1"/>
  <c r="F51" i="12" s="1"/>
  <c r="N46" i="28" l="1"/>
  <c r="U57" i="22"/>
  <c r="U60" i="22" l="1"/>
  <c r="F54" i="12"/>
  <c r="F56" i="12" s="1"/>
  <c r="U59" i="22"/>
  <c r="F58" i="12" l="1"/>
  <c r="I31" i="22" l="1"/>
  <c r="J47" i="13" s="1"/>
  <c r="N47" i="13"/>
  <c r="I30" i="22" l="1"/>
  <c r="J46" i="13" s="1"/>
  <c r="N46" i="13"/>
  <c r="M16" i="22" l="1"/>
  <c r="K13" i="14"/>
  <c r="O13" i="14" l="1"/>
  <c r="M38" i="22" l="1"/>
  <c r="J24" i="13"/>
  <c r="N24" i="13" l="1"/>
  <c r="J17" i="11" s="1"/>
  <c r="N45" i="13" l="1"/>
  <c r="I29" i="22"/>
  <c r="J45" i="13" s="1"/>
  <c r="N44" i="13" l="1"/>
  <c r="N48" i="13" s="1"/>
  <c r="I28" i="22"/>
  <c r="J44" i="13" s="1"/>
  <c r="J48" i="13" s="1"/>
  <c r="J21" i="23" l="1"/>
  <c r="L21" i="23" s="1"/>
  <c r="N17" i="13"/>
  <c r="J27" i="11"/>
  <c r="I33" i="22"/>
  <c r="J32" i="11" l="1"/>
  <c r="J17" i="13"/>
  <c r="J23" i="13" l="1"/>
  <c r="M37" i="22"/>
  <c r="N23" i="13" l="1"/>
  <c r="J16" i="11" s="1"/>
  <c r="K14" i="14" l="1"/>
  <c r="M17" i="22"/>
  <c r="O14" i="14" l="1"/>
  <c r="O15" i="14" s="1"/>
  <c r="K15" i="14"/>
  <c r="N10" i="28" l="1"/>
  <c r="U21" i="22"/>
  <c r="W28" i="14" s="1"/>
  <c r="S28" i="14" s="1"/>
  <c r="E103" i="29" l="1"/>
  <c r="E102" i="29"/>
  <c r="K18" i="15" l="1"/>
  <c r="J30" i="23"/>
  <c r="L30" i="23"/>
  <c r="K25" i="14" l="1"/>
  <c r="M20" i="22"/>
  <c r="O25" i="14" l="1"/>
  <c r="J26" i="13" l="1"/>
  <c r="M40" i="22"/>
  <c r="N26" i="13" l="1"/>
  <c r="J20" i="11" s="1"/>
  <c r="K24" i="14" l="1"/>
  <c r="M19" i="22"/>
  <c r="M36" i="22" l="1"/>
  <c r="J22" i="13"/>
  <c r="J27" i="13" s="1"/>
  <c r="O24" i="14"/>
  <c r="O26" i="14" s="1"/>
  <c r="O30" i="14" s="1"/>
  <c r="K26" i="14"/>
  <c r="N22" i="13" l="1"/>
  <c r="O17" i="14"/>
  <c r="O18" i="14" s="1"/>
  <c r="K30" i="14"/>
  <c r="K17" i="14" s="1"/>
  <c r="K18" i="14" s="1"/>
  <c r="N27" i="13"/>
  <c r="J15" i="11"/>
  <c r="J24" i="23" l="1"/>
  <c r="L24" i="23"/>
  <c r="L38" i="23"/>
  <c r="J42" i="12"/>
  <c r="J38" i="23"/>
  <c r="J33" i="12" l="1"/>
  <c r="J34" i="12"/>
  <c r="P34" i="12" s="1"/>
  <c r="J38" i="12"/>
  <c r="J39" i="12"/>
  <c r="P39" i="12" s="1"/>
  <c r="J40" i="12" l="1"/>
  <c r="J40" i="23" s="1"/>
  <c r="P38" i="12"/>
  <c r="J35" i="12"/>
  <c r="P33" i="12"/>
  <c r="P35" i="12" s="1"/>
  <c r="K16" i="15" l="1"/>
  <c r="K20" i="15" s="1"/>
  <c r="P40" i="12"/>
  <c r="L50" i="23" s="1"/>
  <c r="L40" i="23"/>
  <c r="N30" i="13"/>
  <c r="P42" i="12" l="1"/>
  <c r="J50" i="23"/>
  <c r="J23" i="11"/>
  <c r="J25" i="23"/>
  <c r="J26" i="23" s="1"/>
  <c r="J30" i="13"/>
  <c r="J32" i="13" s="1"/>
  <c r="L25" i="23"/>
  <c r="N32" i="13"/>
  <c r="J22" i="11" l="1"/>
  <c r="L26" i="23"/>
  <c r="K40" i="15" l="1"/>
  <c r="K41" i="15"/>
  <c r="J33" i="23" l="1"/>
  <c r="L33" i="23"/>
  <c r="K24" i="15"/>
  <c r="M47" i="22"/>
  <c r="K26" i="15" l="1"/>
  <c r="K29" i="15"/>
  <c r="K33" i="15" s="1"/>
  <c r="J19" i="11" s="1"/>
  <c r="J25" i="11" s="1"/>
  <c r="J28" i="11" s="1"/>
  <c r="K31" i="15" l="1"/>
  <c r="N35" i="13" s="1"/>
  <c r="J35" i="13" s="1"/>
  <c r="N16" i="13" l="1"/>
  <c r="I26" i="22"/>
  <c r="N18" i="13" l="1"/>
  <c r="N34" i="13" s="1"/>
  <c r="N37" i="13" s="1"/>
  <c r="L36" i="23" s="1"/>
  <c r="J16" i="13"/>
  <c r="J18" i="13" s="1"/>
  <c r="J34" i="13" s="1"/>
  <c r="J37" i="13" s="1"/>
  <c r="J31" i="11"/>
  <c r="J33" i="11" s="1"/>
  <c r="J35" i="11" s="1"/>
  <c r="L42" i="23" l="1"/>
  <c r="L44" i="23" s="1"/>
  <c r="L46" i="23"/>
  <c r="L48" i="23" s="1"/>
  <c r="L51" i="23" s="1"/>
  <c r="J20" i="23" l="1"/>
  <c r="J22" i="23" s="1"/>
  <c r="J28" i="23" s="1"/>
  <c r="J31" i="23" s="1"/>
  <c r="J34" i="23" s="1"/>
  <c r="J36" i="23" s="1"/>
  <c r="I25" i="22"/>
  <c r="J46" i="23" l="1"/>
  <c r="J48" i="23" s="1"/>
  <c r="J42" i="23"/>
  <c r="J44" i="23" s="1"/>
  <c r="J51" i="23"/>
  <c r="J52" i="23" s="1"/>
  <c r="L19" i="23" s="1"/>
  <c r="L20" i="23" s="1"/>
  <c r="L22" i="23" s="1"/>
  <c r="L28" i="23" s="1"/>
  <c r="L31" i="23" s="1"/>
  <c r="L34" i="23" s="1"/>
  <c r="M103" i="29" l="1"/>
  <c r="M102" i="29"/>
  <c r="I103" i="29" l="1"/>
  <c r="I102" i="29"/>
  <c r="G103" i="29" l="1"/>
  <c r="G102" i="29"/>
  <c r="K102" i="29" l="1"/>
  <c r="K103" i="29"/>
  <c r="H102" i="29"/>
  <c r="H103" i="29"/>
  <c r="F102" i="29" l="1"/>
  <c r="F103" i="29"/>
  <c r="D102" i="29" l="1"/>
  <c r="D103" i="29"/>
  <c r="J102" i="29" l="1"/>
  <c r="J103" i="29"/>
  <c r="O102" i="29"/>
  <c r="O103" i="29"/>
  <c r="N103" i="29" l="1"/>
  <c r="N102" i="29"/>
  <c r="L102" i="29"/>
  <c r="L103" i="29"/>
  <c r="M106" i="29" l="1"/>
  <c r="M107" i="29"/>
  <c r="I106" i="29" l="1"/>
  <c r="I107" i="29"/>
  <c r="E106" i="29" l="1"/>
  <c r="E107" i="29"/>
  <c r="G106" i="29" l="1"/>
  <c r="G107" i="29"/>
  <c r="H106" i="29" l="1"/>
  <c r="H107" i="29"/>
  <c r="K106" i="29"/>
  <c r="K107" i="29"/>
  <c r="F106" i="29" l="1"/>
  <c r="F107" i="29"/>
  <c r="D107" i="29" l="1"/>
  <c r="D106" i="29"/>
  <c r="J106" i="29" l="1"/>
  <c r="J107" i="29"/>
  <c r="L106" i="29" l="1"/>
  <c r="L107" i="29"/>
  <c r="N107" i="29" l="1"/>
  <c r="N106" i="29"/>
  <c r="O106" i="29" l="1"/>
  <c r="O107" i="29"/>
  <c r="M110" i="29" l="1"/>
  <c r="M111" i="29"/>
  <c r="I110" i="29" l="1"/>
  <c r="I111" i="29"/>
  <c r="N52" i="28" l="1"/>
  <c r="U63" i="22"/>
  <c r="L50" i="12" s="1"/>
  <c r="N53" i="28" l="1"/>
  <c r="U64" i="22"/>
  <c r="L54" i="12" s="1"/>
  <c r="L56" i="12" s="1"/>
  <c r="N43" i="23" l="1"/>
  <c r="P43" i="23"/>
  <c r="E111" i="29" l="1"/>
  <c r="E110" i="29"/>
  <c r="G110" i="29" l="1"/>
  <c r="G111" i="29"/>
  <c r="H110" i="29" l="1"/>
  <c r="H111" i="29"/>
  <c r="K110" i="29"/>
  <c r="K111" i="29"/>
  <c r="F110" i="29" l="1"/>
  <c r="F111" i="29"/>
  <c r="D111" i="29" l="1"/>
  <c r="D110" i="29"/>
  <c r="J110" i="29" l="1"/>
  <c r="J111" i="29"/>
  <c r="N110" i="29" l="1"/>
  <c r="N111" i="29"/>
  <c r="L110" i="29"/>
  <c r="L111" i="29"/>
  <c r="O110" i="29" l="1"/>
  <c r="O111" i="29"/>
  <c r="M118" i="29" l="1"/>
  <c r="M119" i="29"/>
  <c r="M115" i="29"/>
  <c r="M114" i="29"/>
  <c r="M232" i="29" s="1"/>
  <c r="I118" i="29" l="1"/>
  <c r="I119" i="29"/>
  <c r="I114" i="29"/>
  <c r="I232" i="29" s="1"/>
  <c r="I115" i="29"/>
  <c r="N51" i="28" l="1"/>
  <c r="U62" i="22"/>
  <c r="L49" i="12" s="1"/>
  <c r="L51" i="12" s="1"/>
  <c r="L58" i="12" s="1"/>
  <c r="E118" i="29" l="1"/>
  <c r="E119" i="29"/>
  <c r="P47" i="23"/>
  <c r="N47" i="23"/>
  <c r="E114" i="29" l="1"/>
  <c r="E232" i="29" s="1"/>
  <c r="E115" i="29"/>
  <c r="G118" i="29" l="1"/>
  <c r="G119" i="29"/>
  <c r="H118" i="29" l="1"/>
  <c r="H119" i="29"/>
  <c r="K118" i="29"/>
  <c r="K119" i="29"/>
  <c r="G115" i="29"/>
  <c r="G114" i="29"/>
  <c r="G232" i="29" s="1"/>
  <c r="F118" i="29" l="1"/>
  <c r="F119" i="29"/>
  <c r="K114" i="29"/>
  <c r="K232" i="29" s="1"/>
  <c r="K115" i="29"/>
  <c r="H114" i="29"/>
  <c r="H232" i="29" s="1"/>
  <c r="H115" i="29"/>
  <c r="F115" i="29" l="1"/>
  <c r="F114" i="29"/>
  <c r="F232" i="29" s="1"/>
  <c r="D118" i="29" l="1"/>
  <c r="D119" i="29"/>
  <c r="D115" i="29"/>
  <c r="D114" i="29"/>
  <c r="D232" i="29" s="1"/>
  <c r="J118" i="29" l="1"/>
  <c r="J119" i="29"/>
  <c r="J114" i="29"/>
  <c r="J232" i="29" s="1"/>
  <c r="J115" i="29"/>
  <c r="L119" i="29" l="1"/>
  <c r="L115" i="29"/>
  <c r="L114" i="29"/>
  <c r="L232" i="29" s="1"/>
  <c r="N114" i="29"/>
  <c r="N232" i="29" s="1"/>
  <c r="N115" i="29"/>
  <c r="N118" i="29" l="1"/>
  <c r="O118" i="29" l="1"/>
  <c r="O119" i="29"/>
  <c r="O114" i="29" l="1"/>
  <c r="O232" i="29" s="1"/>
  <c r="O115" i="29"/>
  <c r="N20" i="28" l="1"/>
  <c r="U31" i="22"/>
  <c r="Q31" i="22" l="1"/>
  <c r="R47" i="13" s="1"/>
  <c r="V47" i="13"/>
  <c r="N19" i="28" l="1"/>
  <c r="U30" i="22"/>
  <c r="Q30" i="22" l="1"/>
  <c r="R46" i="13" s="1"/>
  <c r="V46" i="13"/>
  <c r="Q16" i="22" l="1"/>
  <c r="N5" i="28"/>
  <c r="U16" i="22" l="1"/>
  <c r="S13" i="14"/>
  <c r="Q38" i="22" l="1"/>
  <c r="N27" i="28"/>
  <c r="W13" i="14"/>
  <c r="U29" i="22" l="1"/>
  <c r="N18" i="28"/>
  <c r="R24" i="13"/>
  <c r="U38" i="22"/>
  <c r="V24" i="13" s="1"/>
  <c r="N17" i="11" s="1"/>
  <c r="U28" i="22" l="1"/>
  <c r="N17" i="28"/>
  <c r="Q29" i="22"/>
  <c r="R45" i="13" s="1"/>
  <c r="V45" i="13"/>
  <c r="N22" i="28" l="1"/>
  <c r="U33" i="22"/>
  <c r="Q28" i="22"/>
  <c r="R44" i="13" s="1"/>
  <c r="R48" i="13" s="1"/>
  <c r="V44" i="13"/>
  <c r="V48" i="13" s="1"/>
  <c r="N27" i="11" l="1"/>
  <c r="Q33" i="22"/>
  <c r="N21" i="23"/>
  <c r="V17" i="13"/>
  <c r="P21" i="23"/>
  <c r="R17" i="13" l="1"/>
  <c r="N32" i="11"/>
  <c r="M121" i="29" s="1"/>
  <c r="M123" i="29" l="1"/>
  <c r="M218" i="29"/>
  <c r="M122" i="29"/>
  <c r="Q37" i="22" l="1"/>
  <c r="N26" i="28"/>
  <c r="U37" i="22" l="1"/>
  <c r="V23" i="13" s="1"/>
  <c r="N16" i="11" s="1"/>
  <c r="I121" i="29" s="1"/>
  <c r="R23" i="13"/>
  <c r="I123" i="29" l="1"/>
  <c r="I218" i="29"/>
  <c r="I122" i="29"/>
  <c r="Q17" i="22" l="1"/>
  <c r="N6" i="28"/>
  <c r="U17" i="22" l="1"/>
  <c r="S14" i="14"/>
  <c r="W14" i="14" l="1"/>
  <c r="W15" i="14" s="1"/>
  <c r="S15" i="14"/>
  <c r="N33" i="28" l="1"/>
  <c r="U44" i="22"/>
  <c r="N30" i="23" l="1"/>
  <c r="P30" i="23"/>
  <c r="O18" i="15"/>
  <c r="N9" i="28" l="1"/>
  <c r="Q20" i="22"/>
  <c r="U20" i="22" l="1"/>
  <c r="S25" i="14"/>
  <c r="W25" i="14" s="1"/>
  <c r="Q40" i="22" l="1"/>
  <c r="N29" i="28"/>
  <c r="U40" i="22" l="1"/>
  <c r="V26" i="13" s="1"/>
  <c r="N20" i="11" s="1"/>
  <c r="R26" i="13"/>
  <c r="N8" i="28" l="1"/>
  <c r="Q19" i="22"/>
  <c r="S24" i="14" l="1"/>
  <c r="U19" i="22"/>
  <c r="Q36" i="22"/>
  <c r="N25" i="28"/>
  <c r="R22" i="13" l="1"/>
  <c r="R27" i="13" s="1"/>
  <c r="U36" i="22"/>
  <c r="V22" i="13" s="1"/>
  <c r="S26" i="14"/>
  <c r="W24" i="14"/>
  <c r="W26" i="14" s="1"/>
  <c r="G121" i="29" l="1"/>
  <c r="W30" i="14"/>
  <c r="V27" i="13"/>
  <c r="N15" i="11"/>
  <c r="K121" i="29" l="1"/>
  <c r="N24" i="23"/>
  <c r="P24" i="23"/>
  <c r="H121" i="29"/>
  <c r="S30" i="14"/>
  <c r="S17" i="14" s="1"/>
  <c r="S18" i="14" s="1"/>
  <c r="W17" i="14"/>
  <c r="W18" i="14" s="1"/>
  <c r="G123" i="29"/>
  <c r="G218" i="29"/>
  <c r="G122" i="29"/>
  <c r="H123" i="29" l="1"/>
  <c r="H218" i="29"/>
  <c r="H122" i="29"/>
  <c r="K123" i="29"/>
  <c r="K218" i="29"/>
  <c r="K122" i="29"/>
  <c r="F121" i="29"/>
  <c r="N38" i="23"/>
  <c r="J58" i="12"/>
  <c r="P38" i="23"/>
  <c r="J54" i="12" l="1"/>
  <c r="J49" i="12"/>
  <c r="J55" i="12"/>
  <c r="P55" i="12" s="1"/>
  <c r="J50" i="12"/>
  <c r="P50" i="12" s="1"/>
  <c r="F123" i="29"/>
  <c r="F218" i="29"/>
  <c r="F122" i="29"/>
  <c r="J51" i="12" l="1"/>
  <c r="P49" i="12"/>
  <c r="P51" i="12" s="1"/>
  <c r="P54" i="12"/>
  <c r="J56" i="12"/>
  <c r="N40" i="23" s="1"/>
  <c r="P40" i="23" l="1"/>
  <c r="V30" i="13"/>
  <c r="O16" i="15"/>
  <c r="O20" i="15" s="1"/>
  <c r="P56" i="12"/>
  <c r="P50" i="23" s="1"/>
  <c r="P58" i="12" l="1"/>
  <c r="D121" i="29" s="1"/>
  <c r="D218" i="29" s="1"/>
  <c r="N50" i="23"/>
  <c r="N23" i="11"/>
  <c r="N39" i="28"/>
  <c r="U50" i="22"/>
  <c r="O40" i="15" s="1"/>
  <c r="D122" i="29"/>
  <c r="R30" i="13"/>
  <c r="R32" i="13" s="1"/>
  <c r="P25" i="23"/>
  <c r="N25" i="23"/>
  <c r="N26" i="23" s="1"/>
  <c r="V32" i="13"/>
  <c r="D123" i="29" l="1"/>
  <c r="O41" i="15"/>
  <c r="N33" i="23" s="1"/>
  <c r="N35" i="28"/>
  <c r="U46" i="22"/>
  <c r="N22" i="11"/>
  <c r="P26" i="23"/>
  <c r="N36" i="28"/>
  <c r="P33" i="23" l="1"/>
  <c r="U47" i="22"/>
  <c r="O24" i="15"/>
  <c r="O29" i="15" l="1"/>
  <c r="O26" i="15"/>
  <c r="O31" i="15"/>
  <c r="V35" i="13" s="1"/>
  <c r="R35" i="13" s="1"/>
  <c r="O33" i="15" l="1"/>
  <c r="N19" i="11" s="1"/>
  <c r="J121" i="29" s="1"/>
  <c r="N25" i="11"/>
  <c r="J123" i="29" l="1"/>
  <c r="J218" i="29"/>
  <c r="J122" i="29"/>
  <c r="N15" i="28"/>
  <c r="U26" i="22"/>
  <c r="L118" i="29"/>
  <c r="L121" i="29"/>
  <c r="N28" i="11"/>
  <c r="N119" i="29" l="1"/>
  <c r="N121" i="29"/>
  <c r="L123" i="29"/>
  <c r="L218" i="29"/>
  <c r="L122" i="29"/>
  <c r="V16" i="13"/>
  <c r="Q26" i="22"/>
  <c r="N123" i="29" l="1"/>
  <c r="N218" i="29"/>
  <c r="N122" i="29"/>
  <c r="V18" i="13"/>
  <c r="V34" i="13" s="1"/>
  <c r="V37" i="13" s="1"/>
  <c r="P36" i="23" s="1"/>
  <c r="N31" i="11"/>
  <c r="R16" i="13"/>
  <c r="R18" i="13" s="1"/>
  <c r="R34" i="13" s="1"/>
  <c r="R37" i="13" s="1"/>
  <c r="N33" i="11" l="1"/>
  <c r="N35" i="11" s="1"/>
  <c r="P46" i="23"/>
  <c r="P48" i="23" s="1"/>
  <c r="P51" i="23" s="1"/>
  <c r="P42" i="23"/>
  <c r="P44" i="23" s="1"/>
  <c r="U25" i="22" l="1"/>
  <c r="N14" i="28"/>
  <c r="F14" i="28"/>
  <c r="Q25" i="22" l="1"/>
  <c r="N20" i="23"/>
  <c r="N22" i="23" s="1"/>
  <c r="N28" i="23" s="1"/>
  <c r="N31" i="23" s="1"/>
  <c r="N34" i="23" s="1"/>
  <c r="N36" i="23" s="1"/>
  <c r="N46" i="23" l="1"/>
  <c r="N48" i="23" s="1"/>
  <c r="N42" i="23"/>
  <c r="N44" i="23" s="1"/>
  <c r="N51" i="23"/>
  <c r="N52" i="23" s="1"/>
  <c r="O121" i="29" l="1"/>
  <c r="P19" i="23"/>
  <c r="P20" i="23" s="1"/>
  <c r="P22" i="23" s="1"/>
  <c r="P28" i="23" s="1"/>
  <c r="P31" i="23" s="1"/>
  <c r="P34" i="23" s="1"/>
  <c r="O123" i="29" l="1"/>
  <c r="O218" i="29"/>
  <c r="O122" i="29"/>
</calcChain>
</file>

<file path=xl/sharedStrings.xml><?xml version="1.0" encoding="utf-8"?>
<sst xmlns="http://schemas.openxmlformats.org/spreadsheetml/2006/main" count="615" uniqueCount="369">
  <si>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</si>
  <si>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</si>
  <si>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</si>
  <si>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</si>
  <si>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</si>
  <si>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</si>
  <si>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</si>
  <si>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</si>
  <si>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</si>
  <si>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</si>
  <si>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</si>
  <si>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</si>
  <si>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</si>
  <si>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</si>
  <si>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</si>
  <si>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</si>
  <si>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</si>
  <si>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</si>
  <si>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</si>
  <si>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</si>
  <si>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</si>
  <si>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</si>
  <si>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</si>
  <si>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</si>
  <si>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</si>
  <si>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</si>
  <si>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</si>
  <si>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</si>
  <si>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</si>
  <si>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</si>
  <si>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</si>
  <si>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</si>
  <si>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</si>
  <si>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</si>
  <si>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</si>
  <si>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</si>
  <si>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</si>
  <si>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</si>
  <si>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</si>
  <si>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</si>
  <si>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</si>
  <si>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</si>
  <si>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</si>
  <si>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</si>
  <si>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</si>
  <si>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</si>
  <si>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</si>
  <si>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</si>
  <si>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</si>
  <si>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</si>
  <si>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</si>
  <si>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</si>
  <si>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</si>
  <si>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</si>
  <si>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</si>
  <si>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</si>
  <si>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</si>
  <si>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</si>
  <si>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</si>
  <si>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</si>
  <si>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</si>
  <si>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</si>
  <si>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</si>
  <si>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</si>
  <si>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</si>
  <si>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</si>
  <si>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</si>
  <si>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</si>
  <si>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</si>
  <si>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</si>
  <si>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</si>
  <si>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</si>
  <si>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</si>
  <si>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</si>
  <si>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</si>
  <si>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</si>
  <si>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</si>
  <si>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</si>
  <si>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</si>
  <si>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</si>
  <si>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</si>
  <si>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</si>
  <si>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</si>
  <si>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</si>
  <si>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</si>
  <si>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</si>
  <si>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</si>
  <si>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</si>
  <si>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</si>
  <si>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</si>
  <si>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</si>
  <si>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</si>
  <si>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</si>
  <si>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</si>
  <si>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</si>
  <si>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</si>
  <si>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</si>
  <si>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</si>
  <si>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</si>
  <si>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</si>
  <si>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</si>
  <si>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</si>
  <si>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</si>
  <si>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</si>
  <si>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</si>
  <si>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</si>
  <si>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</si>
  <si>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</si>
  <si>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</si>
  <si>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</si>
  <si>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</si>
  <si>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</si>
  <si>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</si>
  <si>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</si>
  <si>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</si>
  <si>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</si>
  <si>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</si>
  <si>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</si>
  <si>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</si>
  <si>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</si>
  <si>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</si>
  <si>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</si>
  <si>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</si>
  <si>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</si>
  <si>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</si>
  <si>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</si>
  <si>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</si>
  <si>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</si>
  <si>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</si>
  <si>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</si>
  <si>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</si>
  <si>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</si>
  <si>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</si>
  <si>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</si>
  <si>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</si>
  <si>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</si>
  <si>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</si>
  <si>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</si>
  <si>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</si>
  <si>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</si>
  <si>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</si>
  <si>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</si>
  <si>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</si>
  <si>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</si>
  <si>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</si>
  <si>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</si>
  <si>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</si>
  <si>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</si>
  <si>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</si>
  <si>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</si>
  <si>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</si>
  <si>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</si>
  <si>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</si>
  <si>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</si>
  <si>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</si>
  <si>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</si>
  <si>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</si>
  <si>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</si>
  <si>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</si>
  <si>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</si>
  <si>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</si>
  <si>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</si>
  <si>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</si>
  <si>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</si>
  <si>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</si>
  <si>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</si>
  <si>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</si>
  <si>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</si>
  <si>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</si>
  <si>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</si>
  <si>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</si>
  <si>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</si>
  <si>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</si>
  <si>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</si>
  <si>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</si>
  <si>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</si>
  <si>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</si>
  <si>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</si>
  <si>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</si>
  <si>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</si>
  <si>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</si>
  <si>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</si>
  <si>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</si>
  <si>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</si>
  <si>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</si>
  <si>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</si>
  <si>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</si>
  <si>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</si>
  <si>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</si>
  <si>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</si>
  <si>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</si>
  <si>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</si>
  <si>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</si>
  <si>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</si>
  <si>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</si>
  <si>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</si>
  <si>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</si>
  <si>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</si>
  <si>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</si>
  <si>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</si>
  <si>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</si>
  <si>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</si>
  <si>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</si>
  <si>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</si>
  <si>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</si>
  <si>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</si>
  <si>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</si>
  <si>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</si>
  <si>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</si>
  <si>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</si>
  <si>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</si>
  <si>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</si>
  <si>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</si>
  <si>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</si>
  <si>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</si>
  <si>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</si>
  <si>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</si>
  <si>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</si>
  <si>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</si>
  <si>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</si>
  <si>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</si>
  <si>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</si>
  <si>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</si>
  <si>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</si>
  <si>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</si>
  <si>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</si>
  <si>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</si>
  <si>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</si>
  <si>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</si>
  <si>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</si>
  <si>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</si>
  <si>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</si>
  <si>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</si>
  <si>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</si>
  <si>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</si>
  <si>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</si>
  <si>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</si>
  <si>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</si>
  <si>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</si>
  <si>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</si>
  <si>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</si>
  <si>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</si>
  <si>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</si>
  <si>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</si>
  <si>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</si>
  <si>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</si>
  <si>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</si>
  <si>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</si>
  <si>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</si>
  <si>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</si>
  <si>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</si>
  <si>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</si>
  <si>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</si>
  <si>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</si>
  <si>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</si>
  <si>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</si>
  <si>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</si>
  <si>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</si>
  <si>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</si>
  <si>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</si>
  <si>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</si>
  <si>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</si>
  <si>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</si>
  <si>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</si>
  <si>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</si>
  <si>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</si>
  <si>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</si>
  <si>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</si>
  <si>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</si>
  <si>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</si>
  <si>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</si>
  <si>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</si>
  <si>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</si>
  <si>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</si>
  <si>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</si>
  <si>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</si>
  <si>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</si>
  <si>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</si>
  <si>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</si>
  <si>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</si>
  <si>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</si>
  <si>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</si>
  <si>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</si>
  <si>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</si>
  <si>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</si>
  <si>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</si>
  <si>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</si>
  <si>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</si>
  <si>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</si>
  <si>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EB-2014-0101</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</si>
  <si>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</si>
  <si>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</si>
  <si>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</si>
  <si>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</si>
  <si>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</si>
  <si>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</si>
  <si>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</si>
  <si>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</si>
  <si>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</si>
  <si>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</si>
  <si>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</si>
  <si>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</si>
  <si>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</si>
  <si>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</si>
  <si>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</si>
  <si>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2014 Actuals Updated</t>
  </si>
  <si>
    <t xml:space="preserve">          Change</t>
  </si>
  <si>
    <t>Page Break 1</t>
  </si>
  <si>
    <t>Page Break 2</t>
  </si>
  <si>
    <t>Page Break 3</t>
  </si>
  <si>
    <t>Page Break 4</t>
  </si>
  <si>
    <t>Summary of Proposed Changes 2018</t>
  </si>
  <si>
    <t>Tax Updates (CCA Class 10 to 50, Adjusted Tax Credits)</t>
  </si>
  <si>
    <t>Updated Post-Retirement Benefits Actuarial Valuation</t>
  </si>
  <si>
    <t>Updated Load Forecast</t>
  </si>
  <si>
    <t>Multiple Interrogatories</t>
  </si>
  <si>
    <t>4-Energy Probe-50 &amp; 54</t>
  </si>
  <si>
    <t>4.0-Staff-31</t>
  </si>
  <si>
    <t xml:space="preserve">3.0-Staff-25; 3.0-Energy Probe-33/34; 3.0-VECC-26/27/31;1.0-CCC-17; </t>
  </si>
  <si>
    <t>2.0-Staff-6 &amp; Multiple Others</t>
  </si>
  <si>
    <t>DSP/Capital Updates to capacity solutions (HONI TS contributions &amp; new MS9 substation) and changes to timing of In Service dates</t>
  </si>
  <si>
    <t>Adjustment for CDM Activities</t>
  </si>
  <si>
    <t>Update June 2015</t>
  </si>
  <si>
    <t>Undertaking TC2.5</t>
  </si>
  <si>
    <t>Revised Working Capital Proposal (to 10.91% from 13.0%)</t>
  </si>
  <si>
    <t>Revised Load Forecast</t>
  </si>
  <si>
    <t>Move MS9 Land to WIP in 2015 ($158.7k), Added back to Land 2018</t>
  </si>
  <si>
    <t>Update Regulatory Expenses (higher rate application costs partially offset by lower forecast OEB assessment fees)</t>
  </si>
  <si>
    <t>Update Interest Rates for 2015 Loan ($15m loan drawn June 2015 at 2.71%)</t>
  </si>
  <si>
    <t>Taxes / PILs</t>
  </si>
  <si>
    <t>Numbers going into Oral Hearing 30 June 2015</t>
  </si>
  <si>
    <t>Correct 2015 weighted debt rate - to 4.11% from 4.24%</t>
  </si>
  <si>
    <t>Correct Other Revenue for 2016-2019</t>
  </si>
  <si>
    <t>Oral Hearing J2.12</t>
  </si>
  <si>
    <t>Oral Hearing J3.2</t>
  </si>
  <si>
    <t>Oral Hearing J1.1</t>
  </si>
  <si>
    <t xml:space="preserve">Reduce cost of power expense lead to 20.89 from 22.64 </t>
  </si>
  <si>
    <t>At end of Oral Hearing, filed 8 July 2015, Exhibit K4.1</t>
  </si>
  <si>
    <t>Board Decision</t>
  </si>
  <si>
    <t>Working Cap Allowance to 9.37%</t>
  </si>
  <si>
    <t xml:space="preserve">Update Cost of Capital with 2016 OEB parameters for 2016-2019 </t>
  </si>
  <si>
    <t>Reduce Capital Budget by $400k in 2015, 2016 &amp; 2017 to match new connection costs with 1.5% customer growth</t>
  </si>
  <si>
    <t xml:space="preserve">Move HONI Enfield TS contributions from capital in 2015 ($1.35m) and 2018 ($5.4m), adding back in 2018. </t>
  </si>
  <si>
    <t>Adjust Rate Base for Depreciation Expense Deferral Account</t>
  </si>
  <si>
    <t>Mid-Term Update June 2017</t>
  </si>
  <si>
    <t>Update for 2017 cost of capital parameters</t>
  </si>
  <si>
    <t>Update new customer connections (load forecast)</t>
  </si>
  <si>
    <t xml:space="preserve">          Cumulative Change</t>
  </si>
  <si>
    <t>Update Cost of Power</t>
  </si>
  <si>
    <t>Update 2018/2019 Capital Forecasts</t>
  </si>
  <si>
    <t>Board Interim Approval Dec 2015</t>
  </si>
  <si>
    <t>Board Decision Dec 2017</t>
  </si>
  <si>
    <t>Load Forecast</t>
  </si>
  <si>
    <t>Adjust growth rate to 1.9% using final forecasting model approved in the Custom IR proceeding</t>
  </si>
  <si>
    <t/>
  </si>
  <si>
    <t>AS FILED JUNE 2017</t>
  </si>
  <si>
    <t>CHANGE</t>
  </si>
  <si>
    <t>Application Update</t>
  </si>
  <si>
    <t>Use 'forecasted' 2017 closing fixed asset balance as staring point (overall 2015-2017 reduction in spend of $884k).</t>
  </si>
  <si>
    <t>Cumulative Change re Board Decision Dec 2017 Vs Interim Filing June 2017</t>
  </si>
  <si>
    <t>Update for 2018 cost of capital parameters as issued by OEB in November 2017</t>
  </si>
  <si>
    <t>Use most recent RPP/GA Modifier, remove 2% inflation from COP Forecast</t>
  </si>
  <si>
    <t>Revert to Loss Factor per approved Custom IR</t>
  </si>
  <si>
    <t>Remove 2% increase for inflation</t>
  </si>
  <si>
    <t>Use most recent RPP/GA Modifier</t>
  </si>
  <si>
    <t>RTS Rates</t>
  </si>
  <si>
    <t>Recalculate using new UTRs per Table 1 of decision. Also revert Loss Factor to as approved in 2015 Custom IR decision</t>
  </si>
  <si>
    <t>DRO - Working Capital Allowance</t>
  </si>
  <si>
    <t xml:space="preserve">Apply weighted GA rate to reflect efect of GA modifier, and adjust WMS rate to 0.0036 from 0.0032 in cost of power calculations.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</si>
</sst>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 numFmtId="171" formatCode="&quot;$&quot;#,##0\ ;[Red]&quot;$&quot;\(#,##0\)"/>
    <numFmt numFmtId="172" formatCode="&quot;$&quot;#,##0.0000;[Red]&quot;$&quot;#,##0.0000"/>
  </numFmts>
  <fonts count="55"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theme="2"/>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641">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170" fontId="3" fillId="7" borderId="0" xfId="9" applyNumberFormat="1" applyFont="1" applyFill="1"/>
    <xf numFmtId="0" fontId="0" fillId="7" borderId="0" xfId="0" applyFill="1"/>
    <xf numFmtId="6" fontId="0" fillId="0" borderId="0" xfId="0" applyNumberFormat="1"/>
    <xf numFmtId="167" fontId="0" fillId="0" borderId="0" xfId="0" applyNumberFormat="1"/>
    <xf numFmtId="0" fontId="1" fillId="0" borderId="0" xfId="0" applyFont="1" applyAlignment="1">
      <alignment horizontal="right"/>
    </xf>
    <xf numFmtId="0" fontId="1" fillId="0" borderId="0" xfId="9"/>
    <xf numFmtId="0" fontId="1" fillId="0" borderId="0" xfId="9" applyFill="1"/>
    <xf numFmtId="0" fontId="48" fillId="0" borderId="0" xfId="9" applyFont="1" applyFill="1"/>
    <xf numFmtId="0" fontId="48" fillId="0" borderId="0" xfId="9" applyFont="1" applyFill="1" applyAlignment="1">
      <alignment vertical="top" wrapText="1"/>
    </xf>
    <xf numFmtId="0" fontId="15" fillId="0" borderId="0" xfId="9" applyFont="1"/>
    <xf numFmtId="0" fontId="5" fillId="0" borderId="4" xfId="9" applyFont="1" applyBorder="1"/>
    <xf numFmtId="0" fontId="1" fillId="0" borderId="4" xfId="9" applyBorder="1"/>
    <xf numFmtId="0" fontId="1" fillId="0" borderId="19" xfId="9" applyBorder="1"/>
    <xf numFmtId="0" fontId="1" fillId="0" borderId="20" xfId="9" applyBorder="1"/>
    <xf numFmtId="0" fontId="1" fillId="0" borderId="0" xfId="9" applyBorder="1"/>
    <xf numFmtId="0" fontId="3" fillId="0" borderId="25" xfId="9" applyFont="1" applyBorder="1" applyAlignment="1">
      <alignment vertical="top"/>
    </xf>
    <xf numFmtId="0" fontId="3" fillId="0" borderId="26" xfId="9" applyFont="1" applyBorder="1" applyAlignment="1">
      <alignment horizontal="center" vertical="top" wrapText="1"/>
    </xf>
    <xf numFmtId="0" fontId="3" fillId="0" borderId="27" xfId="9" applyFont="1" applyBorder="1" applyAlignment="1">
      <alignment horizontal="center" vertical="top" wrapText="1"/>
    </xf>
    <xf numFmtId="0" fontId="3" fillId="0" borderId="28" xfId="9" applyFont="1" applyBorder="1" applyAlignment="1">
      <alignment horizontal="center" vertical="top" wrapText="1"/>
    </xf>
    <xf numFmtId="0" fontId="3" fillId="0" borderId="29" xfId="9" applyFont="1" applyBorder="1" applyAlignment="1">
      <alignment horizontal="center" vertical="top" wrapText="1"/>
    </xf>
    <xf numFmtId="0" fontId="3" fillId="0" borderId="30" xfId="9" applyFont="1" applyBorder="1" applyAlignment="1">
      <alignment horizontal="center" vertical="top" wrapText="1"/>
    </xf>
    <xf numFmtId="0" fontId="3" fillId="0" borderId="31" xfId="9" applyFont="1" applyBorder="1" applyAlignment="1">
      <alignment horizontal="center" vertical="top" wrapText="1"/>
    </xf>
    <xf numFmtId="0" fontId="1" fillId="0" borderId="33" xfId="9" applyBorder="1"/>
    <xf numFmtId="0" fontId="1" fillId="0" borderId="34" xfId="9" applyBorder="1"/>
    <xf numFmtId="0" fontId="1" fillId="0" borderId="35" xfId="9" applyBorder="1"/>
    <xf numFmtId="0" fontId="1" fillId="0" borderId="36" xfId="9" applyBorder="1"/>
    <xf numFmtId="0" fontId="1" fillId="0" borderId="37" xfId="9" applyBorder="1"/>
    <xf numFmtId="0" fontId="1" fillId="0" borderId="38" xfId="9" applyBorder="1"/>
    <xf numFmtId="0" fontId="3" fillId="0" borderId="19" xfId="9"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1" fillId="0" borderId="39" xfId="9" applyBorder="1"/>
    <xf numFmtId="0" fontId="1" fillId="8" borderId="39" xfId="9"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1" fillId="8" borderId="35" xfId="9" applyNumberFormat="1" applyFill="1" applyBorder="1" applyAlignment="1" applyProtection="1">
      <alignment vertical="top"/>
      <protection locked="0"/>
    </xf>
    <xf numFmtId="166" fontId="1" fillId="8" borderId="34" xfId="9"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1" fillId="0" borderId="39" xfId="9" quotePrefix="1" applyFill="1" applyBorder="1" applyAlignment="1">
      <alignment vertical="top" wrapText="1"/>
    </xf>
    <xf numFmtId="171" fontId="1" fillId="0" borderId="33" xfId="9" applyNumberFormat="1" applyBorder="1"/>
    <xf numFmtId="10" fontId="1" fillId="0" borderId="34" xfId="9" applyNumberFormat="1" applyBorder="1"/>
    <xf numFmtId="171" fontId="1" fillId="0" borderId="35" xfId="9" applyNumberFormat="1" applyBorder="1"/>
    <xf numFmtId="171" fontId="0" fillId="0" borderId="34" xfId="2" applyNumberFormat="1" applyFont="1" applyBorder="1"/>
    <xf numFmtId="171" fontId="1" fillId="0" borderId="34" xfId="9" applyNumberFormat="1" applyBorder="1"/>
    <xf numFmtId="171" fontId="1" fillId="0" borderId="19" xfId="9" applyNumberFormat="1" applyBorder="1"/>
    <xf numFmtId="166" fontId="1" fillId="0" borderId="33" xfId="9" applyNumberFormat="1" applyBorder="1"/>
    <xf numFmtId="166" fontId="1" fillId="0" borderId="35" xfId="9" applyNumberFormat="1" applyBorder="1"/>
    <xf numFmtId="166" fontId="1" fillId="0" borderId="34" xfId="9" applyNumberFormat="1" applyBorder="1"/>
    <xf numFmtId="166" fontId="1" fillId="0" borderId="19" xfId="9" applyNumberFormat="1" applyBorder="1"/>
    <xf numFmtId="0" fontId="1" fillId="0" borderId="40" xfId="9" applyBorder="1"/>
    <xf numFmtId="0" fontId="1" fillId="0" borderId="41" xfId="9" applyBorder="1"/>
    <xf numFmtId="0" fontId="1" fillId="0" borderId="42" xfId="9" applyBorder="1"/>
    <xf numFmtId="0" fontId="1" fillId="0" borderId="43" xfId="9" applyBorder="1"/>
    <xf numFmtId="0" fontId="1" fillId="0" borderId="44" xfId="9" applyBorder="1"/>
    <xf numFmtId="0" fontId="1" fillId="8" borderId="39" xfId="0" applyFont="1" applyFill="1" applyBorder="1" applyAlignment="1" applyProtection="1">
      <alignment vertical="top" wrapText="1"/>
      <protection locked="0"/>
    </xf>
    <xf numFmtId="0" fontId="0" fillId="0" borderId="39" xfId="0" quotePrefix="1" applyFill="1" applyBorder="1" applyAlignment="1">
      <alignment vertical="top" wrapText="1"/>
    </xf>
    <xf numFmtId="0" fontId="0" fillId="0" borderId="19" xfId="0" applyBorder="1"/>
    <xf numFmtId="0" fontId="0" fillId="0" borderId="39" xfId="0" applyBorder="1"/>
    <xf numFmtId="0" fontId="1" fillId="0" borderId="45" xfId="9" applyBorder="1"/>
    <xf numFmtId="0" fontId="1" fillId="0" borderId="39" xfId="9" applyFont="1" applyBorder="1" applyAlignment="1">
      <alignment vertical="top" wrapText="1"/>
    </xf>
    <xf numFmtId="0" fontId="3" fillId="0" borderId="32" xfId="9" applyFont="1" applyBorder="1" applyAlignment="1">
      <alignment horizontal="right" vertical="top" wrapText="1"/>
    </xf>
    <xf numFmtId="0" fontId="1" fillId="8" borderId="39" xfId="0" applyFont="1" applyFill="1" applyBorder="1" applyAlignment="1" applyProtection="1">
      <alignment horizontal="left" vertical="top" wrapText="1"/>
      <protection locked="0"/>
    </xf>
    <xf numFmtId="0" fontId="54" fillId="0" borderId="0" xfId="9" applyFont="1" applyBorder="1" applyAlignment="1">
      <alignment vertical="top"/>
    </xf>
    <xf numFmtId="0" fontId="1" fillId="0" borderId="0" xfId="9" applyFont="1" applyAlignment="1"/>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166" fontId="3" fillId="8" borderId="33" xfId="2" applyNumberFormat="1" applyFont="1" applyFill="1" applyBorder="1" applyAlignment="1" applyProtection="1">
      <alignment vertical="top"/>
      <protection locked="0"/>
    </xf>
    <xf numFmtId="10" fontId="3" fillId="8" borderId="34" xfId="5" applyNumberFormat="1" applyFont="1" applyFill="1" applyBorder="1" applyAlignment="1" applyProtection="1">
      <alignment vertical="top"/>
      <protection locked="0"/>
    </xf>
    <xf numFmtId="166" fontId="3" fillId="8" borderId="35" xfId="9" applyNumberFormat="1" applyFont="1" applyFill="1" applyBorder="1" applyAlignment="1" applyProtection="1">
      <alignment vertical="top"/>
      <protection locked="0"/>
    </xf>
    <xf numFmtId="166" fontId="3" fillId="8" borderId="34" xfId="9" applyNumberFormat="1" applyFont="1" applyFill="1" applyBorder="1" applyAlignment="1" applyProtection="1">
      <alignment vertical="top"/>
      <protection locked="0"/>
    </xf>
    <xf numFmtId="166" fontId="3" fillId="8" borderId="35" xfId="2" applyNumberFormat="1" applyFont="1" applyFill="1" applyBorder="1" applyAlignment="1" applyProtection="1">
      <alignment vertical="top"/>
      <protection locked="0"/>
    </xf>
    <xf numFmtId="166" fontId="3" fillId="8" borderId="19" xfId="2" applyNumberFormat="1" applyFont="1" applyFill="1" applyBorder="1" applyAlignment="1" applyProtection="1">
      <alignment vertical="top"/>
      <protection locked="0"/>
    </xf>
    <xf numFmtId="0" fontId="3" fillId="0" borderId="19" xfId="9" applyFont="1" applyBorder="1" applyAlignment="1">
      <alignment horizontal="left" vertical="top" wrapText="1"/>
    </xf>
    <xf numFmtId="171" fontId="24" fillId="0" borderId="33" xfId="9" applyNumberFormat="1" applyFont="1" applyBorder="1"/>
    <xf numFmtId="10" fontId="24" fillId="0" borderId="34" xfId="9" applyNumberFormat="1" applyFont="1" applyBorder="1"/>
    <xf numFmtId="171" fontId="24" fillId="0" borderId="35" xfId="9" applyNumberFormat="1" applyFont="1" applyBorder="1"/>
    <xf numFmtId="171" fontId="24" fillId="0" borderId="34" xfId="2" applyNumberFormat="1" applyFont="1" applyBorder="1"/>
    <xf numFmtId="171" fontId="24" fillId="0" borderId="34" xfId="9" applyNumberFormat="1" applyFont="1" applyBorder="1"/>
    <xf numFmtId="171" fontId="24" fillId="0" borderId="19" xfId="9" applyNumberFormat="1" applyFont="1" applyBorder="1"/>
    <xf numFmtId="0" fontId="24" fillId="0" borderId="19" xfId="9" quotePrefix="1" applyFont="1" applyBorder="1" applyAlignment="1"/>
    <xf numFmtId="0" fontId="3" fillId="0" borderId="19" xfId="9" applyFont="1" applyFill="1" applyBorder="1" applyAlignment="1">
      <alignment horizontal="center" vertical="top" wrapText="1"/>
    </xf>
    <xf numFmtId="0" fontId="1" fillId="0" borderId="39" xfId="9" applyFill="1" applyBorder="1" applyAlignment="1" applyProtection="1">
      <alignment horizontal="left" vertical="top" wrapText="1"/>
      <protection locked="0"/>
    </xf>
    <xf numFmtId="166" fontId="1" fillId="0" borderId="33" xfId="9" applyNumberFormat="1" applyFill="1" applyBorder="1"/>
    <xf numFmtId="10" fontId="1" fillId="0" borderId="34" xfId="9" applyNumberFormat="1" applyFill="1" applyBorder="1"/>
    <xf numFmtId="166" fontId="1" fillId="0" borderId="35" xfId="9" applyNumberFormat="1" applyFill="1" applyBorder="1"/>
    <xf numFmtId="166" fontId="0" fillId="0" borderId="34" xfId="2" applyNumberFormat="1" applyFont="1" applyFill="1" applyBorder="1"/>
    <xf numFmtId="166" fontId="1" fillId="0" borderId="34" xfId="9" applyNumberFormat="1" applyFill="1" applyBorder="1"/>
    <xf numFmtId="166" fontId="1" fillId="0" borderId="19" xfId="9" applyNumberFormat="1" applyFill="1" applyBorder="1"/>
    <xf numFmtId="0" fontId="3" fillId="0" borderId="19" xfId="9" applyFont="1" applyBorder="1" applyAlignment="1">
      <alignment horizontal="left" vertical="top" wrapText="1"/>
    </xf>
    <xf numFmtId="0" fontId="1" fillId="9" borderId="0" xfId="0" applyFont="1" applyFill="1"/>
    <xf numFmtId="0" fontId="0" fillId="9" borderId="0" xfId="0" applyFill="1"/>
    <xf numFmtId="167" fontId="1" fillId="4" borderId="0" xfId="2" applyNumberFormat="1" applyFont="1" applyFill="1" applyAlignment="1" applyProtection="1">
      <alignment vertical="top"/>
      <protection locked="0"/>
    </xf>
    <xf numFmtId="0" fontId="3" fillId="0" borderId="19" xfId="9" applyFont="1" applyBorder="1" applyAlignment="1">
      <alignment horizontal="left" vertical="top" wrapText="1"/>
    </xf>
    <xf numFmtId="0" fontId="24" fillId="10" borderId="47" xfId="9" quotePrefix="1" applyFont="1" applyFill="1" applyBorder="1" applyAlignment="1"/>
    <xf numFmtId="0" fontId="24" fillId="10" borderId="48" xfId="9" quotePrefix="1" applyFont="1" applyFill="1" applyBorder="1" applyAlignment="1"/>
    <xf numFmtId="171" fontId="24" fillId="10" borderId="46" xfId="9" applyNumberFormat="1" applyFont="1" applyFill="1" applyBorder="1"/>
    <xf numFmtId="10" fontId="24" fillId="10" borderId="46" xfId="9" applyNumberFormat="1" applyFont="1" applyFill="1" applyBorder="1"/>
    <xf numFmtId="171" fontId="24" fillId="10" borderId="46" xfId="2" applyNumberFormat="1" applyFont="1" applyFill="1" applyBorder="1"/>
    <xf numFmtId="0" fontId="10" fillId="0" borderId="0" xfId="9" applyFont="1"/>
    <xf numFmtId="0" fontId="3" fillId="0" borderId="25" xfId="9" applyFont="1" applyBorder="1" applyAlignment="1">
      <alignment horizontal="center" vertical="top" wrapText="1"/>
    </xf>
    <xf numFmtId="0" fontId="3" fillId="0" borderId="25" xfId="9" applyFont="1" applyBorder="1" applyAlignment="1">
      <alignment horizontal="right" vertical="top" wrapText="1"/>
    </xf>
    <xf numFmtId="171" fontId="1" fillId="0" borderId="49" xfId="9" applyNumberFormat="1" applyBorder="1"/>
    <xf numFmtId="172" fontId="1" fillId="0" borderId="0" xfId="9" applyNumberFormat="1"/>
    <xf numFmtId="0" fontId="3" fillId="0" borderId="19" xfId="9" applyFont="1" applyBorder="1" applyAlignment="1">
      <alignment horizontal="left" vertical="top" wrapText="1"/>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1" fillId="0" borderId="0" xfId="0" applyFont="1" applyAlignment="1">
      <alignment horizontal="center" vertical="top" wrapText="1"/>
    </xf>
    <xf numFmtId="0" fontId="1" fillId="0" borderId="0" xfId="9" applyFont="1" applyAlignment="1">
      <alignment horizontal="left" vertical="top"/>
    </xf>
    <xf numFmtId="0" fontId="3" fillId="0" borderId="19" xfId="9" applyFont="1" applyBorder="1" applyAlignment="1">
      <alignment horizontal="left" vertical="top" wrapText="1"/>
    </xf>
    <xf numFmtId="0" fontId="1" fillId="8" borderId="39" xfId="9" applyFont="1" applyFill="1" applyBorder="1" applyAlignment="1" applyProtection="1">
      <alignment horizontal="left" vertical="top" wrapText="1"/>
      <protection locked="0"/>
    </xf>
    <xf numFmtId="0" fontId="1" fillId="8" borderId="39" xfId="9" applyFill="1" applyBorder="1" applyAlignment="1" applyProtection="1">
      <alignment horizontal="left" vertical="top" wrapText="1"/>
      <protection locked="0"/>
    </xf>
    <xf numFmtId="0" fontId="3" fillId="0" borderId="19" xfId="9" applyFont="1" applyBorder="1" applyAlignment="1">
      <alignment horizontal="center" vertical="top" wrapText="1"/>
    </xf>
    <xf numFmtId="0" fontId="1" fillId="8" borderId="39" xfId="0" applyFont="1" applyFill="1" applyBorder="1" applyAlignment="1" applyProtection="1">
      <alignment horizontal="left" vertical="top" wrapText="1"/>
      <protection locked="0"/>
    </xf>
    <xf numFmtId="0" fontId="0" fillId="8" borderId="39" xfId="0" applyFill="1" applyBorder="1" applyAlignment="1" applyProtection="1">
      <alignment horizontal="left" vertical="top" wrapText="1"/>
      <protection locked="0"/>
    </xf>
    <xf numFmtId="0" fontId="3" fillId="0" borderId="0" xfId="9" applyFont="1" applyAlignment="1">
      <alignment horizontal="left" vertical="top" wrapText="1"/>
    </xf>
    <xf numFmtId="0" fontId="53" fillId="0" borderId="0" xfId="9" applyFont="1" applyAlignment="1">
      <alignment horizontal="center"/>
    </xf>
    <xf numFmtId="0" fontId="3" fillId="0" borderId="21" xfId="9" applyFont="1" applyBorder="1" applyAlignment="1">
      <alignment horizontal="center" vertical="top"/>
    </xf>
    <xf numFmtId="0" fontId="3" fillId="0" borderId="20" xfId="9" applyFont="1" applyBorder="1" applyAlignment="1">
      <alignment horizontal="center" vertical="top"/>
    </xf>
    <xf numFmtId="0" fontId="3" fillId="0" borderId="21" xfId="9" applyFont="1" applyBorder="1" applyAlignment="1">
      <alignment horizontal="center" vertical="top" wrapText="1"/>
    </xf>
    <xf numFmtId="0" fontId="3" fillId="0" borderId="20" xfId="9" applyFont="1" applyBorder="1" applyAlignment="1">
      <alignment horizontal="center" vertical="top" wrapText="1"/>
    </xf>
    <xf numFmtId="0" fontId="3" fillId="0" borderId="22" xfId="9" applyFont="1" applyBorder="1" applyAlignment="1">
      <alignment horizontal="center" vertical="top"/>
    </xf>
    <xf numFmtId="0" fontId="3" fillId="0" borderId="23" xfId="9" applyFont="1" applyBorder="1" applyAlignment="1">
      <alignment horizontal="center" vertical="top"/>
    </xf>
    <xf numFmtId="0" fontId="3" fillId="0" borderId="24" xfId="9" applyFont="1" applyBorder="1" applyAlignment="1">
      <alignment horizontal="center" vertical="top"/>
    </xf>
    <xf numFmtId="0" fontId="3" fillId="0" borderId="0" xfId="9" applyFont="1" applyBorder="1" applyAlignment="1">
      <alignment horizontal="left" vertical="top" wrapText="1"/>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5">
    <dxf>
      <font>
        <condense val="0"/>
        <extend val="0"/>
        <color indexed="9"/>
      </font>
      <border>
        <top/>
      </border>
    </dxf>
    <dxf>
      <font>
        <condense val="0"/>
        <extend val="0"/>
        <color indexed="9"/>
      </font>
      <border>
        <top/>
      </border>
    </dxf>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9457495" cy="1938337"/>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8170562"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9447970" cy="1919287"/>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9481308" cy="193357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901238"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57263" y="7696200"/>
          <a:ext cx="2824162" cy="319088"/>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10186988" cy="1924049"/>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9153525" cy="193357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829674"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5737" y="0"/>
          <a:ext cx="9991726" cy="1924049"/>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620125" cy="1924049"/>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A2" zoomScaleNormal="100" zoomScaleSheetLayoutView="100" workbookViewId="0">
      <selection activeCell="R13" sqref="R13"/>
    </sheetView>
  </sheetViews>
  <sheetFormatPr defaultColWidth="9.1328125" defaultRowHeight="12.75" x14ac:dyDescent="0.35"/>
  <cols>
    <col min="1" max="22" width="9.1328125" style="5"/>
    <col min="23" max="25" width="0" style="5" hidden="1" customWidth="1"/>
    <col min="26" max="26" width="3.3984375" style="280" hidden="1" customWidth="1"/>
    <col min="27" max="27" width="46.59765625" style="280" hidden="1" customWidth="1"/>
    <col min="28" max="28" width="42.86328125" style="280" hidden="1" customWidth="1"/>
    <col min="29" max="29" width="16.3984375" style="280" hidden="1" customWidth="1"/>
    <col min="30" max="30" width="13.3984375" style="280" hidden="1" customWidth="1"/>
    <col min="31" max="31" width="13.86328125" style="281" customWidth="1"/>
    <col min="32" max="32" width="24.59765625" style="281" customWidth="1"/>
    <col min="33" max="16384" width="9.1328125" style="5"/>
  </cols>
  <sheetData>
    <row r="1" spans="3:33" x14ac:dyDescent="0.35">
      <c r="C1" s="516"/>
      <c r="D1" s="516"/>
      <c r="E1" s="516"/>
      <c r="F1" s="516"/>
      <c r="G1" s="516"/>
      <c r="H1" s="516"/>
      <c r="I1" s="516"/>
      <c r="J1" s="516"/>
      <c r="K1" s="516"/>
      <c r="L1" s="516"/>
      <c r="M1" s="516"/>
      <c r="AC1" s="280" t="str">
        <f>IF('3. Data_Input_Sheet'!M12=0, "", '3. Data_Input_Sheet'!M12)</f>
        <v>Application Update</v>
      </c>
    </row>
    <row r="2" spans="3:33" x14ac:dyDescent="0.35">
      <c r="C2" s="516"/>
      <c r="D2" s="516"/>
      <c r="E2" s="516"/>
      <c r="F2" s="516"/>
      <c r="G2" s="516"/>
      <c r="H2" s="516"/>
      <c r="I2" s="516"/>
      <c r="J2" s="516"/>
      <c r="K2" s="516"/>
      <c r="L2" s="516"/>
      <c r="M2" s="516"/>
      <c r="AE2" s="280"/>
      <c r="AF2" s="280"/>
      <c r="AG2" s="280"/>
    </row>
    <row r="3" spans="3:33" x14ac:dyDescent="0.35">
      <c r="C3" s="516"/>
      <c r="D3" s="516"/>
      <c r="E3" s="516"/>
      <c r="F3" s="516"/>
      <c r="G3" s="516"/>
      <c r="H3" s="516"/>
      <c r="I3" s="516"/>
      <c r="J3" s="516"/>
      <c r="K3" s="516"/>
      <c r="L3" s="516"/>
      <c r="M3" s="516"/>
    </row>
    <row r="4" spans="3:33" x14ac:dyDescent="0.35">
      <c r="C4" s="516"/>
      <c r="D4" s="516"/>
      <c r="E4" s="516"/>
      <c r="F4" s="516"/>
      <c r="G4" s="516"/>
      <c r="H4" s="516"/>
      <c r="I4" s="516"/>
      <c r="J4" s="516"/>
      <c r="K4" s="516"/>
      <c r="L4" s="516"/>
      <c r="M4" s="516"/>
    </row>
    <row r="11" spans="3:33" ht="13.9" x14ac:dyDescent="0.4">
      <c r="P11" s="371" t="s">
        <v>253</v>
      </c>
      <c r="Q11" s="372">
        <v>4</v>
      </c>
    </row>
    <row r="15" spans="3:33" ht="13.15" thickBot="1" x14ac:dyDescent="0.4"/>
    <row r="16" spans="3:33" ht="29.25" customHeight="1" thickTop="1" thickBot="1" x14ac:dyDescent="0.4">
      <c r="F16" s="375" t="s">
        <v>254</v>
      </c>
      <c r="G16" s="522" t="s">
        <v>193</v>
      </c>
      <c r="H16" s="523"/>
      <c r="I16" s="523"/>
      <c r="J16" s="523"/>
      <c r="K16" s="523"/>
      <c r="L16" s="523"/>
      <c r="M16" s="524"/>
    </row>
    <row r="17" spans="2:32" ht="13.15" thickBot="1" x14ac:dyDescent="0.4">
      <c r="F17" s="376"/>
      <c r="G17" s="200"/>
      <c r="H17" s="201"/>
      <c r="I17" s="200"/>
      <c r="J17" s="200"/>
      <c r="K17" s="200"/>
    </row>
    <row r="18" spans="2:32" ht="14.65" thickTop="1" thickBot="1" x14ac:dyDescent="0.4">
      <c r="F18" s="377" t="s">
        <v>255</v>
      </c>
      <c r="G18" s="525" t="s">
        <v>287</v>
      </c>
      <c r="H18" s="526"/>
      <c r="I18" s="526"/>
      <c r="J18" s="526"/>
      <c r="K18" s="527"/>
    </row>
    <row r="19" spans="2:32" ht="13.9" thickBot="1" x14ac:dyDescent="0.4">
      <c r="F19" s="378"/>
    </row>
    <row r="20" spans="2:32" ht="16.149999999999999" thickTop="1" thickBot="1" x14ac:dyDescent="0.5">
      <c r="C20" s="282"/>
      <c r="F20" s="377" t="s">
        <v>256</v>
      </c>
      <c r="G20" s="528" t="s">
        <v>289</v>
      </c>
      <c r="H20" s="529"/>
      <c r="I20" s="529"/>
      <c r="J20" s="529"/>
      <c r="K20" s="530"/>
      <c r="Z20" s="283"/>
      <c r="AA20" s="283" t="s">
        <v>221</v>
      </c>
      <c r="AB20" s="283"/>
      <c r="AC20" s="283"/>
      <c r="AD20" s="283"/>
      <c r="AE20" s="284"/>
      <c r="AF20" s="284"/>
    </row>
    <row r="21" spans="2:32" ht="13.9" thickBot="1" x14ac:dyDescent="0.4">
      <c r="F21" s="378"/>
      <c r="Z21" s="280">
        <v>1</v>
      </c>
      <c r="AA21" s="380" t="s">
        <v>162</v>
      </c>
      <c r="AE21" s="286"/>
      <c r="AF21" s="287"/>
    </row>
    <row r="22" spans="2:32" ht="16.149999999999999" thickTop="1" thickBot="1" x14ac:dyDescent="0.5">
      <c r="B22" s="514"/>
      <c r="C22" s="514"/>
      <c r="D22" s="30"/>
      <c r="F22" s="377" t="s">
        <v>257</v>
      </c>
      <c r="G22" s="528" t="s">
        <v>284</v>
      </c>
      <c r="H22" s="529"/>
      <c r="I22" s="529"/>
      <c r="J22" s="529"/>
      <c r="K22" s="530"/>
      <c r="Z22" s="280">
        <v>2</v>
      </c>
      <c r="AA22" s="380" t="s">
        <v>163</v>
      </c>
      <c r="AE22" s="286"/>
      <c r="AF22" s="287"/>
    </row>
    <row r="23" spans="2:32" ht="15.75" thickBot="1" x14ac:dyDescent="0.5">
      <c r="B23" s="30"/>
      <c r="C23" s="373"/>
      <c r="D23" s="30"/>
      <c r="F23" s="379"/>
      <c r="G23" s="200"/>
      <c r="H23" s="201"/>
      <c r="I23" s="200"/>
      <c r="J23" s="200"/>
      <c r="K23" s="200"/>
      <c r="Z23" s="280">
        <v>3</v>
      </c>
      <c r="AA23" s="380" t="s">
        <v>260</v>
      </c>
      <c r="AE23" s="286"/>
      <c r="AF23" s="287"/>
    </row>
    <row r="24" spans="2:32" ht="16.149999999999999" thickTop="1" thickBot="1" x14ac:dyDescent="0.5">
      <c r="B24" s="514"/>
      <c r="C24" s="514"/>
      <c r="D24" s="30"/>
      <c r="F24" s="375" t="s">
        <v>258</v>
      </c>
      <c r="G24" s="528" t="s">
        <v>285</v>
      </c>
      <c r="H24" s="529"/>
      <c r="I24" s="529"/>
      <c r="J24" s="529"/>
      <c r="K24" s="530"/>
      <c r="Z24" s="280">
        <v>4</v>
      </c>
      <c r="AA24" s="380" t="s">
        <v>261</v>
      </c>
      <c r="AE24" s="286"/>
      <c r="AF24" s="287"/>
    </row>
    <row r="25" spans="2:32" ht="15.75" thickBot="1" x14ac:dyDescent="0.5">
      <c r="B25" s="30"/>
      <c r="C25" s="373"/>
      <c r="D25" s="30"/>
      <c r="F25" s="379"/>
      <c r="G25" s="200"/>
      <c r="H25" s="201"/>
      <c r="I25" s="200"/>
      <c r="J25" s="200"/>
      <c r="K25" s="200"/>
      <c r="Z25" s="280">
        <v>5</v>
      </c>
      <c r="AA25" s="380" t="s">
        <v>262</v>
      </c>
      <c r="AE25" s="286"/>
      <c r="AF25" s="287"/>
    </row>
    <row r="26" spans="2:32" ht="16.149999999999999" thickTop="1" thickBot="1" x14ac:dyDescent="0.5">
      <c r="B26" s="514"/>
      <c r="C26" s="514"/>
      <c r="D26" s="514"/>
      <c r="F26" s="375" t="s">
        <v>259</v>
      </c>
      <c r="G26" s="519" t="s">
        <v>286</v>
      </c>
      <c r="H26" s="520"/>
      <c r="I26" s="520"/>
      <c r="J26" s="520"/>
      <c r="K26" s="521"/>
      <c r="Z26" s="280">
        <v>6</v>
      </c>
      <c r="AA26" s="380" t="s">
        <v>164</v>
      </c>
      <c r="AE26" s="286"/>
      <c r="AF26" s="287"/>
    </row>
    <row r="27" spans="2:32" ht="15.4" x14ac:dyDescent="0.45">
      <c r="B27" s="30"/>
      <c r="C27" s="373"/>
      <c r="D27" s="30"/>
      <c r="E27" s="374"/>
      <c r="F27" s="30"/>
      <c r="G27" s="30"/>
      <c r="H27" s="30"/>
      <c r="I27" s="30"/>
      <c r="J27" s="30"/>
      <c r="Z27" s="280">
        <v>7</v>
      </c>
      <c r="AA27" s="380" t="s">
        <v>165</v>
      </c>
      <c r="AE27" s="286"/>
      <c r="AF27" s="287"/>
    </row>
    <row r="28" spans="2:32" ht="15.4" x14ac:dyDescent="0.45">
      <c r="B28" s="514"/>
      <c r="C28" s="514"/>
      <c r="D28" s="514"/>
      <c r="E28" s="517"/>
      <c r="F28" s="518"/>
      <c r="G28" s="518"/>
      <c r="H28" s="518"/>
      <c r="I28" s="518"/>
      <c r="J28" s="518"/>
      <c r="Z28" s="280">
        <v>8</v>
      </c>
      <c r="AA28" s="380" t="s">
        <v>263</v>
      </c>
      <c r="AE28" s="286"/>
      <c r="AF28" s="287"/>
    </row>
    <row r="29" spans="2:32" ht="25.5" x14ac:dyDescent="0.35">
      <c r="B29" s="30"/>
      <c r="C29" s="30"/>
      <c r="D29" s="30"/>
      <c r="E29" s="30"/>
      <c r="F29" s="30"/>
      <c r="G29" s="30"/>
      <c r="H29" s="30"/>
      <c r="I29" s="30"/>
      <c r="J29" s="30"/>
      <c r="Z29" s="280">
        <v>9</v>
      </c>
      <c r="AA29" s="380" t="s">
        <v>264</v>
      </c>
      <c r="AE29" s="286"/>
      <c r="AF29" s="287"/>
    </row>
    <row r="30" spans="2:32" x14ac:dyDescent="0.35">
      <c r="Z30" s="280">
        <v>10</v>
      </c>
      <c r="AA30" s="380" t="s">
        <v>166</v>
      </c>
      <c r="AE30" s="286"/>
      <c r="AF30" s="287"/>
    </row>
    <row r="31" spans="2:32" x14ac:dyDescent="0.35">
      <c r="Z31" s="280">
        <v>11</v>
      </c>
      <c r="AA31" s="380" t="s">
        <v>167</v>
      </c>
      <c r="AE31" s="286"/>
      <c r="AF31" s="287"/>
    </row>
    <row r="32" spans="2:32" x14ac:dyDescent="0.35">
      <c r="Z32" s="280">
        <v>12</v>
      </c>
      <c r="AA32" s="380" t="s">
        <v>265</v>
      </c>
      <c r="AE32" s="286"/>
      <c r="AF32" s="287"/>
    </row>
    <row r="33" spans="2:32" x14ac:dyDescent="0.35">
      <c r="Z33" s="280">
        <v>13</v>
      </c>
      <c r="AA33" s="380" t="s">
        <v>168</v>
      </c>
      <c r="AE33" s="286"/>
      <c r="AF33" s="287"/>
    </row>
    <row r="34" spans="2:32" x14ac:dyDescent="0.35">
      <c r="Z34" s="280">
        <v>14</v>
      </c>
      <c r="AA34" s="380" t="s">
        <v>169</v>
      </c>
      <c r="AE34" s="286"/>
      <c r="AF34" s="287"/>
    </row>
    <row r="35" spans="2:32" x14ac:dyDescent="0.35">
      <c r="B35" s="515"/>
      <c r="C35" s="515"/>
      <c r="D35" s="515"/>
      <c r="E35" s="515"/>
      <c r="F35" s="515"/>
      <c r="G35" s="515"/>
      <c r="H35" s="515"/>
      <c r="I35" s="515"/>
      <c r="J35" s="515"/>
      <c r="K35" s="515"/>
      <c r="L35" s="515"/>
      <c r="Z35" s="280">
        <v>15</v>
      </c>
      <c r="AA35" s="380" t="s">
        <v>170</v>
      </c>
      <c r="AE35" s="286"/>
      <c r="AF35" s="287"/>
    </row>
    <row r="36" spans="2:32" x14ac:dyDescent="0.35">
      <c r="B36" s="515"/>
      <c r="C36" s="515"/>
      <c r="D36" s="515"/>
      <c r="E36" s="515"/>
      <c r="F36" s="515"/>
      <c r="G36" s="515"/>
      <c r="H36" s="515"/>
      <c r="I36" s="515"/>
      <c r="J36" s="515"/>
      <c r="K36" s="515"/>
      <c r="L36" s="515"/>
      <c r="Z36" s="280">
        <v>16</v>
      </c>
      <c r="AA36" s="380" t="s">
        <v>266</v>
      </c>
      <c r="AE36" s="286"/>
      <c r="AF36" s="287"/>
    </row>
    <row r="37" spans="2:32" x14ac:dyDescent="0.35">
      <c r="B37" s="515"/>
      <c r="C37" s="515"/>
      <c r="D37" s="515"/>
      <c r="E37" s="515"/>
      <c r="F37" s="515"/>
      <c r="G37" s="515"/>
      <c r="H37" s="515"/>
      <c r="I37" s="515"/>
      <c r="J37" s="515"/>
      <c r="K37" s="515"/>
      <c r="L37" s="515"/>
      <c r="Z37" s="280">
        <v>17</v>
      </c>
      <c r="AA37" s="380" t="s">
        <v>171</v>
      </c>
      <c r="AE37" s="286"/>
      <c r="AF37" s="287"/>
    </row>
    <row r="38" spans="2:32" x14ac:dyDescent="0.35">
      <c r="B38" s="515"/>
      <c r="C38" s="515"/>
      <c r="D38" s="515"/>
      <c r="E38" s="515"/>
      <c r="F38" s="515"/>
      <c r="G38" s="515"/>
      <c r="H38" s="515"/>
      <c r="I38" s="515"/>
      <c r="J38" s="515"/>
      <c r="K38" s="515"/>
      <c r="L38" s="515"/>
      <c r="Z38" s="280">
        <v>18</v>
      </c>
      <c r="AA38" s="380" t="s">
        <v>267</v>
      </c>
      <c r="AE38" s="286"/>
      <c r="AF38" s="287"/>
    </row>
    <row r="39" spans="2:32" x14ac:dyDescent="0.35">
      <c r="B39" s="515"/>
      <c r="C39" s="515"/>
      <c r="D39" s="515"/>
      <c r="E39" s="515"/>
      <c r="F39" s="515"/>
      <c r="G39" s="515"/>
      <c r="H39" s="515"/>
      <c r="I39" s="515"/>
      <c r="J39" s="515"/>
      <c r="K39" s="515"/>
      <c r="L39" s="515"/>
      <c r="Z39" s="280">
        <v>19</v>
      </c>
      <c r="AA39" s="380" t="s">
        <v>172</v>
      </c>
      <c r="AE39" s="286"/>
      <c r="AF39" s="287"/>
    </row>
    <row r="40" spans="2:32" ht="12" customHeight="1" x14ac:dyDescent="0.35">
      <c r="B40" s="515"/>
      <c r="C40" s="515"/>
      <c r="D40" s="515"/>
      <c r="E40" s="515"/>
      <c r="F40" s="515"/>
      <c r="G40" s="515"/>
      <c r="H40" s="515"/>
      <c r="I40" s="515"/>
      <c r="J40" s="515"/>
      <c r="K40" s="515"/>
      <c r="L40" s="515"/>
      <c r="Z40" s="280">
        <v>20</v>
      </c>
      <c r="AA40" s="380" t="s">
        <v>173</v>
      </c>
      <c r="AE40" s="286"/>
      <c r="AF40" s="287"/>
    </row>
    <row r="41" spans="2:32" x14ac:dyDescent="0.35">
      <c r="B41" s="515"/>
      <c r="C41" s="515"/>
      <c r="D41" s="515"/>
      <c r="E41" s="515"/>
      <c r="F41" s="515"/>
      <c r="G41" s="515"/>
      <c r="H41" s="515"/>
      <c r="I41" s="515"/>
      <c r="J41" s="515"/>
      <c r="K41" s="515"/>
      <c r="L41" s="515"/>
      <c r="Z41" s="280">
        <v>21</v>
      </c>
      <c r="AA41" s="380" t="s">
        <v>174</v>
      </c>
      <c r="AE41" s="286"/>
      <c r="AF41" s="287"/>
    </row>
    <row r="42" spans="2:32" x14ac:dyDescent="0.35">
      <c r="Z42" s="280">
        <v>22</v>
      </c>
      <c r="AA42" s="380" t="s">
        <v>214</v>
      </c>
      <c r="AE42" s="286"/>
      <c r="AF42" s="287"/>
    </row>
    <row r="43" spans="2:32" x14ac:dyDescent="0.35">
      <c r="Z43" s="280">
        <v>23</v>
      </c>
      <c r="AA43" s="380" t="s">
        <v>175</v>
      </c>
      <c r="AE43" s="286"/>
      <c r="AF43" s="287"/>
    </row>
    <row r="44" spans="2:32" x14ac:dyDescent="0.35">
      <c r="Z44" s="280">
        <v>24</v>
      </c>
      <c r="AA44" s="380" t="s">
        <v>215</v>
      </c>
      <c r="AE44" s="286"/>
      <c r="AF44" s="287"/>
    </row>
    <row r="45" spans="2:32" x14ac:dyDescent="0.35">
      <c r="Z45" s="280">
        <v>25</v>
      </c>
      <c r="AA45" s="380" t="s">
        <v>216</v>
      </c>
      <c r="AE45" s="286"/>
      <c r="AF45" s="287"/>
    </row>
    <row r="46" spans="2:32" x14ac:dyDescent="0.35">
      <c r="Z46" s="280">
        <v>26</v>
      </c>
      <c r="AA46" s="380" t="s">
        <v>176</v>
      </c>
      <c r="AE46" s="286"/>
      <c r="AF46" s="287"/>
    </row>
    <row r="47" spans="2:32" x14ac:dyDescent="0.35">
      <c r="Z47" s="280">
        <v>27</v>
      </c>
      <c r="AA47" s="380" t="s">
        <v>177</v>
      </c>
      <c r="AE47" s="286"/>
      <c r="AF47" s="287"/>
    </row>
    <row r="48" spans="2:32" x14ac:dyDescent="0.35">
      <c r="Z48" s="280">
        <v>28</v>
      </c>
      <c r="AA48" s="380" t="s">
        <v>178</v>
      </c>
      <c r="AE48" s="286"/>
      <c r="AF48" s="287"/>
    </row>
    <row r="49" spans="2:32" x14ac:dyDescent="0.35">
      <c r="B49" s="288"/>
      <c r="C49" s="288"/>
      <c r="D49" s="288"/>
      <c r="Z49" s="280">
        <v>29</v>
      </c>
      <c r="AA49" s="380" t="s">
        <v>268</v>
      </c>
      <c r="AE49" s="286"/>
      <c r="AF49" s="287"/>
    </row>
    <row r="50" spans="2:32" x14ac:dyDescent="0.35">
      <c r="Z50" s="280">
        <v>30</v>
      </c>
      <c r="AA50" s="380" t="s">
        <v>179</v>
      </c>
      <c r="AE50" s="286"/>
      <c r="AF50" s="287"/>
    </row>
    <row r="51" spans="2:32" x14ac:dyDescent="0.35">
      <c r="Z51" s="280">
        <v>31</v>
      </c>
      <c r="AA51" s="380" t="s">
        <v>180</v>
      </c>
      <c r="AE51" s="286"/>
      <c r="AF51" s="287"/>
    </row>
    <row r="52" spans="2:32" x14ac:dyDescent="0.35">
      <c r="Z52" s="280">
        <v>32</v>
      </c>
      <c r="AA52" s="380" t="s">
        <v>181</v>
      </c>
      <c r="AE52" s="286"/>
      <c r="AF52" s="287"/>
    </row>
    <row r="53" spans="2:32" x14ac:dyDescent="0.35">
      <c r="Z53" s="280">
        <v>33</v>
      </c>
      <c r="AA53" s="380" t="s">
        <v>182</v>
      </c>
      <c r="AE53" s="286"/>
      <c r="AF53" s="287"/>
    </row>
    <row r="54" spans="2:32" x14ac:dyDescent="0.35">
      <c r="Z54" s="280">
        <v>34</v>
      </c>
      <c r="AA54" s="380" t="s">
        <v>269</v>
      </c>
      <c r="AE54" s="286"/>
      <c r="AF54" s="287"/>
    </row>
    <row r="55" spans="2:32" x14ac:dyDescent="0.35">
      <c r="Z55" s="280">
        <v>35</v>
      </c>
      <c r="AA55" s="380" t="s">
        <v>270</v>
      </c>
      <c r="AE55" s="286"/>
      <c r="AF55" s="287"/>
    </row>
    <row r="56" spans="2:32" x14ac:dyDescent="0.35">
      <c r="Z56" s="280">
        <v>36</v>
      </c>
      <c r="AA56" s="380" t="s">
        <v>217</v>
      </c>
      <c r="AE56" s="286"/>
      <c r="AF56" s="287"/>
    </row>
    <row r="57" spans="2:32" x14ac:dyDescent="0.35">
      <c r="Z57" s="280">
        <v>37</v>
      </c>
      <c r="AA57" s="380" t="s">
        <v>271</v>
      </c>
      <c r="AE57" s="286"/>
      <c r="AF57" s="287"/>
    </row>
    <row r="58" spans="2:32" x14ac:dyDescent="0.35">
      <c r="Z58" s="280">
        <v>38</v>
      </c>
      <c r="AA58" s="380" t="s">
        <v>218</v>
      </c>
      <c r="AE58" s="286"/>
      <c r="AF58" s="287"/>
    </row>
    <row r="59" spans="2:32" x14ac:dyDescent="0.35">
      <c r="Z59" s="280">
        <v>39</v>
      </c>
      <c r="AA59" s="380" t="s">
        <v>183</v>
      </c>
      <c r="AE59" s="286"/>
      <c r="AF59" s="287"/>
    </row>
    <row r="60" spans="2:32" x14ac:dyDescent="0.35">
      <c r="Z60" s="280">
        <v>40</v>
      </c>
      <c r="AA60" s="380" t="s">
        <v>184</v>
      </c>
      <c r="AE60" s="286"/>
      <c r="AF60" s="287"/>
    </row>
    <row r="61" spans="2:32" x14ac:dyDescent="0.35">
      <c r="Z61" s="280">
        <v>41</v>
      </c>
      <c r="AA61" s="380" t="s">
        <v>185</v>
      </c>
      <c r="AE61" s="286"/>
      <c r="AF61" s="287"/>
    </row>
    <row r="62" spans="2:32" x14ac:dyDescent="0.35">
      <c r="Z62" s="280">
        <v>42</v>
      </c>
      <c r="AA62" s="380" t="s">
        <v>186</v>
      </c>
      <c r="AE62" s="286"/>
      <c r="AF62" s="287"/>
    </row>
    <row r="63" spans="2:32" x14ac:dyDescent="0.35">
      <c r="Z63" s="280">
        <v>43</v>
      </c>
      <c r="AA63" s="380" t="s">
        <v>219</v>
      </c>
      <c r="AE63" s="286"/>
      <c r="AF63" s="287"/>
    </row>
    <row r="64" spans="2:32" x14ac:dyDescent="0.35">
      <c r="Z64" s="280">
        <v>44</v>
      </c>
      <c r="AA64" s="380" t="s">
        <v>187</v>
      </c>
      <c r="AE64" s="286"/>
      <c r="AF64" s="287"/>
    </row>
    <row r="65" spans="26:32" x14ac:dyDescent="0.35">
      <c r="Z65" s="280">
        <v>45</v>
      </c>
      <c r="AA65" s="380" t="s">
        <v>188</v>
      </c>
      <c r="AE65" s="286"/>
      <c r="AF65" s="287"/>
    </row>
    <row r="66" spans="26:32" x14ac:dyDescent="0.35">
      <c r="Z66" s="280">
        <v>46</v>
      </c>
      <c r="AA66" s="380" t="s">
        <v>272</v>
      </c>
      <c r="AE66" s="286"/>
      <c r="AF66" s="287"/>
    </row>
    <row r="67" spans="26:32" x14ac:dyDescent="0.35">
      <c r="Z67" s="280">
        <v>47</v>
      </c>
      <c r="AA67" s="380" t="s">
        <v>273</v>
      </c>
      <c r="AE67" s="286"/>
      <c r="AF67" s="287"/>
    </row>
    <row r="68" spans="26:32" x14ac:dyDescent="0.35">
      <c r="Z68" s="280">
        <v>48</v>
      </c>
      <c r="AA68" s="380" t="s">
        <v>274</v>
      </c>
      <c r="AE68" s="286"/>
      <c r="AF68" s="287"/>
    </row>
    <row r="69" spans="26:32" x14ac:dyDescent="0.35">
      <c r="Z69" s="280">
        <v>49</v>
      </c>
      <c r="AA69" s="380" t="s">
        <v>189</v>
      </c>
      <c r="AE69" s="286"/>
      <c r="AF69" s="287"/>
    </row>
    <row r="70" spans="26:32" x14ac:dyDescent="0.35">
      <c r="Z70" s="280">
        <v>50</v>
      </c>
      <c r="AA70" s="380" t="s">
        <v>275</v>
      </c>
      <c r="AE70" s="286"/>
      <c r="AF70" s="287"/>
    </row>
    <row r="71" spans="26:32" x14ac:dyDescent="0.35">
      <c r="Z71" s="280">
        <v>51</v>
      </c>
      <c r="AA71" s="380" t="s">
        <v>190</v>
      </c>
      <c r="AE71" s="286"/>
      <c r="AF71" s="287"/>
    </row>
    <row r="72" spans="26:32" x14ac:dyDescent="0.35">
      <c r="Z72" s="280">
        <v>52</v>
      </c>
      <c r="AA72" s="380" t="s">
        <v>191</v>
      </c>
      <c r="AE72" s="286"/>
      <c r="AF72" s="287"/>
    </row>
    <row r="73" spans="26:32" x14ac:dyDescent="0.35">
      <c r="Z73" s="280">
        <v>53</v>
      </c>
      <c r="AA73" s="380" t="s">
        <v>276</v>
      </c>
      <c r="AE73" s="286"/>
      <c r="AF73" s="287"/>
    </row>
    <row r="74" spans="26:32" x14ac:dyDescent="0.35">
      <c r="Z74" s="280">
        <v>54</v>
      </c>
      <c r="AA74" s="380" t="s">
        <v>192</v>
      </c>
      <c r="AE74" s="286"/>
      <c r="AF74" s="287"/>
    </row>
    <row r="75" spans="26:32" x14ac:dyDescent="0.35">
      <c r="Z75" s="280">
        <v>55</v>
      </c>
      <c r="AA75" s="380" t="s">
        <v>277</v>
      </c>
      <c r="AE75" s="286"/>
      <c r="AF75" s="287"/>
    </row>
    <row r="76" spans="26:32" x14ac:dyDescent="0.35">
      <c r="Z76" s="280">
        <v>56</v>
      </c>
      <c r="AA76" s="380" t="s">
        <v>193</v>
      </c>
      <c r="AE76" s="286"/>
      <c r="AF76" s="287"/>
    </row>
    <row r="77" spans="26:32" x14ac:dyDescent="0.35">
      <c r="Z77" s="280">
        <v>57</v>
      </c>
      <c r="AA77" s="380" t="s">
        <v>194</v>
      </c>
      <c r="AE77" s="286"/>
      <c r="AF77" s="287"/>
    </row>
    <row r="78" spans="26:32" x14ac:dyDescent="0.35">
      <c r="Z78" s="280">
        <v>58</v>
      </c>
      <c r="AA78" s="380" t="s">
        <v>195</v>
      </c>
      <c r="AE78" s="286"/>
      <c r="AF78" s="287"/>
    </row>
    <row r="79" spans="26:32" x14ac:dyDescent="0.35">
      <c r="Z79" s="280">
        <v>59</v>
      </c>
      <c r="AA79" s="380" t="s">
        <v>278</v>
      </c>
      <c r="AE79" s="286"/>
      <c r="AF79" s="287"/>
    </row>
    <row r="80" spans="26:32" x14ac:dyDescent="0.35">
      <c r="Z80" s="280">
        <v>60</v>
      </c>
      <c r="AA80" s="380" t="s">
        <v>196</v>
      </c>
      <c r="AE80" s="286"/>
      <c r="AF80" s="287"/>
    </row>
    <row r="81" spans="26:32" x14ac:dyDescent="0.35">
      <c r="Z81" s="280">
        <v>61</v>
      </c>
      <c r="AA81" s="381" t="s">
        <v>197</v>
      </c>
      <c r="AE81" s="286"/>
      <c r="AF81" s="287"/>
    </row>
    <row r="82" spans="26:32" x14ac:dyDescent="0.35">
      <c r="Z82" s="280">
        <v>62</v>
      </c>
      <c r="AA82" s="380" t="s">
        <v>198</v>
      </c>
      <c r="AE82" s="286"/>
      <c r="AF82" s="287"/>
    </row>
    <row r="83" spans="26:32" x14ac:dyDescent="0.35">
      <c r="Z83" s="280">
        <v>63</v>
      </c>
      <c r="AA83" s="380" t="s">
        <v>199</v>
      </c>
      <c r="AE83" s="286"/>
      <c r="AF83" s="287"/>
    </row>
    <row r="84" spans="26:32" x14ac:dyDescent="0.35">
      <c r="Z84" s="280">
        <v>64</v>
      </c>
      <c r="AA84" s="380" t="s">
        <v>200</v>
      </c>
      <c r="AE84" s="286"/>
      <c r="AF84" s="287"/>
    </row>
    <row r="85" spans="26:32" x14ac:dyDescent="0.35">
      <c r="Z85" s="280">
        <v>65</v>
      </c>
      <c r="AA85" s="380" t="s">
        <v>202</v>
      </c>
      <c r="AE85" s="286"/>
      <c r="AF85" s="287"/>
    </row>
    <row r="86" spans="26:32" x14ac:dyDescent="0.35">
      <c r="Z86" s="280">
        <v>66</v>
      </c>
      <c r="AA86" s="380" t="s">
        <v>201</v>
      </c>
      <c r="AE86" s="287"/>
      <c r="AF86" s="287"/>
    </row>
    <row r="87" spans="26:32" x14ac:dyDescent="0.35">
      <c r="Z87" s="280">
        <v>67</v>
      </c>
      <c r="AA87" s="380" t="s">
        <v>203</v>
      </c>
      <c r="AE87" s="287"/>
      <c r="AF87" s="287"/>
    </row>
    <row r="88" spans="26:32" x14ac:dyDescent="0.35">
      <c r="Z88" s="280">
        <v>68</v>
      </c>
      <c r="AA88" s="380" t="s">
        <v>204</v>
      </c>
      <c r="AE88" s="287"/>
      <c r="AF88" s="287"/>
    </row>
    <row r="89" spans="26:32" x14ac:dyDescent="0.35">
      <c r="Z89" s="280">
        <v>69</v>
      </c>
      <c r="AA89" s="380" t="s">
        <v>220</v>
      </c>
      <c r="AE89" s="287"/>
      <c r="AF89" s="287"/>
    </row>
    <row r="90" spans="26:32" x14ac:dyDescent="0.35">
      <c r="Z90" s="280">
        <v>70</v>
      </c>
      <c r="AA90" s="380" t="s">
        <v>205</v>
      </c>
      <c r="AE90" s="287"/>
      <c r="AF90" s="287"/>
    </row>
    <row r="91" spans="26:32" x14ac:dyDescent="0.35">
      <c r="Z91" s="280">
        <v>71</v>
      </c>
      <c r="AA91" s="380" t="s">
        <v>206</v>
      </c>
      <c r="AE91" s="287"/>
      <c r="AF91" s="287"/>
    </row>
    <row r="92" spans="26:32" x14ac:dyDescent="0.35">
      <c r="Z92" s="280">
        <v>72</v>
      </c>
      <c r="AA92" s="380" t="s">
        <v>207</v>
      </c>
      <c r="AE92" s="287"/>
      <c r="AF92" s="287"/>
    </row>
    <row r="93" spans="26:32" x14ac:dyDescent="0.35">
      <c r="Z93" s="280">
        <v>73</v>
      </c>
      <c r="AA93" s="380" t="s">
        <v>208</v>
      </c>
      <c r="AE93" s="287"/>
      <c r="AF93" s="287"/>
    </row>
    <row r="94" spans="26:32" x14ac:dyDescent="0.35">
      <c r="Z94" s="280">
        <v>74</v>
      </c>
      <c r="AA94" s="380" t="s">
        <v>209</v>
      </c>
      <c r="AE94" s="287"/>
      <c r="AF94" s="287"/>
    </row>
    <row r="95" spans="26:32" x14ac:dyDescent="0.35">
      <c r="Z95" s="280">
        <v>75</v>
      </c>
      <c r="AA95" s="380" t="s">
        <v>210</v>
      </c>
      <c r="AE95" s="287"/>
      <c r="AF95" s="287"/>
    </row>
    <row r="96" spans="26:32" x14ac:dyDescent="0.35">
      <c r="Z96" s="280">
        <v>76</v>
      </c>
      <c r="AA96" s="380" t="s">
        <v>211</v>
      </c>
      <c r="AE96" s="287"/>
      <c r="AF96" s="287"/>
    </row>
    <row r="97" spans="26:32" x14ac:dyDescent="0.35">
      <c r="Z97" s="280">
        <v>77</v>
      </c>
      <c r="AA97" s="380" t="s">
        <v>212</v>
      </c>
      <c r="AE97" s="287"/>
      <c r="AF97" s="287"/>
    </row>
    <row r="98" spans="26:32" x14ac:dyDescent="0.35">
      <c r="Z98" s="280">
        <v>78</v>
      </c>
      <c r="AA98" s="380" t="s">
        <v>213</v>
      </c>
      <c r="AE98" s="287"/>
      <c r="AF98" s="287"/>
    </row>
    <row r="99" spans="26:32" ht="14.25" x14ac:dyDescent="0.45">
      <c r="AA99" s="270"/>
      <c r="AB99" s="285"/>
      <c r="AE99" s="287"/>
      <c r="AF99" s="287"/>
    </row>
    <row r="100" spans="26:32" ht="14.25" x14ac:dyDescent="0.45">
      <c r="AA100" s="270"/>
      <c r="AB100" s="285"/>
      <c r="AE100" s="287"/>
      <c r="AF100" s="287"/>
    </row>
    <row r="101" spans="26:32" ht="14.25" x14ac:dyDescent="0.45">
      <c r="AA101" s="270"/>
      <c r="AB101" s="285"/>
      <c r="AE101" s="287"/>
      <c r="AF101" s="287"/>
    </row>
    <row r="102" spans="26:32" ht="14.25" x14ac:dyDescent="0.45">
      <c r="AA102" s="270"/>
      <c r="AB102" s="285"/>
      <c r="AE102" s="287"/>
      <c r="AF102" s="287"/>
    </row>
    <row r="103" spans="26:32" ht="14.25" x14ac:dyDescent="0.45">
      <c r="AA103" s="270"/>
      <c r="AB103" s="285"/>
      <c r="AE103" s="287"/>
      <c r="AF103" s="287"/>
    </row>
    <row r="104" spans="26:32" ht="14.25" x14ac:dyDescent="0.45">
      <c r="AA104" s="270"/>
      <c r="AB104" s="285"/>
      <c r="AE104" s="287"/>
      <c r="AF104" s="287"/>
    </row>
    <row r="105" spans="26:32" ht="14.25" x14ac:dyDescent="0.45">
      <c r="AA105" s="270"/>
      <c r="AB105" s="285"/>
      <c r="AE105" s="287"/>
      <c r="AF105" s="287"/>
    </row>
    <row r="106" spans="26:32" ht="14.25" x14ac:dyDescent="0.45">
      <c r="AA106" s="270"/>
      <c r="AB106" s="285"/>
      <c r="AE106" s="287"/>
      <c r="AF106" s="287"/>
    </row>
    <row r="107" spans="26:32" ht="14.25" x14ac:dyDescent="0.4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33"/>
  <sheetViews>
    <sheetView tabSelected="1" topLeftCell="A16" workbookViewId="0">
      <pane xSplit="3" ySplit="4" topLeftCell="D93" activePane="bottomRight" state="frozen"/>
      <selection activeCell="A16" sqref="A16"/>
      <selection pane="topRight" activeCell="D16" sqref="D16"/>
      <selection pane="bottomLeft" activeCell="A20" sqref="A20"/>
      <selection pane="bottomRight" activeCell="F222" sqref="F222"/>
    </sheetView>
  </sheetViews>
  <sheetFormatPr defaultColWidth="9.1328125" defaultRowHeight="12.75" x14ac:dyDescent="0.35"/>
  <cols>
    <col min="1" max="1" width="3.265625" style="409" bestFit="1" customWidth="1"/>
    <col min="2" max="2" width="15" style="409" customWidth="1"/>
    <col min="3" max="3" width="51.59765625" style="409" customWidth="1"/>
    <col min="4" max="4" width="11.265625" style="409" customWidth="1"/>
    <col min="5" max="5" width="12.86328125" style="409" customWidth="1"/>
    <col min="6" max="7" width="11.86328125" style="409" customWidth="1"/>
    <col min="8" max="8" width="11.265625" style="409" customWidth="1"/>
    <col min="9" max="9" width="12.59765625" style="409" bestFit="1" customWidth="1"/>
    <col min="10" max="10" width="10.59765625" style="409" customWidth="1"/>
    <col min="11" max="11" width="10.86328125" style="409" customWidth="1"/>
    <col min="12" max="12" width="13.265625" style="409" customWidth="1"/>
    <col min="13" max="13" width="10.86328125" style="409" customWidth="1"/>
    <col min="14" max="14" width="12.3984375" style="409" customWidth="1"/>
    <col min="15" max="15" width="12.86328125" style="409" customWidth="1"/>
    <col min="16" max="16" width="5.73046875" style="409" hidden="1" customWidth="1"/>
    <col min="17" max="18" width="0" style="409" hidden="1" customWidth="1"/>
    <col min="19" max="16384" width="9.1328125" style="409"/>
  </cols>
  <sheetData>
    <row r="2" spans="2:15" x14ac:dyDescent="0.35">
      <c r="I2" s="410"/>
      <c r="J2" s="410"/>
      <c r="K2" s="410"/>
      <c r="L2" s="410"/>
      <c r="M2" s="410"/>
      <c r="N2" s="410"/>
      <c r="O2" s="410"/>
    </row>
    <row r="3" spans="2:15" x14ac:dyDescent="0.35">
      <c r="I3" s="411"/>
      <c r="J3" s="411"/>
      <c r="K3" s="411"/>
      <c r="L3" s="411"/>
      <c r="M3" s="411"/>
      <c r="N3" s="411"/>
      <c r="O3" s="411"/>
    </row>
    <row r="4" spans="2:15" x14ac:dyDescent="0.35">
      <c r="I4" s="411"/>
      <c r="J4" s="411"/>
      <c r="K4" s="411"/>
      <c r="L4" s="411"/>
      <c r="M4" s="411"/>
      <c r="N4" s="411"/>
      <c r="O4" s="411"/>
    </row>
    <row r="5" spans="2:15" x14ac:dyDescent="0.35">
      <c r="I5" s="412"/>
      <c r="J5" s="412"/>
      <c r="K5" s="412"/>
      <c r="L5" s="412"/>
      <c r="M5" s="412"/>
      <c r="N5" s="412"/>
      <c r="O5" s="412"/>
    </row>
    <row r="6" spans="2:15" x14ac:dyDescent="0.35">
      <c r="I6" s="412"/>
      <c r="J6" s="412"/>
      <c r="K6" s="412"/>
      <c r="L6" s="412"/>
      <c r="M6" s="412"/>
      <c r="N6" s="412"/>
      <c r="O6" s="412"/>
    </row>
    <row r="7" spans="2:15" x14ac:dyDescent="0.35">
      <c r="I7" s="412"/>
      <c r="J7" s="412"/>
      <c r="K7" s="412"/>
      <c r="L7" s="412"/>
      <c r="M7" s="412"/>
      <c r="N7" s="412"/>
      <c r="O7" s="412"/>
    </row>
    <row r="8" spans="2:15" x14ac:dyDescent="0.35">
      <c r="I8" s="412"/>
      <c r="J8" s="412"/>
      <c r="K8" s="412"/>
      <c r="L8" s="412"/>
      <c r="M8" s="412"/>
      <c r="N8" s="412"/>
      <c r="O8" s="412"/>
    </row>
    <row r="9" spans="2:15" x14ac:dyDescent="0.35">
      <c r="I9" s="412"/>
      <c r="J9" s="412"/>
      <c r="K9" s="412"/>
      <c r="L9" s="412"/>
      <c r="M9" s="412"/>
      <c r="N9" s="412"/>
      <c r="O9" s="412"/>
    </row>
    <row r="10" spans="2:15" x14ac:dyDescent="0.35">
      <c r="I10" s="412"/>
      <c r="J10" s="412"/>
      <c r="K10" s="412"/>
      <c r="L10" s="412"/>
      <c r="M10" s="412"/>
      <c r="N10" s="412"/>
      <c r="O10" s="412"/>
    </row>
    <row r="11" spans="2:15" x14ac:dyDescent="0.35">
      <c r="I11" s="412"/>
      <c r="J11" s="412"/>
      <c r="K11" s="412"/>
      <c r="L11" s="412"/>
      <c r="M11" s="412"/>
      <c r="N11" s="412"/>
      <c r="O11" s="412"/>
    </row>
    <row r="14" spans="2:15" ht="17.649999999999999" x14ac:dyDescent="0.5">
      <c r="B14" s="413" t="s">
        <v>290</v>
      </c>
    </row>
    <row r="15" spans="2:15" ht="83.25" customHeight="1" x14ac:dyDescent="0.35">
      <c r="B15" s="631" t="s">
        <v>291</v>
      </c>
      <c r="C15" s="631"/>
      <c r="D15" s="631"/>
      <c r="E15" s="631"/>
      <c r="F15" s="631"/>
      <c r="G15" s="631"/>
      <c r="H15" s="631"/>
      <c r="I15" s="631"/>
      <c r="J15" s="631"/>
      <c r="K15" s="631"/>
      <c r="L15" s="631"/>
      <c r="M15" s="631"/>
      <c r="N15" s="631"/>
      <c r="O15" s="631"/>
    </row>
    <row r="16" spans="2:15" ht="22.15" x14ac:dyDescent="0.55000000000000004">
      <c r="B16" s="632" t="s">
        <v>311</v>
      </c>
      <c r="C16" s="632"/>
      <c r="D16" s="632"/>
      <c r="E16" s="632"/>
      <c r="F16" s="632"/>
      <c r="G16" s="632"/>
      <c r="H16" s="632"/>
      <c r="I16" s="632"/>
      <c r="J16" s="632"/>
      <c r="K16" s="632"/>
      <c r="L16" s="632"/>
      <c r="M16" s="632"/>
      <c r="N16" s="632"/>
      <c r="O16" s="632"/>
    </row>
    <row r="17" spans="1:17" ht="15.4" thickBot="1" x14ac:dyDescent="0.45">
      <c r="B17" s="414"/>
      <c r="C17" s="415"/>
      <c r="D17" s="415"/>
      <c r="E17" s="415"/>
      <c r="F17" s="415"/>
      <c r="G17" s="415"/>
      <c r="H17" s="415"/>
      <c r="I17" s="415"/>
      <c r="J17" s="415"/>
      <c r="K17" s="415"/>
      <c r="L17" s="415"/>
      <c r="M17" s="415"/>
      <c r="N17" s="415"/>
      <c r="O17" s="415"/>
    </row>
    <row r="18" spans="1:17" ht="13.9" thickTop="1" thickBot="1" x14ac:dyDescent="0.4">
      <c r="A18" s="416"/>
      <c r="B18" s="466"/>
      <c r="C18" s="417"/>
      <c r="D18" s="633" t="s">
        <v>89</v>
      </c>
      <c r="E18" s="634"/>
      <c r="F18" s="635" t="s">
        <v>292</v>
      </c>
      <c r="G18" s="635"/>
      <c r="H18" s="636"/>
      <c r="I18" s="637" t="s">
        <v>117</v>
      </c>
      <c r="J18" s="638"/>
      <c r="K18" s="639"/>
      <c r="L18" s="633" t="s">
        <v>250</v>
      </c>
      <c r="M18" s="633"/>
      <c r="N18" s="633"/>
      <c r="O18" s="634"/>
      <c r="P18" s="418"/>
    </row>
    <row r="19" spans="1:17" ht="52.9" thickBot="1" x14ac:dyDescent="0.4">
      <c r="A19" s="416"/>
      <c r="B19" s="419" t="s">
        <v>293</v>
      </c>
      <c r="C19" s="419" t="s">
        <v>294</v>
      </c>
      <c r="D19" s="420" t="s">
        <v>295</v>
      </c>
      <c r="E19" s="421" t="s">
        <v>296</v>
      </c>
      <c r="F19" s="420" t="s">
        <v>7</v>
      </c>
      <c r="G19" s="422" t="s">
        <v>297</v>
      </c>
      <c r="H19" s="421" t="s">
        <v>298</v>
      </c>
      <c r="I19" s="423" t="s">
        <v>299</v>
      </c>
      <c r="J19" s="424" t="s">
        <v>329</v>
      </c>
      <c r="K19" s="425" t="s">
        <v>300</v>
      </c>
      <c r="L19" s="423" t="s">
        <v>301</v>
      </c>
      <c r="M19" s="422" t="s">
        <v>302</v>
      </c>
      <c r="N19" s="422" t="s">
        <v>242</v>
      </c>
      <c r="O19" s="468" t="s">
        <v>303</v>
      </c>
    </row>
    <row r="20" spans="1:17" ht="13.15" thickTop="1" x14ac:dyDescent="0.35">
      <c r="A20" s="416"/>
      <c r="B20" s="438"/>
      <c r="C20" s="416"/>
      <c r="D20" s="426"/>
      <c r="E20" s="427"/>
      <c r="F20" s="426"/>
      <c r="G20" s="428"/>
      <c r="H20" s="427"/>
      <c r="I20" s="429"/>
      <c r="J20" s="430"/>
      <c r="K20" s="431"/>
      <c r="L20" s="429"/>
      <c r="M20" s="428"/>
      <c r="N20" s="428"/>
      <c r="O20" s="431"/>
    </row>
    <row r="21" spans="1:17" ht="13.15" hidden="1" x14ac:dyDescent="0.35">
      <c r="A21" s="416"/>
      <c r="B21" s="467"/>
      <c r="C21" s="432" t="s">
        <v>304</v>
      </c>
      <c r="D21" s="433">
        <v>8122.2474481004047</v>
      </c>
      <c r="E21" s="434">
        <v>6.3890339550366548E-2</v>
      </c>
      <c r="F21" s="433">
        <v>127127.94305463674</v>
      </c>
      <c r="G21" s="435">
        <v>138074.54662917214</v>
      </c>
      <c r="H21" s="436">
        <v>17949.691061792379</v>
      </c>
      <c r="I21" s="433">
        <v>5203.0710711838192</v>
      </c>
      <c r="J21" s="435">
        <v>622.49824766910513</v>
      </c>
      <c r="K21" s="436">
        <v>12908.854408549541</v>
      </c>
      <c r="L21" s="433">
        <v>27057.622459222184</v>
      </c>
      <c r="M21" s="435">
        <v>1452.3793833112336</v>
      </c>
      <c r="N21" s="435">
        <v>25605.243075910952</v>
      </c>
      <c r="O21" s="437">
        <v>749.84611420901183</v>
      </c>
    </row>
    <row r="22" spans="1:17" hidden="1" x14ac:dyDescent="0.35">
      <c r="A22" s="418"/>
      <c r="B22" s="438"/>
      <c r="C22" s="416"/>
      <c r="D22" s="426"/>
      <c r="E22" s="427"/>
      <c r="F22" s="426"/>
      <c r="G22" s="428"/>
      <c r="H22" s="427"/>
      <c r="I22" s="426"/>
      <c r="J22" s="428"/>
      <c r="K22" s="427"/>
      <c r="L22" s="426"/>
      <c r="M22" s="428"/>
      <c r="N22" s="428"/>
      <c r="O22" s="416"/>
    </row>
    <row r="23" spans="1:17" hidden="1" x14ac:dyDescent="0.35">
      <c r="A23" s="625">
        <v>1</v>
      </c>
      <c r="B23" s="629" t="s">
        <v>315</v>
      </c>
      <c r="C23" s="462" t="s">
        <v>305</v>
      </c>
      <c r="D23" s="440">
        <v>8152.582175329906</v>
      </c>
      <c r="E23" s="441">
        <v>6.3874571350261616E-2</v>
      </c>
      <c r="F23" s="440">
        <v>127634.23695831213</v>
      </c>
      <c r="G23" s="442">
        <v>138074.54662917214</v>
      </c>
      <c r="H23" s="443">
        <v>17949.691061792379</v>
      </c>
      <c r="I23" s="440">
        <v>5230.6448278174812</v>
      </c>
      <c r="J23" s="444">
        <v>633.89086177631759</v>
      </c>
      <c r="K23" s="443">
        <v>12908.854408549541</v>
      </c>
      <c r="L23" s="440">
        <v>27126.923557192567</v>
      </c>
      <c r="M23" s="442">
        <v>1451.6683833112336</v>
      </c>
      <c r="N23" s="444">
        <v>25675.255173881334</v>
      </c>
      <c r="O23" s="445">
        <v>799.7105705404507</v>
      </c>
      <c r="Q23" s="409" t="str">
        <f>IF(AND(ISBLANK(B23), ISBLANK(C23)), "X", "")</f>
        <v/>
      </c>
    </row>
    <row r="24" spans="1:17" hidden="1" x14ac:dyDescent="0.35">
      <c r="A24" s="625"/>
      <c r="B24" s="630"/>
      <c r="C24" s="463" t="s">
        <v>306</v>
      </c>
      <c r="D24" s="447">
        <f>IF(D23="","",D23-D21)</f>
        <v>30.334727229501368</v>
      </c>
      <c r="E24" s="448">
        <f t="shared" ref="E24:O24" si="0">IF(E23="","",E23-E21)</f>
        <v>-1.5768200104931962E-5</v>
      </c>
      <c r="F24" s="447">
        <f t="shared" si="0"/>
        <v>506.293903675396</v>
      </c>
      <c r="G24" s="449">
        <f t="shared" si="0"/>
        <v>0</v>
      </c>
      <c r="H24" s="450">
        <f t="shared" si="0"/>
        <v>0</v>
      </c>
      <c r="I24" s="447">
        <f t="shared" si="0"/>
        <v>27.573756633662015</v>
      </c>
      <c r="J24" s="449">
        <f t="shared" si="0"/>
        <v>11.392614107212466</v>
      </c>
      <c r="K24" s="451">
        <f t="shared" si="0"/>
        <v>0</v>
      </c>
      <c r="L24" s="447">
        <f t="shared" si="0"/>
        <v>69.301097970383125</v>
      </c>
      <c r="M24" s="449">
        <f t="shared" si="0"/>
        <v>-0.71100000000001273</v>
      </c>
      <c r="N24" s="449">
        <f t="shared" si="0"/>
        <v>70.012097970382456</v>
      </c>
      <c r="O24" s="452">
        <f t="shared" si="0"/>
        <v>49.864456331438873</v>
      </c>
    </row>
    <row r="25" spans="1:17" hidden="1" x14ac:dyDescent="0.35">
      <c r="A25" s="625"/>
      <c r="B25" s="465"/>
      <c r="C25" s="464"/>
      <c r="D25" s="426"/>
      <c r="E25" s="427"/>
      <c r="F25" s="426"/>
      <c r="G25" s="428"/>
      <c r="H25" s="427"/>
      <c r="I25" s="426"/>
      <c r="J25" s="428"/>
      <c r="K25" s="427"/>
      <c r="L25" s="426"/>
      <c r="M25" s="428"/>
      <c r="N25" s="428"/>
      <c r="O25" s="416"/>
    </row>
    <row r="26" spans="1:17" hidden="1" x14ac:dyDescent="0.35">
      <c r="A26" s="625">
        <v>2</v>
      </c>
      <c r="B26" s="630" t="s">
        <v>316</v>
      </c>
      <c r="C26" s="462" t="s">
        <v>312</v>
      </c>
      <c r="D26" s="440">
        <v>8152.7370224780534</v>
      </c>
      <c r="E26" s="441">
        <v>6.3875784560383259E-2</v>
      </c>
      <c r="F26" s="440">
        <v>127634.23695831213</v>
      </c>
      <c r="G26" s="442">
        <v>138074.54662917214</v>
      </c>
      <c r="H26" s="443">
        <v>17949.691061792379</v>
      </c>
      <c r="I26" s="440">
        <v>5230.6448278174812</v>
      </c>
      <c r="J26" s="444">
        <v>572.33831972062035</v>
      </c>
      <c r="K26" s="443">
        <v>12908.854408549541</v>
      </c>
      <c r="L26" s="440">
        <v>27065.525862285016</v>
      </c>
      <c r="M26" s="442">
        <v>1451.6683833112336</v>
      </c>
      <c r="N26" s="444">
        <v>25613.857478973783</v>
      </c>
      <c r="O26" s="445">
        <v>777.57941259093604</v>
      </c>
      <c r="Q26" s="409" t="str">
        <f t="shared" ref="Q26" si="1">IF(AND(ISBLANK(B26), ISBLANK(C26)), "X", "")</f>
        <v/>
      </c>
    </row>
    <row r="27" spans="1:17" hidden="1" x14ac:dyDescent="0.35">
      <c r="A27" s="625"/>
      <c r="B27" s="630"/>
      <c r="C27" s="463" t="s">
        <v>306</v>
      </c>
      <c r="D27" s="447">
        <f>IF(D26="","",D26-D23)</f>
        <v>0.15484714814738254</v>
      </c>
      <c r="E27" s="448">
        <f t="shared" ref="E27:O27" si="2">IF(E26="","",E26-E23)</f>
        <v>1.2132101216422164E-6</v>
      </c>
      <c r="F27" s="447">
        <f t="shared" si="2"/>
        <v>0</v>
      </c>
      <c r="G27" s="449">
        <f t="shared" si="2"/>
        <v>0</v>
      </c>
      <c r="H27" s="450">
        <f t="shared" si="2"/>
        <v>0</v>
      </c>
      <c r="I27" s="447">
        <f t="shared" si="2"/>
        <v>0</v>
      </c>
      <c r="J27" s="449">
        <f t="shared" si="2"/>
        <v>-61.552542055697245</v>
      </c>
      <c r="K27" s="451">
        <f t="shared" si="2"/>
        <v>0</v>
      </c>
      <c r="L27" s="447">
        <f t="shared" si="2"/>
        <v>-61.39769490755134</v>
      </c>
      <c r="M27" s="449">
        <f t="shared" si="2"/>
        <v>0</v>
      </c>
      <c r="N27" s="449">
        <f t="shared" si="2"/>
        <v>-61.39769490755134</v>
      </c>
      <c r="O27" s="452">
        <f t="shared" si="2"/>
        <v>-22.131157949514659</v>
      </c>
    </row>
    <row r="28" spans="1:17" hidden="1" x14ac:dyDescent="0.35">
      <c r="A28" s="625"/>
      <c r="B28" s="465"/>
      <c r="C28" s="464"/>
      <c r="D28" s="426"/>
      <c r="E28" s="427"/>
      <c r="F28" s="426"/>
      <c r="G28" s="428"/>
      <c r="H28" s="427"/>
      <c r="I28" s="426"/>
      <c r="J28" s="428"/>
      <c r="K28" s="427"/>
      <c r="L28" s="426"/>
      <c r="M28" s="428"/>
      <c r="N28" s="428"/>
      <c r="O28" s="416"/>
    </row>
    <row r="29" spans="1:17" hidden="1" x14ac:dyDescent="0.35">
      <c r="A29" s="625">
        <v>3</v>
      </c>
      <c r="B29" s="630" t="s">
        <v>317</v>
      </c>
      <c r="C29" s="462" t="s">
        <v>313</v>
      </c>
      <c r="D29" s="440">
        <v>8151.3327756742901</v>
      </c>
      <c r="E29" s="441">
        <v>6.3859136005674555E-2</v>
      </c>
      <c r="F29" s="440">
        <v>127645.52240340298</v>
      </c>
      <c r="G29" s="442">
        <v>138161.35774525569</v>
      </c>
      <c r="H29" s="443">
        <v>17960.976506883242</v>
      </c>
      <c r="I29" s="440">
        <v>5230.6448278174812</v>
      </c>
      <c r="J29" s="444">
        <v>645.95572066117415</v>
      </c>
      <c r="K29" s="443">
        <v>12995.665524633081</v>
      </c>
      <c r="L29" s="440">
        <v>27224.550132505348</v>
      </c>
      <c r="M29" s="442">
        <v>1451.6683833112336</v>
      </c>
      <c r="N29" s="444">
        <v>25772.881749194115</v>
      </c>
      <c r="O29" s="445">
        <v>752.0175034510828</v>
      </c>
      <c r="Q29" s="409" t="str">
        <f t="shared" ref="Q29" si="3">IF(AND(ISBLANK(B29), ISBLANK(C29)), "X", "")</f>
        <v/>
      </c>
    </row>
    <row r="30" spans="1:17" hidden="1" x14ac:dyDescent="0.35">
      <c r="A30" s="625"/>
      <c r="B30" s="630"/>
      <c r="C30" s="463" t="s">
        <v>306</v>
      </c>
      <c r="D30" s="447">
        <f>IF(D29="","",D29-D26)</f>
        <v>-1.4042468037632716</v>
      </c>
      <c r="E30" s="448">
        <f t="shared" ref="E30:O30" si="4">IF(E29="","",E29-E26)</f>
        <v>-1.6648554708703633E-5</v>
      </c>
      <c r="F30" s="447">
        <f t="shared" si="4"/>
        <v>11.285445090848953</v>
      </c>
      <c r="G30" s="449">
        <f t="shared" si="4"/>
        <v>86.811116083554225</v>
      </c>
      <c r="H30" s="450">
        <f t="shared" si="4"/>
        <v>11.285445090863504</v>
      </c>
      <c r="I30" s="447">
        <f t="shared" si="4"/>
        <v>0</v>
      </c>
      <c r="J30" s="449">
        <f t="shared" si="4"/>
        <v>73.617400940553807</v>
      </c>
      <c r="K30" s="451">
        <f t="shared" si="4"/>
        <v>86.811116083539673</v>
      </c>
      <c r="L30" s="447">
        <f t="shared" si="4"/>
        <v>159.02427022033226</v>
      </c>
      <c r="M30" s="449">
        <f t="shared" si="4"/>
        <v>0</v>
      </c>
      <c r="N30" s="449">
        <f t="shared" si="4"/>
        <v>159.02427022033226</v>
      </c>
      <c r="O30" s="452">
        <f t="shared" si="4"/>
        <v>-25.561909139853242</v>
      </c>
    </row>
    <row r="31" spans="1:17" hidden="1" x14ac:dyDescent="0.35">
      <c r="A31" s="625"/>
      <c r="B31" s="465"/>
      <c r="C31" s="464"/>
      <c r="D31" s="426"/>
      <c r="E31" s="427"/>
      <c r="F31" s="426"/>
      <c r="G31" s="428"/>
      <c r="H31" s="427"/>
      <c r="I31" s="426"/>
      <c r="J31" s="428"/>
      <c r="K31" s="427"/>
      <c r="L31" s="426"/>
      <c r="M31" s="428"/>
      <c r="N31" s="428"/>
      <c r="O31" s="416"/>
    </row>
    <row r="32" spans="1:17" hidden="1" x14ac:dyDescent="0.35">
      <c r="A32" s="625">
        <v>4</v>
      </c>
      <c r="B32" s="630" t="s">
        <v>318</v>
      </c>
      <c r="C32" s="462" t="s">
        <v>314</v>
      </c>
      <c r="D32" s="440">
        <v>8159.0768272123705</v>
      </c>
      <c r="E32" s="441">
        <v>6.3860691170039133E-2</v>
      </c>
      <c r="F32" s="440">
        <v>127763.67868439673</v>
      </c>
      <c r="G32" s="442">
        <v>139070.25221443831</v>
      </c>
      <c r="H32" s="443">
        <v>18079.132787876981</v>
      </c>
      <c r="I32" s="440">
        <v>5230.6448278174812</v>
      </c>
      <c r="J32" s="444">
        <v>647.5344837099509</v>
      </c>
      <c r="K32" s="443">
        <v>12995.665524633081</v>
      </c>
      <c r="L32" s="440">
        <v>27233.872947092204</v>
      </c>
      <c r="M32" s="442">
        <v>1448.2861410787477</v>
      </c>
      <c r="N32" s="444">
        <v>25785.586806013456</v>
      </c>
      <c r="O32" s="445">
        <v>763.63053369606041</v>
      </c>
      <c r="Q32" s="409" t="str">
        <f t="shared" ref="Q32" si="5">IF(AND(ISBLANK(B32), ISBLANK(C32)), "X", "")</f>
        <v/>
      </c>
    </row>
    <row r="33" spans="1:21" hidden="1" x14ac:dyDescent="0.35">
      <c r="A33" s="625"/>
      <c r="B33" s="630"/>
      <c r="C33" s="463" t="s">
        <v>306</v>
      </c>
      <c r="D33" s="447">
        <f>IF(D32="","",D32-D29)</f>
        <v>7.7440515380803845</v>
      </c>
      <c r="E33" s="448">
        <f t="shared" ref="E33:O33" si="6">IF(E32="","",E32-E29)</f>
        <v>1.5551643645778102E-6</v>
      </c>
      <c r="F33" s="447">
        <f t="shared" si="6"/>
        <v>118.1562809937459</v>
      </c>
      <c r="G33" s="449">
        <f t="shared" si="6"/>
        <v>908.8944691826182</v>
      </c>
      <c r="H33" s="450">
        <f t="shared" si="6"/>
        <v>118.15628099373862</v>
      </c>
      <c r="I33" s="447">
        <f t="shared" si="6"/>
        <v>0</v>
      </c>
      <c r="J33" s="449">
        <f t="shared" si="6"/>
        <v>1.5787630487767501</v>
      </c>
      <c r="K33" s="451">
        <f t="shared" si="6"/>
        <v>0</v>
      </c>
      <c r="L33" s="447">
        <f t="shared" si="6"/>
        <v>9.3228145868561114</v>
      </c>
      <c r="M33" s="449">
        <f t="shared" si="6"/>
        <v>-3.3822422324858508</v>
      </c>
      <c r="N33" s="449">
        <f t="shared" si="6"/>
        <v>12.705056819340825</v>
      </c>
      <c r="O33" s="452">
        <f t="shared" si="6"/>
        <v>11.613030244977608</v>
      </c>
    </row>
    <row r="34" spans="1:21" hidden="1" x14ac:dyDescent="0.35">
      <c r="A34" s="625"/>
      <c r="B34" s="465"/>
      <c r="C34" s="464"/>
      <c r="D34" s="426"/>
      <c r="E34" s="427"/>
      <c r="F34" s="426"/>
      <c r="G34" s="428"/>
      <c r="H34" s="427"/>
      <c r="I34" s="426"/>
      <c r="J34" s="428"/>
      <c r="K34" s="427"/>
      <c r="L34" s="426"/>
      <c r="M34" s="428"/>
      <c r="N34" s="428"/>
      <c r="O34" s="416"/>
    </row>
    <row r="35" spans="1:21" ht="38.25" hidden="1" x14ac:dyDescent="0.35">
      <c r="A35" s="625">
        <v>5</v>
      </c>
      <c r="B35" s="629" t="s">
        <v>319</v>
      </c>
      <c r="C35" s="462" t="s">
        <v>320</v>
      </c>
      <c r="D35" s="440">
        <v>8572.9670560860905</v>
      </c>
      <c r="E35" s="441">
        <v>6.4045381153741546E-2</v>
      </c>
      <c r="F35" s="440">
        <v>133857.69436685217</v>
      </c>
      <c r="G35" s="442">
        <v>139070.25221443831</v>
      </c>
      <c r="H35" s="443">
        <v>18079.132787876981</v>
      </c>
      <c r="I35" s="440">
        <v>5316.309701479965</v>
      </c>
      <c r="J35" s="444">
        <v>572.3888815014941</v>
      </c>
      <c r="K35" s="443">
        <v>12995.665524633081</v>
      </c>
      <c r="L35" s="440">
        <v>27658.282447419948</v>
      </c>
      <c r="M35" s="442">
        <v>1448.2861410787477</v>
      </c>
      <c r="N35" s="444">
        <v>26209.9963063412</v>
      </c>
      <c r="O35" s="445">
        <v>1325.6999768010171</v>
      </c>
      <c r="Q35" s="409" t="str">
        <f t="shared" ref="Q35" si="7">IF(AND(ISBLANK(B35), ISBLANK(C35)), "X", "")</f>
        <v/>
      </c>
    </row>
    <row r="36" spans="1:21" hidden="1" x14ac:dyDescent="0.35">
      <c r="A36" s="625"/>
      <c r="B36" s="630"/>
      <c r="C36" s="463" t="s">
        <v>306</v>
      </c>
      <c r="D36" s="447">
        <f>IF(D35="","",D35-D32)</f>
        <v>413.89022887371993</v>
      </c>
      <c r="E36" s="448">
        <f t="shared" ref="E36:O36" si="8">IF(E35="","",E35-E32)</f>
        <v>1.8468998370241296E-4</v>
      </c>
      <c r="F36" s="447">
        <f t="shared" si="8"/>
        <v>6094.0156824554433</v>
      </c>
      <c r="G36" s="449">
        <f t="shared" si="8"/>
        <v>0</v>
      </c>
      <c r="H36" s="450">
        <f t="shared" si="8"/>
        <v>0</v>
      </c>
      <c r="I36" s="447">
        <f t="shared" si="8"/>
        <v>85.664873662483842</v>
      </c>
      <c r="J36" s="449">
        <f t="shared" si="8"/>
        <v>-75.145602208456808</v>
      </c>
      <c r="K36" s="451">
        <f t="shared" si="8"/>
        <v>0</v>
      </c>
      <c r="L36" s="447">
        <f t="shared" si="8"/>
        <v>424.40950032774344</v>
      </c>
      <c r="M36" s="449">
        <f t="shared" si="8"/>
        <v>0</v>
      </c>
      <c r="N36" s="449">
        <f t="shared" si="8"/>
        <v>424.40950032774344</v>
      </c>
      <c r="O36" s="452">
        <f t="shared" si="8"/>
        <v>562.06944310495669</v>
      </c>
    </row>
    <row r="37" spans="1:21" hidden="1" x14ac:dyDescent="0.35">
      <c r="A37" s="625"/>
      <c r="B37" s="438"/>
      <c r="C37" s="416"/>
      <c r="D37" s="426"/>
      <c r="E37" s="427"/>
      <c r="F37" s="426"/>
      <c r="G37" s="428"/>
      <c r="H37" s="427"/>
      <c r="I37" s="426"/>
      <c r="J37" s="428"/>
      <c r="K37" s="427"/>
      <c r="L37" s="426"/>
      <c r="M37" s="428"/>
      <c r="N37" s="428"/>
      <c r="O37" s="416"/>
    </row>
    <row r="38" spans="1:21" hidden="1" x14ac:dyDescent="0.35">
      <c r="A38" s="625">
        <v>6</v>
      </c>
      <c r="B38" s="629" t="s">
        <v>323</v>
      </c>
      <c r="C38" s="439" t="s">
        <v>321</v>
      </c>
      <c r="D38" s="440">
        <v>8578.3435504205681</v>
      </c>
      <c r="E38" s="441">
        <v>6.404506913479506E-2</v>
      </c>
      <c r="F38" s="440">
        <v>133942.29511042932</v>
      </c>
      <c r="G38" s="442">
        <v>139721.02716503156</v>
      </c>
      <c r="H38" s="443">
        <v>18163.733531454101</v>
      </c>
      <c r="I38" s="440">
        <v>5316.309701479965</v>
      </c>
      <c r="J38" s="444">
        <v>573.51837177335517</v>
      </c>
      <c r="K38" s="443">
        <v>12995.665524633081</v>
      </c>
      <c r="L38" s="440">
        <v>27664.788432026289</v>
      </c>
      <c r="M38" s="442">
        <v>1448.2861410787477</v>
      </c>
      <c r="N38" s="444">
        <v>26216.502290947541</v>
      </c>
      <c r="O38" s="445">
        <v>1383.1974993070851</v>
      </c>
      <c r="P38" s="418"/>
      <c r="Q38" s="418" t="str">
        <f t="shared" ref="Q38" si="9">IF(AND(ISBLANK(B38), ISBLANK(C38)), "X", "")</f>
        <v/>
      </c>
      <c r="R38" s="418"/>
      <c r="S38" s="418"/>
      <c r="T38" s="418"/>
      <c r="U38" s="418"/>
    </row>
    <row r="39" spans="1:21" hidden="1" x14ac:dyDescent="0.35">
      <c r="A39" s="625"/>
      <c r="B39" s="630"/>
      <c r="C39" s="446" t="s">
        <v>306</v>
      </c>
      <c r="D39" s="447">
        <f>IF(D38="","",D38-D35)</f>
        <v>5.3764943344776839</v>
      </c>
      <c r="E39" s="448">
        <f t="shared" ref="E39:O39" si="10">IF(E38="","",E38-E35)</f>
        <v>-3.1201894648558159E-7</v>
      </c>
      <c r="F39" s="447">
        <f t="shared" si="10"/>
        <v>84.600743577146204</v>
      </c>
      <c r="G39" s="449">
        <f t="shared" si="10"/>
        <v>650.77495059324428</v>
      </c>
      <c r="H39" s="450">
        <f t="shared" si="10"/>
        <v>84.600743577120738</v>
      </c>
      <c r="I39" s="447">
        <f t="shared" si="10"/>
        <v>0</v>
      </c>
      <c r="J39" s="449">
        <f t="shared" si="10"/>
        <v>1.1294902718610729</v>
      </c>
      <c r="K39" s="451">
        <f t="shared" si="10"/>
        <v>0</v>
      </c>
      <c r="L39" s="447">
        <f t="shared" si="10"/>
        <v>6.5059846063413715</v>
      </c>
      <c r="M39" s="449">
        <f t="shared" si="10"/>
        <v>0</v>
      </c>
      <c r="N39" s="449">
        <f t="shared" si="10"/>
        <v>6.5059846063413715</v>
      </c>
      <c r="O39" s="452">
        <f t="shared" si="10"/>
        <v>57.49752250606798</v>
      </c>
      <c r="P39" s="418"/>
      <c r="Q39" s="418"/>
      <c r="R39" s="418"/>
      <c r="S39" s="418"/>
      <c r="T39" s="418"/>
      <c r="U39" s="418"/>
    </row>
    <row r="40" spans="1:21" hidden="1" x14ac:dyDescent="0.35">
      <c r="A40" s="640"/>
      <c r="B40" s="465"/>
      <c r="C40" s="416"/>
      <c r="D40" s="426"/>
      <c r="E40" s="427"/>
      <c r="F40" s="426"/>
      <c r="G40" s="428"/>
      <c r="H40" s="427"/>
      <c r="I40" s="426"/>
      <c r="J40" s="428"/>
      <c r="K40" s="427"/>
      <c r="L40" s="426"/>
      <c r="M40" s="428"/>
      <c r="N40" s="428"/>
      <c r="O40" s="416"/>
      <c r="P40" s="418"/>
      <c r="Q40" s="418"/>
      <c r="R40" s="418"/>
      <c r="S40" s="418"/>
      <c r="T40" s="418"/>
      <c r="U40" s="418"/>
    </row>
    <row r="41" spans="1:21" hidden="1" x14ac:dyDescent="0.35">
      <c r="A41" s="625">
        <v>7</v>
      </c>
      <c r="B41" s="626" t="s">
        <v>322</v>
      </c>
      <c r="C41" s="439" t="s">
        <v>324</v>
      </c>
      <c r="D41" s="440">
        <v>8392.5801421746819</v>
      </c>
      <c r="E41" s="441">
        <v>6.4054678559121309E-2</v>
      </c>
      <c r="F41" s="440">
        <v>131022.12564268016</v>
      </c>
      <c r="G41" s="442">
        <v>139721.02716503156</v>
      </c>
      <c r="H41" s="443">
        <v>15243.564063704944</v>
      </c>
      <c r="I41" s="440">
        <v>5316.309701479965</v>
      </c>
      <c r="J41" s="444">
        <v>534.54157141006192</v>
      </c>
      <c r="K41" s="443">
        <v>12995.665524633081</v>
      </c>
      <c r="L41" s="440">
        <v>27440.04822341711</v>
      </c>
      <c r="M41" s="442">
        <v>1448.2861410787477</v>
      </c>
      <c r="N41" s="444">
        <v>25991.762082338362</v>
      </c>
      <c r="O41" s="445">
        <v>1355.0324964747099</v>
      </c>
      <c r="Q41" s="409" t="str">
        <f t="shared" ref="Q41" si="11">IF(AND(ISBLANK(B41), ISBLANK(C41)), "X", "")</f>
        <v/>
      </c>
    </row>
    <row r="42" spans="1:21" hidden="1" x14ac:dyDescent="0.35">
      <c r="A42" s="625"/>
      <c r="B42" s="627"/>
      <c r="C42" s="446" t="s">
        <v>306</v>
      </c>
      <c r="D42" s="447">
        <f>IF(D41="","",D41-D38)</f>
        <v>-185.76340824588624</v>
      </c>
      <c r="E42" s="448">
        <f t="shared" ref="E42:O42" si="12">IF(E41="","",E41-E38)</f>
        <v>9.6094243262484502E-6</v>
      </c>
      <c r="F42" s="447">
        <f t="shared" si="12"/>
        <v>-2920.1694677491614</v>
      </c>
      <c r="G42" s="449">
        <f t="shared" si="12"/>
        <v>0</v>
      </c>
      <c r="H42" s="450">
        <f t="shared" si="12"/>
        <v>-2920.1694677491578</v>
      </c>
      <c r="I42" s="447">
        <f t="shared" si="12"/>
        <v>0</v>
      </c>
      <c r="J42" s="449">
        <f t="shared" si="12"/>
        <v>-38.97680036329325</v>
      </c>
      <c r="K42" s="451">
        <f t="shared" si="12"/>
        <v>0</v>
      </c>
      <c r="L42" s="447">
        <f t="shared" si="12"/>
        <v>-224.74020860917881</v>
      </c>
      <c r="M42" s="449">
        <f t="shared" si="12"/>
        <v>0</v>
      </c>
      <c r="N42" s="449">
        <f t="shared" si="12"/>
        <v>-224.74020860917881</v>
      </c>
      <c r="O42" s="452">
        <f t="shared" si="12"/>
        <v>-28.165002832375194</v>
      </c>
    </row>
    <row r="43" spans="1:21" hidden="1" x14ac:dyDescent="0.35">
      <c r="A43" s="625"/>
      <c r="B43" s="438"/>
      <c r="C43" s="416"/>
      <c r="D43" s="426"/>
      <c r="E43" s="427"/>
      <c r="F43" s="426"/>
      <c r="G43" s="428"/>
      <c r="H43" s="427"/>
      <c r="I43" s="426"/>
      <c r="J43" s="428"/>
      <c r="K43" s="427"/>
      <c r="L43" s="426"/>
      <c r="M43" s="428"/>
      <c r="N43" s="428"/>
      <c r="O43" s="416"/>
    </row>
    <row r="44" spans="1:21" hidden="1" x14ac:dyDescent="0.35">
      <c r="A44" s="625">
        <v>8</v>
      </c>
      <c r="B44" s="626" t="s">
        <v>322</v>
      </c>
      <c r="C44" s="439" t="s">
        <v>325</v>
      </c>
      <c r="D44" s="440">
        <v>8397.2782305431829</v>
      </c>
      <c r="E44" s="441">
        <v>6.4054706266370623E-2</v>
      </c>
      <c r="F44" s="440">
        <v>131095.41390484592</v>
      </c>
      <c r="G44" s="442">
        <v>140392.78025546035</v>
      </c>
      <c r="H44" s="443">
        <v>15316.852325870725</v>
      </c>
      <c r="I44" s="440">
        <v>5316.309701479965</v>
      </c>
      <c r="J44" s="444">
        <v>535.51951985879418</v>
      </c>
      <c r="K44" s="443">
        <v>12995.665524633081</v>
      </c>
      <c r="L44" s="440">
        <v>27445.724260234339</v>
      </c>
      <c r="M44" s="442">
        <v>1385.1791016357251</v>
      </c>
      <c r="N44" s="444">
        <v>26060.545158598616</v>
      </c>
      <c r="O44" s="445">
        <v>1333.3222534567899</v>
      </c>
      <c r="Q44" s="409" t="str">
        <f t="shared" ref="Q44" si="13">IF(AND(ISBLANK(B44), ISBLANK(C44)), "X", "")</f>
        <v/>
      </c>
    </row>
    <row r="45" spans="1:21" hidden="1" x14ac:dyDescent="0.35">
      <c r="A45" s="625"/>
      <c r="B45" s="627"/>
      <c r="C45" s="446" t="s">
        <v>306</v>
      </c>
      <c r="D45" s="447">
        <f>IF(D44="","",D44-D41)</f>
        <v>4.6980883685009758</v>
      </c>
      <c r="E45" s="448">
        <f t="shared" ref="E45:O45" si="14">IF(E44="","",E44-E41)</f>
        <v>2.7707249314334881E-8</v>
      </c>
      <c r="F45" s="447">
        <f t="shared" si="14"/>
        <v>73.288262165762717</v>
      </c>
      <c r="G45" s="449">
        <f t="shared" si="14"/>
        <v>671.75309042879962</v>
      </c>
      <c r="H45" s="450">
        <f t="shared" si="14"/>
        <v>73.288262165780907</v>
      </c>
      <c r="I45" s="447">
        <f t="shared" si="14"/>
        <v>0</v>
      </c>
      <c r="J45" s="449">
        <f t="shared" si="14"/>
        <v>0.97794844873226339</v>
      </c>
      <c r="K45" s="451">
        <f t="shared" si="14"/>
        <v>0</v>
      </c>
      <c r="L45" s="447">
        <f t="shared" si="14"/>
        <v>5.6760368172290327</v>
      </c>
      <c r="M45" s="449">
        <f t="shared" si="14"/>
        <v>-63.107039443022586</v>
      </c>
      <c r="N45" s="449">
        <f t="shared" si="14"/>
        <v>68.783076260253438</v>
      </c>
      <c r="O45" s="452">
        <f t="shared" si="14"/>
        <v>-21.710243017919993</v>
      </c>
    </row>
    <row r="46" spans="1:21" hidden="1" x14ac:dyDescent="0.35">
      <c r="A46" s="625"/>
      <c r="B46" s="438"/>
      <c r="C46" s="416"/>
      <c r="D46" s="426"/>
      <c r="E46" s="427"/>
      <c r="F46" s="426"/>
      <c r="G46" s="428"/>
      <c r="H46" s="427"/>
      <c r="I46" s="426"/>
      <c r="J46" s="428"/>
      <c r="K46" s="427"/>
      <c r="L46" s="426"/>
      <c r="M46" s="428"/>
      <c r="N46" s="428"/>
      <c r="O46" s="416"/>
    </row>
    <row r="47" spans="1:21" ht="25.5" hidden="1" x14ac:dyDescent="0.35">
      <c r="A47" s="625">
        <v>9</v>
      </c>
      <c r="B47" s="626" t="s">
        <v>322</v>
      </c>
      <c r="C47" s="462" t="s">
        <v>326</v>
      </c>
      <c r="D47" s="440">
        <v>8392.2465837915752</v>
      </c>
      <c r="E47" s="441">
        <v>6.4055101873006573E-2</v>
      </c>
      <c r="F47" s="440">
        <v>131016.05240484593</v>
      </c>
      <c r="G47" s="442">
        <v>140392.78025546035</v>
      </c>
      <c r="H47" s="443">
        <v>15316.852325870725</v>
      </c>
      <c r="I47" s="440">
        <v>5316.309701479965</v>
      </c>
      <c r="J47" s="444">
        <v>534.46053160425004</v>
      </c>
      <c r="K47" s="443">
        <v>12995.665524633081</v>
      </c>
      <c r="L47" s="440">
        <v>27439.633625228191</v>
      </c>
      <c r="M47" s="442">
        <v>1385.1791016357251</v>
      </c>
      <c r="N47" s="444">
        <v>26054.454523592467</v>
      </c>
      <c r="O47" s="445">
        <v>1336.722816633325</v>
      </c>
      <c r="Q47" s="409" t="str">
        <f t="shared" ref="Q47" si="15">IF(AND(ISBLANK(B47), ISBLANK(C47)), "X", "")</f>
        <v/>
      </c>
    </row>
    <row r="48" spans="1:21" hidden="1" x14ac:dyDescent="0.35">
      <c r="A48" s="625"/>
      <c r="B48" s="627"/>
      <c r="C48" s="463" t="s">
        <v>306</v>
      </c>
      <c r="D48" s="447">
        <f>IF(D47="","",D47-D44)</f>
        <v>-5.0316467516076955</v>
      </c>
      <c r="E48" s="448">
        <f t="shared" ref="E48:O48" si="16">IF(E47="","",E47-E44)</f>
        <v>3.9560663595006318E-7</v>
      </c>
      <c r="F48" s="447">
        <f t="shared" si="16"/>
        <v>-79.361499999984517</v>
      </c>
      <c r="G48" s="449">
        <f t="shared" si="16"/>
        <v>0</v>
      </c>
      <c r="H48" s="450">
        <f t="shared" si="16"/>
        <v>0</v>
      </c>
      <c r="I48" s="447">
        <f t="shared" si="16"/>
        <v>0</v>
      </c>
      <c r="J48" s="449">
        <f t="shared" si="16"/>
        <v>-1.0589882545441469</v>
      </c>
      <c r="K48" s="451">
        <f t="shared" si="16"/>
        <v>0</v>
      </c>
      <c r="L48" s="447">
        <f t="shared" si="16"/>
        <v>-6.0906350061486592</v>
      </c>
      <c r="M48" s="449">
        <f t="shared" si="16"/>
        <v>0</v>
      </c>
      <c r="N48" s="449">
        <f t="shared" si="16"/>
        <v>-6.0906350061486592</v>
      </c>
      <c r="O48" s="452">
        <f t="shared" si="16"/>
        <v>3.4005631765351154</v>
      </c>
    </row>
    <row r="49" spans="1:21" hidden="1" x14ac:dyDescent="0.35">
      <c r="A49" s="625"/>
      <c r="B49" s="438"/>
      <c r="C49" s="416"/>
      <c r="D49" s="426"/>
      <c r="E49" s="427"/>
      <c r="F49" s="426"/>
      <c r="G49" s="428"/>
      <c r="H49" s="427"/>
      <c r="I49" s="426"/>
      <c r="J49" s="428"/>
      <c r="K49" s="427"/>
      <c r="L49" s="426"/>
      <c r="M49" s="428"/>
      <c r="N49" s="428"/>
      <c r="O49" s="416"/>
    </row>
    <row r="50" spans="1:21" ht="25.5" hidden="1" x14ac:dyDescent="0.35">
      <c r="A50" s="625">
        <v>10</v>
      </c>
      <c r="B50" s="626" t="s">
        <v>322</v>
      </c>
      <c r="C50" s="462" t="s">
        <v>327</v>
      </c>
      <c r="D50" s="440">
        <v>8392.5127717617124</v>
      </c>
      <c r="E50" s="441">
        <v>6.4055148531703132E-2</v>
      </c>
      <c r="F50" s="440">
        <v>131020.1125770236</v>
      </c>
      <c r="G50" s="442">
        <v>140429.99539916034</v>
      </c>
      <c r="H50" s="443">
        <v>15320.912498048394</v>
      </c>
      <c r="I50" s="440">
        <v>5316.309701479965</v>
      </c>
      <c r="J50" s="444">
        <v>534.51470954157105</v>
      </c>
      <c r="K50" s="443">
        <v>13032.88066833308</v>
      </c>
      <c r="L50" s="440">
        <v>27477.169134835647</v>
      </c>
      <c r="M50" s="442">
        <v>1385.1791016357251</v>
      </c>
      <c r="N50" s="444">
        <v>26091.990033199923</v>
      </c>
      <c r="O50" s="445">
        <v>1351.2281378491246</v>
      </c>
      <c r="Q50" s="409" t="str">
        <f t="shared" ref="Q50" si="17">IF(AND(ISBLANK(B50), ISBLANK(C50)), "X", "")</f>
        <v/>
      </c>
    </row>
    <row r="51" spans="1:21" hidden="1" x14ac:dyDescent="0.35">
      <c r="A51" s="625"/>
      <c r="B51" s="627"/>
      <c r="C51" s="463" t="s">
        <v>306</v>
      </c>
      <c r="D51" s="447">
        <f>IF(D50="","",D50-D47)</f>
        <v>0.26618797013725271</v>
      </c>
      <c r="E51" s="448">
        <f t="shared" ref="E51:O51" si="18">IF(E50="","",E50-E47)</f>
        <v>4.6658696559176427E-8</v>
      </c>
      <c r="F51" s="447">
        <f t="shared" si="18"/>
        <v>4.0601721776620252</v>
      </c>
      <c r="G51" s="449">
        <f t="shared" si="18"/>
        <v>37.215143699984765</v>
      </c>
      <c r="H51" s="450">
        <f t="shared" si="18"/>
        <v>4.0601721776693012</v>
      </c>
      <c r="I51" s="447">
        <f t="shared" si="18"/>
        <v>0</v>
      </c>
      <c r="J51" s="449">
        <f t="shared" si="18"/>
        <v>5.4177937321014724E-2</v>
      </c>
      <c r="K51" s="451">
        <f t="shared" si="18"/>
        <v>37.215143699999317</v>
      </c>
      <c r="L51" s="447">
        <f t="shared" si="18"/>
        <v>37.535509607456333</v>
      </c>
      <c r="M51" s="449">
        <f t="shared" si="18"/>
        <v>0</v>
      </c>
      <c r="N51" s="449">
        <f t="shared" si="18"/>
        <v>37.535509607456333</v>
      </c>
      <c r="O51" s="452">
        <f t="shared" si="18"/>
        <v>14.50532121579954</v>
      </c>
    </row>
    <row r="52" spans="1:21" hidden="1" x14ac:dyDescent="0.35">
      <c r="A52" s="625"/>
      <c r="B52" s="438"/>
      <c r="C52" s="416"/>
      <c r="D52" s="426"/>
      <c r="E52" s="427"/>
      <c r="F52" s="426"/>
      <c r="G52" s="428"/>
      <c r="H52" s="427"/>
      <c r="I52" s="426"/>
      <c r="J52" s="428"/>
      <c r="K52" s="427"/>
      <c r="L52" s="426"/>
      <c r="M52" s="428"/>
      <c r="N52" s="428"/>
      <c r="O52" s="416"/>
    </row>
    <row r="53" spans="1:21" ht="25.5" hidden="1" x14ac:dyDescent="0.35">
      <c r="A53" s="625">
        <v>11</v>
      </c>
      <c r="B53" s="626" t="s">
        <v>322</v>
      </c>
      <c r="C53" s="439" t="s">
        <v>328</v>
      </c>
      <c r="D53" s="440">
        <v>8047.4317992588376</v>
      </c>
      <c r="E53" s="441">
        <v>6.1421347005238935E-2</v>
      </c>
      <c r="F53" s="440">
        <v>131020.1125770236</v>
      </c>
      <c r="G53" s="442">
        <v>140429.99539916034</v>
      </c>
      <c r="H53" s="443">
        <v>15320.912498048394</v>
      </c>
      <c r="I53" s="440">
        <v>5316.309701479965</v>
      </c>
      <c r="J53" s="444">
        <v>534.51470954157105</v>
      </c>
      <c r="K53" s="443">
        <v>13032.88066833308</v>
      </c>
      <c r="L53" s="440">
        <v>27132.08816233277</v>
      </c>
      <c r="M53" s="442">
        <v>1385.1791016357251</v>
      </c>
      <c r="N53" s="444">
        <v>25746.909060697046</v>
      </c>
      <c r="O53" s="445">
        <v>1426.7970570890361</v>
      </c>
      <c r="Q53" s="409" t="str">
        <f t="shared" ref="Q53" si="19">IF(AND(ISBLANK(B53), ISBLANK(C53)), "X", "")</f>
        <v/>
      </c>
      <c r="S53" s="623" t="s">
        <v>330</v>
      </c>
      <c r="T53" s="623"/>
      <c r="U53" s="623"/>
    </row>
    <row r="54" spans="1:21" hidden="1" x14ac:dyDescent="0.35">
      <c r="A54" s="625"/>
      <c r="B54" s="627"/>
      <c r="C54" s="446" t="s">
        <v>306</v>
      </c>
      <c r="D54" s="447">
        <f>IF(D53="","",D53-D50)</f>
        <v>-345.08097250287483</v>
      </c>
      <c r="E54" s="448">
        <f t="shared" ref="E54:O54" si="20">IF(E53="","",E53-E50)</f>
        <v>-2.6338015264641967E-3</v>
      </c>
      <c r="F54" s="447">
        <f t="shared" si="20"/>
        <v>0</v>
      </c>
      <c r="G54" s="449">
        <f t="shared" si="20"/>
        <v>0</v>
      </c>
      <c r="H54" s="450">
        <f t="shared" si="20"/>
        <v>0</v>
      </c>
      <c r="I54" s="447">
        <f t="shared" si="20"/>
        <v>0</v>
      </c>
      <c r="J54" s="449">
        <f t="shared" si="20"/>
        <v>0</v>
      </c>
      <c r="K54" s="451">
        <f t="shared" si="20"/>
        <v>0</v>
      </c>
      <c r="L54" s="447">
        <f t="shared" si="20"/>
        <v>-345.08097250287756</v>
      </c>
      <c r="M54" s="449">
        <f t="shared" si="20"/>
        <v>0</v>
      </c>
      <c r="N54" s="449">
        <f t="shared" si="20"/>
        <v>-345.08097250287756</v>
      </c>
      <c r="O54" s="452">
        <f t="shared" si="20"/>
        <v>75.568919239911565</v>
      </c>
    </row>
    <row r="55" spans="1:21" hidden="1" x14ac:dyDescent="0.35">
      <c r="A55" s="625"/>
      <c r="B55" s="438"/>
      <c r="C55" s="416"/>
      <c r="D55" s="426"/>
      <c r="E55" s="427"/>
      <c r="F55" s="426"/>
      <c r="G55" s="428"/>
      <c r="H55" s="427"/>
      <c r="I55" s="426"/>
      <c r="J55" s="428"/>
      <c r="K55" s="427"/>
      <c r="L55" s="426"/>
      <c r="M55" s="428"/>
      <c r="N55" s="428"/>
      <c r="O55" s="416"/>
    </row>
    <row r="56" spans="1:21" hidden="1" x14ac:dyDescent="0.35">
      <c r="A56" s="625">
        <v>12</v>
      </c>
      <c r="B56" s="629" t="s">
        <v>333</v>
      </c>
      <c r="C56" s="462" t="s">
        <v>331</v>
      </c>
      <c r="D56" s="440">
        <v>8047.4317992588376</v>
      </c>
      <c r="E56" s="441">
        <v>6.1421347005238935E-2</v>
      </c>
      <c r="F56" s="440">
        <v>131020.1125770236</v>
      </c>
      <c r="G56" s="442">
        <v>140429.99539916034</v>
      </c>
      <c r="H56" s="443">
        <v>15320.912498048394</v>
      </c>
      <c r="I56" s="440">
        <v>5316.309701479965</v>
      </c>
      <c r="J56" s="444">
        <v>534.51470954157105</v>
      </c>
      <c r="K56" s="443">
        <v>13032.88066833308</v>
      </c>
      <c r="L56" s="440">
        <v>27132.08816233277</v>
      </c>
      <c r="M56" s="442">
        <v>1385.1791016357251</v>
      </c>
      <c r="N56" s="444">
        <v>25746.909060697046</v>
      </c>
      <c r="O56" s="445">
        <v>1429.9534385524641</v>
      </c>
      <c r="Q56" s="409" t="str">
        <f t="shared" ref="Q56" si="21">IF(AND(ISBLANK(B56), ISBLANK(C56)), "X", "")</f>
        <v/>
      </c>
    </row>
    <row r="57" spans="1:21" hidden="1" x14ac:dyDescent="0.35">
      <c r="A57" s="625"/>
      <c r="B57" s="630"/>
      <c r="C57" s="463" t="s">
        <v>306</v>
      </c>
      <c r="D57" s="447">
        <f>IF(D56="","",D56-D53)</f>
        <v>0</v>
      </c>
      <c r="E57" s="448">
        <f t="shared" ref="E57:O57" si="22">IF(E56="","",E56-E53)</f>
        <v>0</v>
      </c>
      <c r="F57" s="447">
        <f t="shared" si="22"/>
        <v>0</v>
      </c>
      <c r="G57" s="449">
        <f t="shared" si="22"/>
        <v>0</v>
      </c>
      <c r="H57" s="450">
        <f t="shared" si="22"/>
        <v>0</v>
      </c>
      <c r="I57" s="447">
        <f t="shared" si="22"/>
        <v>0</v>
      </c>
      <c r="J57" s="449">
        <f t="shared" si="22"/>
        <v>0</v>
      </c>
      <c r="K57" s="451">
        <f t="shared" si="22"/>
        <v>0</v>
      </c>
      <c r="L57" s="447">
        <f t="shared" si="22"/>
        <v>0</v>
      </c>
      <c r="M57" s="449">
        <f t="shared" si="22"/>
        <v>0</v>
      </c>
      <c r="N57" s="449">
        <f t="shared" si="22"/>
        <v>0</v>
      </c>
      <c r="O57" s="452">
        <f t="shared" si="22"/>
        <v>3.1563814634280334</v>
      </c>
    </row>
    <row r="58" spans="1:21" hidden="1" x14ac:dyDescent="0.35">
      <c r="A58" s="625"/>
      <c r="B58" s="438"/>
      <c r="C58" s="416"/>
      <c r="D58" s="426"/>
      <c r="E58" s="427"/>
      <c r="F58" s="426"/>
      <c r="G58" s="428"/>
      <c r="H58" s="427"/>
      <c r="I58" s="426"/>
      <c r="J58" s="428"/>
      <c r="K58" s="427"/>
      <c r="L58" s="426"/>
      <c r="M58" s="428"/>
      <c r="N58" s="428"/>
      <c r="O58" s="416"/>
    </row>
    <row r="59" spans="1:21" hidden="1" x14ac:dyDescent="0.35">
      <c r="A59" s="625">
        <v>13</v>
      </c>
      <c r="B59" s="629" t="s">
        <v>334</v>
      </c>
      <c r="C59" s="462" t="s">
        <v>332</v>
      </c>
      <c r="D59" s="440">
        <v>8047.4317992588376</v>
      </c>
      <c r="E59" s="441">
        <v>6.1421347005238935E-2</v>
      </c>
      <c r="F59" s="440">
        <v>131020.1125770236</v>
      </c>
      <c r="G59" s="442">
        <v>140429.99539916034</v>
      </c>
      <c r="H59" s="443">
        <v>15320.912498048394</v>
      </c>
      <c r="I59" s="440">
        <v>5316.309701479965</v>
      </c>
      <c r="J59" s="444">
        <v>534.51470954157105</v>
      </c>
      <c r="K59" s="443">
        <v>13032.88066833308</v>
      </c>
      <c r="L59" s="440">
        <v>27132.08816233277</v>
      </c>
      <c r="M59" s="442">
        <v>1429.2743545091862</v>
      </c>
      <c r="N59" s="444">
        <v>25702.813807823582</v>
      </c>
      <c r="O59" s="445">
        <v>1400.2691701137776</v>
      </c>
      <c r="Q59" s="409" t="str">
        <f t="shared" ref="Q59" si="23">IF(AND(ISBLANK(B59), ISBLANK(C59)), "X", "")</f>
        <v/>
      </c>
    </row>
    <row r="60" spans="1:21" hidden="1" x14ac:dyDescent="0.35">
      <c r="A60" s="625"/>
      <c r="B60" s="630"/>
      <c r="C60" s="463" t="s">
        <v>306</v>
      </c>
      <c r="D60" s="447">
        <f>IF(D59="","",D59-D56)</f>
        <v>0</v>
      </c>
      <c r="E60" s="448">
        <f t="shared" ref="E60:O60" si="24">IF(E59="","",E59-E56)</f>
        <v>0</v>
      </c>
      <c r="F60" s="447">
        <f t="shared" si="24"/>
        <v>0</v>
      </c>
      <c r="G60" s="449">
        <f t="shared" si="24"/>
        <v>0</v>
      </c>
      <c r="H60" s="450">
        <f t="shared" si="24"/>
        <v>0</v>
      </c>
      <c r="I60" s="447">
        <f t="shared" si="24"/>
        <v>0</v>
      </c>
      <c r="J60" s="449">
        <f t="shared" si="24"/>
        <v>0</v>
      </c>
      <c r="K60" s="451">
        <f t="shared" si="24"/>
        <v>0</v>
      </c>
      <c r="L60" s="447">
        <f t="shared" si="24"/>
        <v>0</v>
      </c>
      <c r="M60" s="449">
        <f t="shared" si="24"/>
        <v>44.09525287346105</v>
      </c>
      <c r="N60" s="449">
        <f t="shared" si="24"/>
        <v>-44.095252873463323</v>
      </c>
      <c r="O60" s="452">
        <f t="shared" si="24"/>
        <v>-29.684268438686559</v>
      </c>
    </row>
    <row r="61" spans="1:21" hidden="1" x14ac:dyDescent="0.35">
      <c r="A61" s="625"/>
      <c r="B61" s="438"/>
      <c r="C61" s="416"/>
      <c r="D61" s="426"/>
      <c r="E61" s="427"/>
      <c r="F61" s="426"/>
      <c r="G61" s="428"/>
      <c r="H61" s="427"/>
      <c r="I61" s="426"/>
      <c r="J61" s="428"/>
      <c r="K61" s="427"/>
      <c r="L61" s="426"/>
      <c r="M61" s="428"/>
      <c r="N61" s="428"/>
      <c r="O61" s="416"/>
    </row>
    <row r="62" spans="1:21" hidden="1" x14ac:dyDescent="0.35">
      <c r="A62" s="625">
        <v>14</v>
      </c>
      <c r="B62" s="629" t="s">
        <v>335</v>
      </c>
      <c r="C62" s="469" t="s">
        <v>336</v>
      </c>
      <c r="D62" s="440">
        <v>7970.6657439103692</v>
      </c>
      <c r="E62" s="441">
        <v>6.1421347005238935E-2</v>
      </c>
      <c r="F62" s="440">
        <v>129770.28561797107</v>
      </c>
      <c r="G62" s="442">
        <v>140429.99539916034</v>
      </c>
      <c r="H62" s="443">
        <v>14071.085538995865</v>
      </c>
      <c r="I62" s="440">
        <v>5316.309701479965</v>
      </c>
      <c r="J62" s="444">
        <v>517.83945226724518</v>
      </c>
      <c r="K62" s="443">
        <v>13032.88066833308</v>
      </c>
      <c r="L62" s="440">
        <v>27038.646849709978</v>
      </c>
      <c r="M62" s="442">
        <v>1429.2743545091862</v>
      </c>
      <c r="N62" s="444">
        <v>25609.372495200791</v>
      </c>
      <c r="O62" s="445">
        <v>1429.0889146961317</v>
      </c>
      <c r="Q62" s="409" t="str">
        <f t="shared" ref="Q62" si="25">IF(AND(ISBLANK(B62), ISBLANK(C62)), "X", "")</f>
        <v/>
      </c>
      <c r="S62" s="623" t="s">
        <v>337</v>
      </c>
      <c r="T62" s="623"/>
      <c r="U62" s="623"/>
    </row>
    <row r="63" spans="1:21" hidden="1" x14ac:dyDescent="0.35">
      <c r="A63" s="625"/>
      <c r="B63" s="630"/>
      <c r="C63" s="446" t="s">
        <v>306</v>
      </c>
      <c r="D63" s="447">
        <f>IF(D62="","",D62-D59)</f>
        <v>-76.766055348468399</v>
      </c>
      <c r="E63" s="448">
        <f t="shared" ref="E63:O63" si="26">IF(E62="","",E62-E59)</f>
        <v>0</v>
      </c>
      <c r="F63" s="447">
        <f t="shared" si="26"/>
        <v>-1249.8269590525306</v>
      </c>
      <c r="G63" s="449">
        <f t="shared" si="26"/>
        <v>0</v>
      </c>
      <c r="H63" s="450">
        <f t="shared" si="26"/>
        <v>-1249.8269590525288</v>
      </c>
      <c r="I63" s="447">
        <f t="shared" si="26"/>
        <v>0</v>
      </c>
      <c r="J63" s="449">
        <f t="shared" si="26"/>
        <v>-16.675257274325872</v>
      </c>
      <c r="K63" s="451">
        <f t="shared" si="26"/>
        <v>0</v>
      </c>
      <c r="L63" s="447">
        <f t="shared" si="26"/>
        <v>-93.441312622791884</v>
      </c>
      <c r="M63" s="449">
        <f t="shared" si="26"/>
        <v>0</v>
      </c>
      <c r="N63" s="449">
        <f t="shared" si="26"/>
        <v>-93.441312622791884</v>
      </c>
      <c r="O63" s="452">
        <f t="shared" si="26"/>
        <v>28.819744582354133</v>
      </c>
      <c r="S63" s="623"/>
      <c r="T63" s="623"/>
      <c r="U63" s="623"/>
    </row>
    <row r="64" spans="1:21" hidden="1" x14ac:dyDescent="0.35">
      <c r="A64" s="625"/>
      <c r="B64" s="438"/>
      <c r="C64" s="416"/>
      <c r="D64" s="426"/>
      <c r="E64" s="427"/>
      <c r="F64" s="426"/>
      <c r="G64" s="428"/>
      <c r="H64" s="427"/>
      <c r="I64" s="426"/>
      <c r="J64" s="428"/>
      <c r="K64" s="427"/>
      <c r="L64" s="426"/>
      <c r="M64" s="428"/>
      <c r="N64" s="428"/>
      <c r="O64" s="416"/>
    </row>
    <row r="65" spans="1:18" hidden="1" x14ac:dyDescent="0.35">
      <c r="A65" s="625">
        <v>15</v>
      </c>
      <c r="B65" s="626" t="s">
        <v>338</v>
      </c>
      <c r="C65" s="472" t="s">
        <v>339</v>
      </c>
      <c r="D65" s="440">
        <v>7918.8027048176291</v>
      </c>
      <c r="E65" s="441">
        <v>6.1453957119629234E-2</v>
      </c>
      <c r="F65" s="440">
        <v>128857.49064787653</v>
      </c>
      <c r="G65" s="442">
        <v>140429.99539916034</v>
      </c>
      <c r="H65" s="443">
        <v>13158.290568901324</v>
      </c>
      <c r="I65" s="440">
        <v>5316.309701479965</v>
      </c>
      <c r="J65" s="444">
        <v>505.66370686127334</v>
      </c>
      <c r="K65" s="443">
        <v>13032.88066833308</v>
      </c>
      <c r="L65" s="440">
        <v>26974.608065211265</v>
      </c>
      <c r="M65" s="442">
        <v>1429.2743545091862</v>
      </c>
      <c r="N65" s="444">
        <v>25545.333710702078</v>
      </c>
      <c r="O65" s="445">
        <v>1402.5447500962289</v>
      </c>
      <c r="Q65" s="409" t="str">
        <f t="shared" ref="Q65" si="27">IF(AND(ISBLANK(B65), ISBLANK(C65)), "X", "")</f>
        <v/>
      </c>
    </row>
    <row r="66" spans="1:18" hidden="1" x14ac:dyDescent="0.35">
      <c r="A66" s="625"/>
      <c r="B66" s="627"/>
      <c r="C66" s="446" t="s">
        <v>306</v>
      </c>
      <c r="D66" s="447">
        <f>IF(D65="","",D65-D62)</f>
        <v>-51.863039092740109</v>
      </c>
      <c r="E66" s="448">
        <f t="shared" ref="E66:O66" si="28">IF(E65="","",E65-E62)</f>
        <v>3.2610114390298206E-5</v>
      </c>
      <c r="F66" s="447">
        <f t="shared" si="28"/>
        <v>-912.79497009453189</v>
      </c>
      <c r="G66" s="449">
        <f t="shared" si="28"/>
        <v>0</v>
      </c>
      <c r="H66" s="450">
        <f t="shared" si="28"/>
        <v>-912.79497009454099</v>
      </c>
      <c r="I66" s="447">
        <f t="shared" si="28"/>
        <v>0</v>
      </c>
      <c r="J66" s="449">
        <f t="shared" si="28"/>
        <v>-12.175745405971838</v>
      </c>
      <c r="K66" s="451">
        <f t="shared" si="28"/>
        <v>0</v>
      </c>
      <c r="L66" s="447">
        <f t="shared" si="28"/>
        <v>-64.03878449871263</v>
      </c>
      <c r="M66" s="449">
        <f t="shared" si="28"/>
        <v>0</v>
      </c>
      <c r="N66" s="449">
        <f t="shared" si="28"/>
        <v>-64.03878449871263</v>
      </c>
      <c r="O66" s="452">
        <f t="shared" si="28"/>
        <v>-26.544164599902842</v>
      </c>
    </row>
    <row r="67" spans="1:18" hidden="1" x14ac:dyDescent="0.35">
      <c r="A67" s="625"/>
      <c r="B67" s="438"/>
      <c r="C67" s="416"/>
      <c r="D67" s="426"/>
      <c r="E67" s="427"/>
      <c r="F67" s="426"/>
      <c r="G67" s="428"/>
      <c r="H67" s="427"/>
      <c r="I67" s="426"/>
      <c r="J67" s="428"/>
      <c r="K67" s="427"/>
      <c r="L67" s="426"/>
      <c r="M67" s="428"/>
      <c r="N67" s="428"/>
      <c r="O67" s="416"/>
    </row>
    <row r="68" spans="1:18" ht="25.5" hidden="1" x14ac:dyDescent="0.35">
      <c r="A68" s="625">
        <v>16</v>
      </c>
      <c r="B68" s="626" t="s">
        <v>338</v>
      </c>
      <c r="C68" s="473" t="s">
        <v>340</v>
      </c>
      <c r="D68" s="440">
        <v>7726.9332665959719</v>
      </c>
      <c r="E68" s="441">
        <v>5.996495219444431E-2</v>
      </c>
      <c r="F68" s="440">
        <v>128857.49064787653</v>
      </c>
      <c r="G68" s="442">
        <v>140429.99539916034</v>
      </c>
      <c r="H68" s="443">
        <v>13158.290568901324</v>
      </c>
      <c r="I68" s="440">
        <v>5316.309701479965</v>
      </c>
      <c r="J68" s="444">
        <v>485.33920540294025</v>
      </c>
      <c r="K68" s="443">
        <v>13032.88066833308</v>
      </c>
      <c r="L68" s="440">
        <v>26762.414125531272</v>
      </c>
      <c r="M68" s="442">
        <v>1429.2743545091862</v>
      </c>
      <c r="N68" s="444">
        <v>25333.139771022084</v>
      </c>
      <c r="O68" s="445">
        <v>1361.0696175468456</v>
      </c>
      <c r="Q68" s="409" t="str">
        <f t="shared" ref="Q68" si="29">IF(AND(ISBLANK(B68), ISBLANK(C68)), "X", "")</f>
        <v/>
      </c>
    </row>
    <row r="69" spans="1:18" hidden="1" x14ac:dyDescent="0.35">
      <c r="A69" s="625"/>
      <c r="B69" s="627"/>
      <c r="C69" s="446" t="s">
        <v>306</v>
      </c>
      <c r="D69" s="447">
        <f>IF(D68="","",D68-D65)</f>
        <v>-191.86943822165722</v>
      </c>
      <c r="E69" s="448">
        <f t="shared" ref="E69:O69" si="30">IF(E68="","",E68-E65)</f>
        <v>-1.4890049251849238E-3</v>
      </c>
      <c r="F69" s="447">
        <f t="shared" si="30"/>
        <v>0</v>
      </c>
      <c r="G69" s="449">
        <f t="shared" si="30"/>
        <v>0</v>
      </c>
      <c r="H69" s="450">
        <f t="shared" si="30"/>
        <v>0</v>
      </c>
      <c r="I69" s="447">
        <f t="shared" si="30"/>
        <v>0</v>
      </c>
      <c r="J69" s="449">
        <f t="shared" si="30"/>
        <v>-20.324501458333089</v>
      </c>
      <c r="K69" s="451">
        <f t="shared" si="30"/>
        <v>0</v>
      </c>
      <c r="L69" s="447">
        <f t="shared" si="30"/>
        <v>-212.19393967999349</v>
      </c>
      <c r="M69" s="449">
        <f t="shared" si="30"/>
        <v>0</v>
      </c>
      <c r="N69" s="449">
        <f t="shared" si="30"/>
        <v>-212.19393967999349</v>
      </c>
      <c r="O69" s="452">
        <f t="shared" si="30"/>
        <v>-41.475132549383261</v>
      </c>
    </row>
    <row r="70" spans="1:18" hidden="1" x14ac:dyDescent="0.35">
      <c r="A70" s="625"/>
      <c r="B70" s="438"/>
      <c r="C70" s="416"/>
      <c r="D70" s="426"/>
      <c r="E70" s="427"/>
      <c r="F70" s="426"/>
      <c r="G70" s="428"/>
      <c r="H70" s="427"/>
      <c r="I70" s="426"/>
      <c r="J70" s="428"/>
      <c r="K70" s="427"/>
      <c r="L70" s="426"/>
      <c r="M70" s="428"/>
      <c r="N70" s="428"/>
      <c r="O70" s="416"/>
    </row>
    <row r="71" spans="1:18" ht="25.5" hidden="1" x14ac:dyDescent="0.35">
      <c r="A71" s="625">
        <v>17</v>
      </c>
      <c r="B71" s="626" t="s">
        <v>338</v>
      </c>
      <c r="C71" s="474" t="s">
        <v>341</v>
      </c>
      <c r="D71" s="440">
        <v>7653.6424268936516</v>
      </c>
      <c r="E71" s="441">
        <v>5.9926345153493168E-2</v>
      </c>
      <c r="F71" s="440">
        <v>127717.49065106324</v>
      </c>
      <c r="G71" s="442">
        <v>140429.99539916034</v>
      </c>
      <c r="H71" s="443">
        <v>13158.290568901324</v>
      </c>
      <c r="I71" s="440">
        <v>5286.3096919517411</v>
      </c>
      <c r="J71" s="444">
        <v>490.02645209760175</v>
      </c>
      <c r="K71" s="443">
        <v>13032.88066833308</v>
      </c>
      <c r="L71" s="440">
        <v>26663.810522995391</v>
      </c>
      <c r="M71" s="442">
        <v>1429.2743545091862</v>
      </c>
      <c r="N71" s="444">
        <v>25234.536168486204</v>
      </c>
      <c r="O71" s="445">
        <v>1333.6223118526661</v>
      </c>
      <c r="Q71" s="409" t="str">
        <f t="shared" ref="Q71" si="31">IF(AND(ISBLANK(B71), ISBLANK(C71)), "X", "")</f>
        <v/>
      </c>
    </row>
    <row r="72" spans="1:18" hidden="1" x14ac:dyDescent="0.35">
      <c r="A72" s="625"/>
      <c r="B72" s="627"/>
      <c r="C72" s="463" t="s">
        <v>306</v>
      </c>
      <c r="D72" s="447">
        <f>IF(D71="","",D71-D68)</f>
        <v>-73.290839702320227</v>
      </c>
      <c r="E72" s="448">
        <f t="shared" ref="E72:O72" si="32">IF(E71="","",E71-E68)</f>
        <v>-3.8607040951141314E-5</v>
      </c>
      <c r="F72" s="447">
        <f t="shared" si="32"/>
        <v>-1139.9999968132906</v>
      </c>
      <c r="G72" s="449">
        <f t="shared" si="32"/>
        <v>0</v>
      </c>
      <c r="H72" s="450">
        <f t="shared" si="32"/>
        <v>0</v>
      </c>
      <c r="I72" s="447">
        <f t="shared" si="32"/>
        <v>-30.000009528223927</v>
      </c>
      <c r="J72" s="449">
        <f t="shared" si="32"/>
        <v>4.6872466946614963</v>
      </c>
      <c r="K72" s="451">
        <f t="shared" si="32"/>
        <v>0</v>
      </c>
      <c r="L72" s="447">
        <f t="shared" si="32"/>
        <v>-98.603602535880782</v>
      </c>
      <c r="M72" s="449">
        <f t="shared" si="32"/>
        <v>0</v>
      </c>
      <c r="N72" s="449">
        <f t="shared" si="32"/>
        <v>-98.603602535880782</v>
      </c>
      <c r="O72" s="452">
        <f t="shared" si="32"/>
        <v>-27.447305694179477</v>
      </c>
    </row>
    <row r="73" spans="1:18" hidden="1" x14ac:dyDescent="0.35">
      <c r="A73" s="625"/>
      <c r="B73" s="438"/>
      <c r="C73" s="416"/>
      <c r="D73" s="426"/>
      <c r="E73" s="427"/>
      <c r="F73" s="426"/>
      <c r="G73" s="428"/>
      <c r="H73" s="427"/>
      <c r="I73" s="426"/>
      <c r="J73" s="428"/>
      <c r="K73" s="427"/>
      <c r="L73" s="426"/>
      <c r="M73" s="428"/>
      <c r="N73" s="428"/>
      <c r="O73" s="416"/>
    </row>
    <row r="74" spans="1:18" ht="25.5" hidden="1" x14ac:dyDescent="0.35">
      <c r="A74" s="625">
        <v>18</v>
      </c>
      <c r="B74" s="626" t="s">
        <v>338</v>
      </c>
      <c r="C74" s="469" t="s">
        <v>342</v>
      </c>
      <c r="D74" s="440">
        <v>7466.1797664794585</v>
      </c>
      <c r="E74" s="441">
        <v>5.9962095545117819E-2</v>
      </c>
      <c r="F74" s="440">
        <v>124514.99065541518</v>
      </c>
      <c r="G74" s="442">
        <v>140429.99539916034</v>
      </c>
      <c r="H74" s="443">
        <v>13158.290568901324</v>
      </c>
      <c r="I74" s="440">
        <v>5211.3096815439585</v>
      </c>
      <c r="J74" s="444">
        <v>504.27652095515157</v>
      </c>
      <c r="K74" s="443">
        <v>13032.88066833308</v>
      </c>
      <c r="L74" s="440">
        <v>26415.597921030967</v>
      </c>
      <c r="M74" s="442">
        <v>1429.2743545091862</v>
      </c>
      <c r="N74" s="444">
        <v>24986.32356652178</v>
      </c>
      <c r="O74" s="445">
        <v>1373.8014076380787</v>
      </c>
      <c r="Q74" s="409" t="str">
        <f t="shared" ref="Q74" si="33">IF(AND(ISBLANK(B74), ISBLANK(C74)), "X", "")</f>
        <v/>
      </c>
    </row>
    <row r="75" spans="1:18" hidden="1" x14ac:dyDescent="0.35">
      <c r="A75" s="625"/>
      <c r="B75" s="627"/>
      <c r="C75" s="446" t="s">
        <v>306</v>
      </c>
      <c r="D75" s="447">
        <f>IF(D74="","",D74-D71)</f>
        <v>-187.46266041419312</v>
      </c>
      <c r="E75" s="448">
        <f t="shared" ref="E75:O75" si="34">IF(E74="","",E74-E71)</f>
        <v>3.5750391624650435E-5</v>
      </c>
      <c r="F75" s="447">
        <f t="shared" si="34"/>
        <v>-3202.4999956480606</v>
      </c>
      <c r="G75" s="449">
        <f t="shared" si="34"/>
        <v>0</v>
      </c>
      <c r="H75" s="450">
        <f t="shared" si="34"/>
        <v>0</v>
      </c>
      <c r="I75" s="447">
        <f t="shared" si="34"/>
        <v>-75.000010407782611</v>
      </c>
      <c r="J75" s="449">
        <f t="shared" si="34"/>
        <v>14.25006885754982</v>
      </c>
      <c r="K75" s="451">
        <f t="shared" si="34"/>
        <v>0</v>
      </c>
      <c r="L75" s="447">
        <f t="shared" si="34"/>
        <v>-248.21260196442381</v>
      </c>
      <c r="M75" s="449">
        <f t="shared" si="34"/>
        <v>0</v>
      </c>
      <c r="N75" s="449">
        <f t="shared" si="34"/>
        <v>-248.21260196442381</v>
      </c>
      <c r="O75" s="452">
        <f t="shared" si="34"/>
        <v>40.179095785412528</v>
      </c>
    </row>
    <row r="76" spans="1:18" hidden="1" x14ac:dyDescent="0.35">
      <c r="A76" s="625"/>
      <c r="B76" s="438"/>
      <c r="C76" s="416"/>
      <c r="D76" s="426"/>
      <c r="E76" s="427"/>
      <c r="F76" s="426"/>
      <c r="G76" s="428"/>
      <c r="H76" s="427"/>
      <c r="I76" s="426"/>
      <c r="J76" s="428"/>
      <c r="K76" s="427"/>
      <c r="L76" s="426"/>
      <c r="M76" s="428"/>
      <c r="N76" s="428"/>
      <c r="O76" s="416"/>
      <c r="R76" s="409" t="s">
        <v>307</v>
      </c>
    </row>
    <row r="77" spans="1:18" hidden="1" x14ac:dyDescent="0.35">
      <c r="A77" s="625">
        <v>19</v>
      </c>
      <c r="B77" s="626" t="s">
        <v>338</v>
      </c>
      <c r="C77" s="475" t="s">
        <v>343</v>
      </c>
      <c r="D77" s="440">
        <v>7429.331978646991</v>
      </c>
      <c r="E77" s="441">
        <v>5.9964205593985499E-2</v>
      </c>
      <c r="F77" s="440">
        <v>123896.11277352041</v>
      </c>
      <c r="G77" s="442">
        <v>136461.80028822346</v>
      </c>
      <c r="H77" s="443">
        <v>12786.470687006538</v>
      </c>
      <c r="I77" s="440">
        <v>5211.3096815439585</v>
      </c>
      <c r="J77" s="444">
        <v>496.1205704473133</v>
      </c>
      <c r="K77" s="443">
        <v>13032.88066833308</v>
      </c>
      <c r="L77" s="440">
        <v>26370.594182690664</v>
      </c>
      <c r="M77" s="442">
        <v>1395.4404881099958</v>
      </c>
      <c r="N77" s="444">
        <v>24975.153694580669</v>
      </c>
      <c r="O77" s="445">
        <v>1371.4977666711936</v>
      </c>
      <c r="Q77" s="409" t="str">
        <f t="shared" ref="Q77" si="35">IF(AND(ISBLANK(B77), ISBLANK(C77)), "X", "")</f>
        <v/>
      </c>
    </row>
    <row r="78" spans="1:18" hidden="1" x14ac:dyDescent="0.35">
      <c r="A78" s="625"/>
      <c r="B78" s="627"/>
      <c r="C78" s="463" t="s">
        <v>306</v>
      </c>
      <c r="D78" s="447">
        <f>IF(D77="","",D77-D74)</f>
        <v>-36.847787832467475</v>
      </c>
      <c r="E78" s="448">
        <f t="shared" ref="E78:O78" si="36">IF(E77="","",E77-E74)</f>
        <v>2.1100488676803475E-6</v>
      </c>
      <c r="F78" s="447">
        <f t="shared" si="36"/>
        <v>-618.87788189477578</v>
      </c>
      <c r="G78" s="449">
        <f t="shared" si="36"/>
        <v>-3968.195110936882</v>
      </c>
      <c r="H78" s="450">
        <f t="shared" si="36"/>
        <v>-371.81988189478579</v>
      </c>
      <c r="I78" s="447">
        <f t="shared" si="36"/>
        <v>0</v>
      </c>
      <c r="J78" s="449">
        <f t="shared" si="36"/>
        <v>-8.1559505078382699</v>
      </c>
      <c r="K78" s="451">
        <f t="shared" si="36"/>
        <v>0</v>
      </c>
      <c r="L78" s="447">
        <f t="shared" si="36"/>
        <v>-45.003738340303244</v>
      </c>
      <c r="M78" s="449">
        <f t="shared" si="36"/>
        <v>-33.833866399190356</v>
      </c>
      <c r="N78" s="449">
        <f t="shared" si="36"/>
        <v>-11.169871941110614</v>
      </c>
      <c r="O78" s="452">
        <f t="shared" si="36"/>
        <v>-2.3036409668850411</v>
      </c>
    </row>
    <row r="79" spans="1:18" hidden="1" x14ac:dyDescent="0.35">
      <c r="A79" s="625"/>
      <c r="B79" s="438"/>
      <c r="C79" s="416"/>
      <c r="D79" s="426"/>
      <c r="E79" s="427"/>
      <c r="F79" s="426"/>
      <c r="G79" s="428"/>
      <c r="H79" s="427"/>
      <c r="I79" s="426"/>
      <c r="J79" s="428"/>
      <c r="K79" s="427"/>
      <c r="L79" s="426"/>
      <c r="M79" s="428"/>
      <c r="N79" s="428"/>
      <c r="O79" s="416"/>
    </row>
    <row r="80" spans="1:18" ht="13.15" x14ac:dyDescent="0.35">
      <c r="A80" s="625">
        <v>1</v>
      </c>
      <c r="B80" s="626"/>
      <c r="C80" s="432" t="s">
        <v>350</v>
      </c>
      <c r="D80" s="476">
        <v>7429.331978646991</v>
      </c>
      <c r="E80" s="477">
        <v>5.9964205593985499E-2</v>
      </c>
      <c r="F80" s="476">
        <v>123896.11277352041</v>
      </c>
      <c r="G80" s="478">
        <v>136461.80028822346</v>
      </c>
      <c r="H80" s="479">
        <v>12786.470687006538</v>
      </c>
      <c r="I80" s="476">
        <v>5211.3096815439585</v>
      </c>
      <c r="J80" s="480">
        <v>496.1205704473133</v>
      </c>
      <c r="K80" s="479">
        <v>13032.88066833308</v>
      </c>
      <c r="L80" s="476">
        <v>26370.594182690664</v>
      </c>
      <c r="M80" s="478">
        <v>1395.4404881099958</v>
      </c>
      <c r="N80" s="480">
        <v>24975.153694580669</v>
      </c>
      <c r="O80" s="481">
        <v>1371.4977666711936</v>
      </c>
      <c r="Q80" s="409" t="str">
        <f t="shared" ref="Q80" si="37">IF(AND(ISBLANK(B80), ISBLANK(C80)), "X", "")</f>
        <v/>
      </c>
    </row>
    <row r="81" spans="1:17" x14ac:dyDescent="0.35">
      <c r="A81" s="625"/>
      <c r="B81" s="627"/>
      <c r="C81" s="446"/>
      <c r="D81" s="447"/>
      <c r="E81" s="448"/>
      <c r="F81" s="447"/>
      <c r="G81" s="449"/>
      <c r="H81" s="450"/>
      <c r="I81" s="447"/>
      <c r="J81" s="449"/>
      <c r="K81" s="451"/>
      <c r="L81" s="447"/>
      <c r="M81" s="449"/>
      <c r="N81" s="449"/>
      <c r="O81" s="452"/>
    </row>
    <row r="82" spans="1:17" ht="6" customHeight="1" x14ac:dyDescent="0.35">
      <c r="A82" s="625"/>
      <c r="B82" s="438"/>
      <c r="C82" s="416"/>
      <c r="D82" s="426"/>
      <c r="E82" s="427"/>
      <c r="F82" s="426"/>
      <c r="G82" s="428"/>
      <c r="H82" s="427"/>
      <c r="I82" s="426"/>
      <c r="J82" s="428"/>
      <c r="K82" s="427"/>
      <c r="L82" s="426"/>
      <c r="M82" s="428"/>
      <c r="N82" s="428"/>
      <c r="O82" s="416"/>
    </row>
    <row r="83" spans="1:17" x14ac:dyDescent="0.35">
      <c r="A83" s="625">
        <v>2</v>
      </c>
      <c r="B83" s="626" t="s">
        <v>344</v>
      </c>
      <c r="C83" s="439" t="s">
        <v>345</v>
      </c>
      <c r="D83" s="440">
        <v>6850.4553287390318</v>
      </c>
      <c r="E83" s="441">
        <v>5.5291931081498304E-2</v>
      </c>
      <c r="F83" s="440">
        <v>123896.11277352041</v>
      </c>
      <c r="G83" s="442">
        <v>136461.80028822346</v>
      </c>
      <c r="H83" s="443">
        <v>12786.470687006538</v>
      </c>
      <c r="I83" s="440">
        <v>5211.3096815439585</v>
      </c>
      <c r="J83" s="444">
        <v>423.33470816442002</v>
      </c>
      <c r="K83" s="443">
        <v>13032.88066833308</v>
      </c>
      <c r="L83" s="440">
        <v>25718.931670499809</v>
      </c>
      <c r="M83" s="442">
        <v>1395.4404881099958</v>
      </c>
      <c r="N83" s="444">
        <v>24323.491182389815</v>
      </c>
      <c r="O83" s="445">
        <v>719.83525448033845</v>
      </c>
      <c r="Q83" s="409" t="str">
        <f t="shared" ref="Q83" si="38">IF(AND(ISBLANK(B83), ISBLANK(C83)), "X", "")</f>
        <v/>
      </c>
    </row>
    <row r="84" spans="1:17" x14ac:dyDescent="0.35">
      <c r="A84" s="625"/>
      <c r="B84" s="627"/>
      <c r="C84" s="446" t="s">
        <v>306</v>
      </c>
      <c r="D84" s="447">
        <f>IF(D83="","",D83-D80)</f>
        <v>-578.87664990795929</v>
      </c>
      <c r="E84" s="448">
        <f t="shared" ref="E84:O84" si="39">IF(E83="","",E83-E80)</f>
        <v>-4.6722745124871956E-3</v>
      </c>
      <c r="F84" s="447">
        <f t="shared" si="39"/>
        <v>0</v>
      </c>
      <c r="G84" s="449">
        <f t="shared" si="39"/>
        <v>0</v>
      </c>
      <c r="H84" s="450">
        <f t="shared" si="39"/>
        <v>0</v>
      </c>
      <c r="I84" s="447">
        <f t="shared" si="39"/>
        <v>0</v>
      </c>
      <c r="J84" s="449">
        <f t="shared" si="39"/>
        <v>-72.785862282893277</v>
      </c>
      <c r="K84" s="451">
        <f t="shared" si="39"/>
        <v>0</v>
      </c>
      <c r="L84" s="447">
        <f t="shared" si="39"/>
        <v>-651.66251219085461</v>
      </c>
      <c r="M84" s="449">
        <f t="shared" si="39"/>
        <v>0</v>
      </c>
      <c r="N84" s="449">
        <f t="shared" si="39"/>
        <v>-651.66251219085461</v>
      </c>
      <c r="O84" s="452">
        <f t="shared" si="39"/>
        <v>-651.66251219085518</v>
      </c>
    </row>
    <row r="85" spans="1:17" x14ac:dyDescent="0.35">
      <c r="A85" s="625"/>
      <c r="B85" s="438"/>
      <c r="C85" s="489" t="s">
        <v>347</v>
      </c>
      <c r="D85" s="483">
        <f>IF(D83="","",D83-D$80)</f>
        <v>-578.87664990795929</v>
      </c>
      <c r="E85" s="484">
        <f t="shared" ref="E85:O85" si="40">IF(E83="","",E83-E$80)</f>
        <v>-4.6722745124871956E-3</v>
      </c>
      <c r="F85" s="483">
        <f t="shared" si="40"/>
        <v>0</v>
      </c>
      <c r="G85" s="485">
        <f t="shared" si="40"/>
        <v>0</v>
      </c>
      <c r="H85" s="486">
        <f t="shared" si="40"/>
        <v>0</v>
      </c>
      <c r="I85" s="483">
        <f t="shared" si="40"/>
        <v>0</v>
      </c>
      <c r="J85" s="485">
        <f t="shared" si="40"/>
        <v>-72.785862282893277</v>
      </c>
      <c r="K85" s="487">
        <f t="shared" si="40"/>
        <v>0</v>
      </c>
      <c r="L85" s="483">
        <f t="shared" si="40"/>
        <v>-651.66251219085461</v>
      </c>
      <c r="M85" s="485">
        <f t="shared" si="40"/>
        <v>0</v>
      </c>
      <c r="N85" s="485">
        <f t="shared" si="40"/>
        <v>-651.66251219085461</v>
      </c>
      <c r="O85" s="488">
        <f t="shared" si="40"/>
        <v>-651.66251219085518</v>
      </c>
    </row>
    <row r="86" spans="1:17" ht="6" customHeight="1" x14ac:dyDescent="0.35">
      <c r="A86" s="482"/>
      <c r="B86" s="438"/>
      <c r="C86" s="489"/>
      <c r="D86" s="483"/>
      <c r="E86" s="484"/>
      <c r="F86" s="483"/>
      <c r="G86" s="485"/>
      <c r="H86" s="486"/>
      <c r="I86" s="483"/>
      <c r="J86" s="485"/>
      <c r="K86" s="487"/>
      <c r="L86" s="483"/>
      <c r="M86" s="485"/>
      <c r="N86" s="485"/>
      <c r="O86" s="488"/>
    </row>
    <row r="87" spans="1:17" x14ac:dyDescent="0.35">
      <c r="A87" s="625">
        <v>3</v>
      </c>
      <c r="B87" s="626" t="s">
        <v>344</v>
      </c>
      <c r="C87" s="439" t="s">
        <v>346</v>
      </c>
      <c r="D87" s="440">
        <v>6811.4425520102159</v>
      </c>
      <c r="E87" s="441">
        <v>5.5291931081498304E-2</v>
      </c>
      <c r="F87" s="440">
        <v>123190.53465451217</v>
      </c>
      <c r="G87" s="442">
        <v>128931.61758802891</v>
      </c>
      <c r="H87" s="443">
        <v>12080.892567998309</v>
      </c>
      <c r="I87" s="440">
        <v>5211.3096815439585</v>
      </c>
      <c r="J87" s="444">
        <v>414.4664748325203</v>
      </c>
      <c r="K87" s="443">
        <v>13032.88066833308</v>
      </c>
      <c r="L87" s="440">
        <v>25671.050660439094</v>
      </c>
      <c r="M87" s="442">
        <v>1389.649886392134</v>
      </c>
      <c r="N87" s="444">
        <v>24281.400774046961</v>
      </c>
      <c r="O87" s="445">
        <v>1376.9213251855524</v>
      </c>
      <c r="Q87" s="409" t="str">
        <f t="shared" ref="Q87" si="41">IF(AND(ISBLANK(B87), ISBLANK(C87)), "X", "")</f>
        <v/>
      </c>
    </row>
    <row r="88" spans="1:17" x14ac:dyDescent="0.35">
      <c r="A88" s="625"/>
      <c r="B88" s="627"/>
      <c r="C88" s="446" t="s">
        <v>306</v>
      </c>
      <c r="D88" s="447">
        <f>IF(D87="","",D87-D83)</f>
        <v>-39.012776728815879</v>
      </c>
      <c r="E88" s="448">
        <f t="shared" ref="E88:O88" si="42">IF(E87="","",E87-E83)</f>
        <v>0</v>
      </c>
      <c r="F88" s="447">
        <f t="shared" si="42"/>
        <v>-705.57811900823435</v>
      </c>
      <c r="G88" s="449">
        <f t="shared" si="42"/>
        <v>-7530.1827001945494</v>
      </c>
      <c r="H88" s="450">
        <f t="shared" si="42"/>
        <v>-705.5781190082289</v>
      </c>
      <c r="I88" s="447">
        <f t="shared" si="42"/>
        <v>0</v>
      </c>
      <c r="J88" s="449">
        <f t="shared" si="42"/>
        <v>-8.8682333318997166</v>
      </c>
      <c r="K88" s="451">
        <f t="shared" si="42"/>
        <v>0</v>
      </c>
      <c r="L88" s="447">
        <f t="shared" si="42"/>
        <v>-47.881010060715198</v>
      </c>
      <c r="M88" s="449">
        <f t="shared" si="42"/>
        <v>-5.7906017178618185</v>
      </c>
      <c r="N88" s="449">
        <f t="shared" si="42"/>
        <v>-42.090408342854062</v>
      </c>
      <c r="O88" s="452">
        <f t="shared" si="42"/>
        <v>657.08607070521396</v>
      </c>
    </row>
    <row r="89" spans="1:17" x14ac:dyDescent="0.35">
      <c r="A89" s="625"/>
      <c r="B89" s="438"/>
      <c r="C89" s="489" t="s">
        <v>347</v>
      </c>
      <c r="D89" s="483">
        <f>IF(D87="","",D87-D$80)</f>
        <v>-617.88942663677517</v>
      </c>
      <c r="E89" s="484">
        <f t="shared" ref="E89:O89" si="43">IF(E87="","",E87-E$80)</f>
        <v>-4.6722745124871956E-3</v>
      </c>
      <c r="F89" s="483">
        <f t="shared" si="43"/>
        <v>-705.57811900823435</v>
      </c>
      <c r="G89" s="485">
        <f t="shared" si="43"/>
        <v>-7530.1827001945494</v>
      </c>
      <c r="H89" s="486">
        <f t="shared" si="43"/>
        <v>-705.5781190082289</v>
      </c>
      <c r="I89" s="483">
        <f t="shared" si="43"/>
        <v>0</v>
      </c>
      <c r="J89" s="485">
        <f t="shared" si="43"/>
        <v>-81.654095614792993</v>
      </c>
      <c r="K89" s="487">
        <f t="shared" si="43"/>
        <v>0</v>
      </c>
      <c r="L89" s="483">
        <f t="shared" si="43"/>
        <v>-699.54352225156981</v>
      </c>
      <c r="M89" s="485">
        <f t="shared" si="43"/>
        <v>-5.7906017178618185</v>
      </c>
      <c r="N89" s="485">
        <f t="shared" si="43"/>
        <v>-693.75292053370868</v>
      </c>
      <c r="O89" s="488">
        <f t="shared" si="43"/>
        <v>5.4235585143587741</v>
      </c>
    </row>
    <row r="90" spans="1:17" ht="6" customHeight="1" x14ac:dyDescent="0.35">
      <c r="A90" s="482"/>
      <c r="B90" s="438"/>
      <c r="C90" s="489"/>
      <c r="D90" s="483"/>
      <c r="E90" s="484"/>
      <c r="F90" s="483"/>
      <c r="G90" s="485"/>
      <c r="H90" s="486"/>
      <c r="I90" s="483"/>
      <c r="J90" s="485"/>
      <c r="K90" s="487"/>
      <c r="L90" s="483"/>
      <c r="M90" s="485"/>
      <c r="N90" s="485"/>
      <c r="O90" s="488"/>
    </row>
    <row r="91" spans="1:17" x14ac:dyDescent="0.35">
      <c r="A91" s="625">
        <v>4</v>
      </c>
      <c r="B91" s="626" t="s">
        <v>344</v>
      </c>
      <c r="C91" s="439" t="s">
        <v>348</v>
      </c>
      <c r="D91" s="440">
        <v>6796.1856936344375</v>
      </c>
      <c r="E91" s="441">
        <v>5.5291931081498304E-2</v>
      </c>
      <c r="F91" s="440">
        <v>122914.60183615411</v>
      </c>
      <c r="G91" s="442">
        <v>125986.7636034177</v>
      </c>
      <c r="H91" s="443">
        <v>11804.959749640238</v>
      </c>
      <c r="I91" s="440">
        <v>5211.3096815439585</v>
      </c>
      <c r="J91" s="444">
        <v>410.99891246979502</v>
      </c>
      <c r="K91" s="443">
        <v>13032.88066833308</v>
      </c>
      <c r="L91" s="440">
        <v>25652.326239700593</v>
      </c>
      <c r="M91" s="442">
        <v>1389.649886392134</v>
      </c>
      <c r="N91" s="444">
        <v>24262.67635330846</v>
      </c>
      <c r="O91" s="445">
        <v>1358.1969044470486</v>
      </c>
      <c r="Q91" s="409" t="str">
        <f t="shared" ref="Q91" si="44">IF(AND(ISBLANK(B91), ISBLANK(C91)), "X", "")</f>
        <v/>
      </c>
    </row>
    <row r="92" spans="1:17" x14ac:dyDescent="0.35">
      <c r="A92" s="625"/>
      <c r="B92" s="627"/>
      <c r="C92" s="446" t="s">
        <v>306</v>
      </c>
      <c r="D92" s="447">
        <f>IF(D91="","",D91-D87)</f>
        <v>-15.256858375778393</v>
      </c>
      <c r="E92" s="448">
        <f t="shared" ref="E92:O92" si="45">IF(E91="","",E91-E87)</f>
        <v>0</v>
      </c>
      <c r="F92" s="447">
        <f t="shared" si="45"/>
        <v>-275.93281835806556</v>
      </c>
      <c r="G92" s="449">
        <f t="shared" si="45"/>
        <v>-2944.8539846112108</v>
      </c>
      <c r="H92" s="450">
        <f t="shared" si="45"/>
        <v>-275.93281835807102</v>
      </c>
      <c r="I92" s="447">
        <f t="shared" si="45"/>
        <v>0</v>
      </c>
      <c r="J92" s="449">
        <f t="shared" si="45"/>
        <v>-3.4675623627252889</v>
      </c>
      <c r="K92" s="451">
        <f t="shared" si="45"/>
        <v>0</v>
      </c>
      <c r="L92" s="447">
        <f t="shared" si="45"/>
        <v>-18.724420738501067</v>
      </c>
      <c r="M92" s="449">
        <f t="shared" si="45"/>
        <v>0</v>
      </c>
      <c r="N92" s="449">
        <f t="shared" si="45"/>
        <v>-18.724420738501067</v>
      </c>
      <c r="O92" s="452">
        <f t="shared" si="45"/>
        <v>-18.724420738503795</v>
      </c>
    </row>
    <row r="93" spans="1:17" x14ac:dyDescent="0.35">
      <c r="A93" s="625"/>
      <c r="B93" s="438"/>
      <c r="C93" s="489" t="s">
        <v>347</v>
      </c>
      <c r="D93" s="483">
        <f>IF(D91="","",D91-D$80)</f>
        <v>-633.14628501255356</v>
      </c>
      <c r="E93" s="484">
        <f t="shared" ref="E93:O93" si="46">IF(E91="","",E91-E$80)</f>
        <v>-4.6722745124871956E-3</v>
      </c>
      <c r="F93" s="483">
        <f t="shared" si="46"/>
        <v>-981.51093736629991</v>
      </c>
      <c r="G93" s="485">
        <f t="shared" si="46"/>
        <v>-10475.03668480576</v>
      </c>
      <c r="H93" s="486">
        <f t="shared" si="46"/>
        <v>-981.51093736629991</v>
      </c>
      <c r="I93" s="483">
        <f t="shared" si="46"/>
        <v>0</v>
      </c>
      <c r="J93" s="485">
        <f t="shared" si="46"/>
        <v>-85.121657977518282</v>
      </c>
      <c r="K93" s="487">
        <f t="shared" si="46"/>
        <v>0</v>
      </c>
      <c r="L93" s="483">
        <f t="shared" si="46"/>
        <v>-718.26794299007088</v>
      </c>
      <c r="M93" s="485">
        <f t="shared" si="46"/>
        <v>-5.7906017178618185</v>
      </c>
      <c r="N93" s="485">
        <f t="shared" si="46"/>
        <v>-712.47734127220974</v>
      </c>
      <c r="O93" s="488">
        <f t="shared" si="46"/>
        <v>-13.300862224145021</v>
      </c>
    </row>
    <row r="94" spans="1:17" ht="6" customHeight="1" x14ac:dyDescent="0.35">
      <c r="A94" s="482"/>
      <c r="B94" s="438"/>
      <c r="C94" s="489"/>
      <c r="D94" s="483"/>
      <c r="E94" s="484"/>
      <c r="F94" s="483"/>
      <c r="G94" s="485"/>
      <c r="H94" s="486"/>
      <c r="I94" s="483"/>
      <c r="J94" s="485"/>
      <c r="K94" s="487"/>
      <c r="L94" s="483"/>
      <c r="M94" s="485"/>
      <c r="N94" s="485"/>
      <c r="O94" s="488"/>
    </row>
    <row r="95" spans="1:17" x14ac:dyDescent="0.35">
      <c r="A95" s="625">
        <v>5</v>
      </c>
      <c r="B95" s="626" t="s">
        <v>344</v>
      </c>
      <c r="C95" s="439" t="s">
        <v>349</v>
      </c>
      <c r="D95" s="440">
        <v>6394.9532682219033</v>
      </c>
      <c r="E95" s="441">
        <v>5.5291931081498304E-2</v>
      </c>
      <c r="F95" s="440">
        <v>115657.98378059854</v>
      </c>
      <c r="G95" s="442">
        <v>125986.7636034177</v>
      </c>
      <c r="H95" s="443">
        <v>11804.959749640238</v>
      </c>
      <c r="I95" s="440">
        <v>5034.5457926550698</v>
      </c>
      <c r="J95" s="444">
        <v>466.84926741086099</v>
      </c>
      <c r="K95" s="443">
        <v>13032.88066833308</v>
      </c>
      <c r="L95" s="440">
        <v>25130.180280340232</v>
      </c>
      <c r="M95" s="442">
        <v>1389.649886392134</v>
      </c>
      <c r="N95" s="444">
        <v>23740.530393948098</v>
      </c>
      <c r="O95" s="445">
        <v>836.05094508669151</v>
      </c>
      <c r="Q95" s="409" t="str">
        <f t="shared" ref="Q95" si="47">IF(AND(ISBLANK(B95), ISBLANK(C95)), "X", "")</f>
        <v/>
      </c>
    </row>
    <row r="96" spans="1:17" x14ac:dyDescent="0.35">
      <c r="A96" s="625"/>
      <c r="B96" s="627"/>
      <c r="C96" s="446" t="s">
        <v>306</v>
      </c>
      <c r="D96" s="447">
        <f>IF(D95="","",D95-D91)</f>
        <v>-401.23242541253421</v>
      </c>
      <c r="E96" s="448">
        <f t="shared" ref="E96:O96" si="48">IF(E95="","",E95-E91)</f>
        <v>0</v>
      </c>
      <c r="F96" s="447">
        <f t="shared" si="48"/>
        <v>-7256.618055555562</v>
      </c>
      <c r="G96" s="449">
        <f t="shared" si="48"/>
        <v>0</v>
      </c>
      <c r="H96" s="450">
        <f t="shared" si="48"/>
        <v>0</v>
      </c>
      <c r="I96" s="447">
        <f t="shared" si="48"/>
        <v>-176.76388888888869</v>
      </c>
      <c r="J96" s="449">
        <f t="shared" si="48"/>
        <v>55.850354941065973</v>
      </c>
      <c r="K96" s="451">
        <f t="shared" si="48"/>
        <v>0</v>
      </c>
      <c r="L96" s="447">
        <f t="shared" si="48"/>
        <v>-522.1459593603613</v>
      </c>
      <c r="M96" s="449">
        <f t="shared" si="48"/>
        <v>0</v>
      </c>
      <c r="N96" s="449">
        <f t="shared" si="48"/>
        <v>-522.1459593603613</v>
      </c>
      <c r="O96" s="452">
        <f t="shared" si="48"/>
        <v>-522.1459593603571</v>
      </c>
    </row>
    <row r="97" spans="1:17" x14ac:dyDescent="0.35">
      <c r="A97" s="625"/>
      <c r="B97" s="438"/>
      <c r="C97" s="489" t="s">
        <v>347</v>
      </c>
      <c r="D97" s="483">
        <f>IF(D95="","",D95-D$80)</f>
        <v>-1034.3787104250878</v>
      </c>
      <c r="E97" s="484">
        <f t="shared" ref="E97:O97" si="49">IF(E95="","",E95-E$80)</f>
        <v>-4.6722745124871956E-3</v>
      </c>
      <c r="F97" s="483">
        <f t="shared" si="49"/>
        <v>-8238.1289929218619</v>
      </c>
      <c r="G97" s="485">
        <f t="shared" si="49"/>
        <v>-10475.03668480576</v>
      </c>
      <c r="H97" s="486">
        <f t="shared" si="49"/>
        <v>-981.51093736629991</v>
      </c>
      <c r="I97" s="483">
        <f t="shared" si="49"/>
        <v>-176.76388888888869</v>
      </c>
      <c r="J97" s="485">
        <f t="shared" si="49"/>
        <v>-29.271303036452309</v>
      </c>
      <c r="K97" s="487">
        <f t="shared" si="49"/>
        <v>0</v>
      </c>
      <c r="L97" s="483">
        <f t="shared" si="49"/>
        <v>-1240.4139023504322</v>
      </c>
      <c r="M97" s="485">
        <f t="shared" si="49"/>
        <v>-5.7906017178618185</v>
      </c>
      <c r="N97" s="485">
        <f t="shared" si="49"/>
        <v>-1234.623300632571</v>
      </c>
      <c r="O97" s="488">
        <f t="shared" si="49"/>
        <v>-535.44682158450212</v>
      </c>
    </row>
    <row r="98" spans="1:17" ht="13.15" x14ac:dyDescent="0.35">
      <c r="A98" s="498"/>
      <c r="B98" s="438"/>
      <c r="C98" s="489"/>
      <c r="D98" s="483"/>
      <c r="E98" s="484"/>
      <c r="F98" s="483"/>
      <c r="G98" s="485"/>
      <c r="H98" s="486"/>
      <c r="I98" s="483"/>
      <c r="J98" s="485"/>
      <c r="K98" s="487"/>
      <c r="L98" s="483"/>
      <c r="M98" s="485"/>
      <c r="N98" s="485"/>
      <c r="O98" s="488"/>
    </row>
    <row r="99" spans="1:17" ht="13.15" x14ac:dyDescent="0.35">
      <c r="A99" s="498"/>
      <c r="B99" s="438"/>
      <c r="C99" s="432" t="s">
        <v>351</v>
      </c>
      <c r="D99" s="483"/>
      <c r="E99" s="484"/>
      <c r="F99" s="483"/>
      <c r="G99" s="485"/>
      <c r="H99" s="486"/>
      <c r="I99" s="483"/>
      <c r="J99" s="485"/>
      <c r="K99" s="487"/>
      <c r="L99" s="483"/>
      <c r="M99" s="485"/>
      <c r="N99" s="485"/>
      <c r="O99" s="488"/>
    </row>
    <row r="100" spans="1:17" ht="6" customHeight="1" x14ac:dyDescent="0.35">
      <c r="A100" s="482"/>
      <c r="B100" s="438"/>
      <c r="C100" s="489"/>
      <c r="D100" s="483"/>
      <c r="E100" s="484"/>
      <c r="F100" s="483"/>
      <c r="G100" s="485"/>
      <c r="H100" s="486"/>
      <c r="I100" s="483"/>
      <c r="J100" s="485"/>
      <c r="K100" s="487"/>
      <c r="L100" s="483"/>
      <c r="M100" s="485"/>
      <c r="N100" s="485"/>
      <c r="O100" s="488"/>
    </row>
    <row r="101" spans="1:17" ht="25.5" x14ac:dyDescent="0.35">
      <c r="A101" s="625">
        <v>6</v>
      </c>
      <c r="B101" s="626" t="s">
        <v>352</v>
      </c>
      <c r="C101" s="439" t="s">
        <v>353</v>
      </c>
      <c r="D101" s="440">
        <v>6421.9777398379729</v>
      </c>
      <c r="E101" s="441">
        <v>5.529349945322333E-2</v>
      </c>
      <c r="F101" s="440">
        <v>116143.44910961507</v>
      </c>
      <c r="G101" s="442">
        <v>131167.82367830072</v>
      </c>
      <c r="H101" s="443">
        <v>12290.425078656777</v>
      </c>
      <c r="I101" s="440">
        <v>5034.5457926550698</v>
      </c>
      <c r="J101" s="444">
        <v>472.95812167158169</v>
      </c>
      <c r="K101" s="443">
        <v>13032.88066833308</v>
      </c>
      <c r="L101" s="440">
        <v>25163.313606217023</v>
      </c>
      <c r="M101" s="442">
        <v>1384.7280647113867</v>
      </c>
      <c r="N101" s="444">
        <v>23778.585541505636</v>
      </c>
      <c r="O101" s="445">
        <v>460.65981122782188</v>
      </c>
      <c r="Q101" s="409" t="str">
        <f t="shared" ref="Q101" si="50">IF(AND(ISBLANK(B101), ISBLANK(C101)), "X", "")</f>
        <v/>
      </c>
    </row>
    <row r="102" spans="1:17" x14ac:dyDescent="0.35">
      <c r="A102" s="625"/>
      <c r="B102" s="627"/>
      <c r="C102" s="446" t="s">
        <v>306</v>
      </c>
      <c r="D102" s="447">
        <f>IF(D101="","",D101-D95)</f>
        <v>27.024471616069604</v>
      </c>
      <c r="E102" s="448">
        <f t="shared" ref="E102:O102" si="51">IF(E101="","",E101-E95)</f>
        <v>1.5683717250261631E-6</v>
      </c>
      <c r="F102" s="447">
        <f t="shared" si="51"/>
        <v>485.46532901652972</v>
      </c>
      <c r="G102" s="449">
        <f t="shared" si="51"/>
        <v>5181.0600748830184</v>
      </c>
      <c r="H102" s="450">
        <f t="shared" si="51"/>
        <v>485.46532901653882</v>
      </c>
      <c r="I102" s="447">
        <f t="shared" si="51"/>
        <v>0</v>
      </c>
      <c r="J102" s="449">
        <f t="shared" si="51"/>
        <v>6.1088542607207046</v>
      </c>
      <c r="K102" s="451">
        <f t="shared" si="51"/>
        <v>0</v>
      </c>
      <c r="L102" s="447">
        <f t="shared" si="51"/>
        <v>33.133325876791787</v>
      </c>
      <c r="M102" s="449">
        <f t="shared" si="51"/>
        <v>-4.9218216807473709</v>
      </c>
      <c r="N102" s="449">
        <f t="shared" si="51"/>
        <v>38.055147557537566</v>
      </c>
      <c r="O102" s="452">
        <f t="shared" si="51"/>
        <v>-375.39113385886964</v>
      </c>
    </row>
    <row r="103" spans="1:17" x14ac:dyDescent="0.35">
      <c r="A103" s="625"/>
      <c r="B103" s="438"/>
      <c r="C103" s="489" t="s">
        <v>347</v>
      </c>
      <c r="D103" s="483">
        <f>IF(D101="","",D101-D$80)</f>
        <v>-1007.3542388090182</v>
      </c>
      <c r="E103" s="484">
        <f t="shared" ref="E103:O103" si="52">IF(E101="","",E101-E$80)</f>
        <v>-4.6707061407621694E-3</v>
      </c>
      <c r="F103" s="483">
        <f t="shared" si="52"/>
        <v>-7752.6636639053322</v>
      </c>
      <c r="G103" s="485">
        <f t="shared" si="52"/>
        <v>-5293.9766099227418</v>
      </c>
      <c r="H103" s="486">
        <f t="shared" si="52"/>
        <v>-496.0456083497611</v>
      </c>
      <c r="I103" s="483">
        <f t="shared" si="52"/>
        <v>-176.76388888888869</v>
      </c>
      <c r="J103" s="485">
        <f t="shared" si="52"/>
        <v>-23.162448775731605</v>
      </c>
      <c r="K103" s="487">
        <f t="shared" si="52"/>
        <v>0</v>
      </c>
      <c r="L103" s="483">
        <f t="shared" si="52"/>
        <v>-1207.2805764736404</v>
      </c>
      <c r="M103" s="485">
        <f t="shared" si="52"/>
        <v>-10.712423398609189</v>
      </c>
      <c r="N103" s="485">
        <f t="shared" si="52"/>
        <v>-1196.5681530750335</v>
      </c>
      <c r="O103" s="488">
        <f t="shared" si="52"/>
        <v>-910.83795544337181</v>
      </c>
    </row>
    <row r="104" spans="1:17" ht="13.15" x14ac:dyDescent="0.35">
      <c r="A104" s="502"/>
      <c r="B104" s="438"/>
      <c r="C104" s="489"/>
      <c r="D104" s="483"/>
      <c r="E104" s="484"/>
      <c r="F104" s="483"/>
      <c r="G104" s="485"/>
      <c r="H104" s="486"/>
      <c r="I104" s="483"/>
      <c r="J104" s="485"/>
      <c r="K104" s="487"/>
      <c r="L104" s="483"/>
      <c r="M104" s="485"/>
      <c r="N104" s="485"/>
      <c r="O104" s="488"/>
    </row>
    <row r="105" spans="1:17" ht="25.5" x14ac:dyDescent="0.35">
      <c r="A105" s="625">
        <v>7</v>
      </c>
      <c r="B105" s="626" t="s">
        <v>7</v>
      </c>
      <c r="C105" s="439" t="s">
        <v>358</v>
      </c>
      <c r="D105" s="440">
        <v>6375.531157272877</v>
      </c>
      <c r="E105" s="441">
        <v>5.5293499080082818E-2</v>
      </c>
      <c r="F105" s="440">
        <v>115303.44910961507</v>
      </c>
      <c r="G105" s="442">
        <v>131167.82367830072</v>
      </c>
      <c r="H105" s="443">
        <v>12290.425078656777</v>
      </c>
      <c r="I105" s="440">
        <v>5012.5457926550698</v>
      </c>
      <c r="J105" s="444">
        <v>454.50773194558963</v>
      </c>
      <c r="K105" s="443">
        <v>13032.88066833308</v>
      </c>
      <c r="L105" s="440">
        <v>25076.416633925932</v>
      </c>
      <c r="M105" s="442">
        <v>1384.7280647113867</v>
      </c>
      <c r="N105" s="444">
        <v>23691.688569214544</v>
      </c>
      <c r="O105" s="445">
        <v>373.76283893673258</v>
      </c>
      <c r="Q105" s="409" t="str">
        <f t="shared" ref="Q105" si="53">IF(AND(ISBLANK(B105), ISBLANK(C105)), "X", "")</f>
        <v/>
      </c>
    </row>
    <row r="106" spans="1:17" x14ac:dyDescent="0.35">
      <c r="A106" s="625"/>
      <c r="B106" s="627"/>
      <c r="C106" s="446" t="s">
        <v>306</v>
      </c>
      <c r="D106" s="447">
        <f t="shared" ref="D106:O106" si="54">IF(D105="","",D105-D101)</f>
        <v>-46.446582565095923</v>
      </c>
      <c r="E106" s="448">
        <f t="shared" si="54"/>
        <v>-3.7314051154480055E-10</v>
      </c>
      <c r="F106" s="447">
        <f t="shared" si="54"/>
        <v>-840</v>
      </c>
      <c r="G106" s="449">
        <f t="shared" si="54"/>
        <v>0</v>
      </c>
      <c r="H106" s="450">
        <f t="shared" si="54"/>
        <v>0</v>
      </c>
      <c r="I106" s="447">
        <f t="shared" si="54"/>
        <v>-22</v>
      </c>
      <c r="J106" s="449">
        <f t="shared" si="54"/>
        <v>-18.450389725992068</v>
      </c>
      <c r="K106" s="451">
        <f t="shared" si="54"/>
        <v>0</v>
      </c>
      <c r="L106" s="447">
        <f t="shared" si="54"/>
        <v>-86.896972291091515</v>
      </c>
      <c r="M106" s="449">
        <f t="shared" si="54"/>
        <v>0</v>
      </c>
      <c r="N106" s="449">
        <f t="shared" si="54"/>
        <v>-86.896972291091515</v>
      </c>
      <c r="O106" s="452">
        <f t="shared" si="54"/>
        <v>-86.896972291089298</v>
      </c>
    </row>
    <row r="107" spans="1:17" x14ac:dyDescent="0.35">
      <c r="A107" s="625"/>
      <c r="B107" s="438"/>
      <c r="C107" s="489" t="s">
        <v>347</v>
      </c>
      <c r="D107" s="483">
        <f>IF(D105="","",D105-D$80)</f>
        <v>-1053.8008213741141</v>
      </c>
      <c r="E107" s="484">
        <f t="shared" ref="E107:O107" si="55">IF(E105="","",E105-E$80)</f>
        <v>-4.670706513902681E-3</v>
      </c>
      <c r="F107" s="483">
        <f t="shared" si="55"/>
        <v>-8592.6636639053322</v>
      </c>
      <c r="G107" s="485">
        <f t="shared" si="55"/>
        <v>-5293.9766099227418</v>
      </c>
      <c r="H107" s="486">
        <f t="shared" si="55"/>
        <v>-496.0456083497611</v>
      </c>
      <c r="I107" s="483">
        <f t="shared" si="55"/>
        <v>-198.76388888888869</v>
      </c>
      <c r="J107" s="485">
        <f t="shared" si="55"/>
        <v>-41.612838501723672</v>
      </c>
      <c r="K107" s="487">
        <f t="shared" si="55"/>
        <v>0</v>
      </c>
      <c r="L107" s="483">
        <f t="shared" si="55"/>
        <v>-1294.1775487647319</v>
      </c>
      <c r="M107" s="485">
        <f t="shared" si="55"/>
        <v>-10.712423398609189</v>
      </c>
      <c r="N107" s="485">
        <f t="shared" si="55"/>
        <v>-1283.465125366125</v>
      </c>
      <c r="O107" s="488">
        <f t="shared" si="55"/>
        <v>-997.73492773446105</v>
      </c>
    </row>
    <row r="108" spans="1:17" ht="6" customHeight="1" x14ac:dyDescent="0.35">
      <c r="A108" s="482"/>
      <c r="B108" s="438"/>
      <c r="C108" s="489"/>
      <c r="D108" s="483"/>
      <c r="E108" s="484"/>
      <c r="F108" s="483"/>
      <c r="G108" s="485"/>
      <c r="H108" s="486"/>
      <c r="I108" s="483"/>
      <c r="J108" s="485"/>
      <c r="K108" s="487"/>
      <c r="L108" s="483"/>
      <c r="M108" s="485"/>
      <c r="N108" s="485"/>
      <c r="O108" s="488"/>
    </row>
    <row r="109" spans="1:17" ht="25.5" x14ac:dyDescent="0.35">
      <c r="A109" s="625">
        <v>8</v>
      </c>
      <c r="B109" s="626" t="s">
        <v>89</v>
      </c>
      <c r="C109" s="439" t="s">
        <v>360</v>
      </c>
      <c r="D109" s="440">
        <v>6691.8798644833214</v>
      </c>
      <c r="E109" s="441">
        <v>5.8037117849974965E-2</v>
      </c>
      <c r="F109" s="440">
        <v>115303.44910961507</v>
      </c>
      <c r="G109" s="442">
        <v>131167.82367830072</v>
      </c>
      <c r="H109" s="443">
        <v>12290.425078656777</v>
      </c>
      <c r="I109" s="440">
        <v>5012.5457926550698</v>
      </c>
      <c r="J109" s="444">
        <v>490.865228946782</v>
      </c>
      <c r="K109" s="443">
        <v>13032.88066833308</v>
      </c>
      <c r="L109" s="440">
        <v>25429.122838137569</v>
      </c>
      <c r="M109" s="442">
        <v>1384.7280647113867</v>
      </c>
      <c r="N109" s="444">
        <v>24044.394773426182</v>
      </c>
      <c r="O109" s="445">
        <v>726.46904314837229</v>
      </c>
      <c r="Q109" s="409" t="str">
        <f t="shared" ref="Q109" si="56">IF(AND(ISBLANK(B109), ISBLANK(C109)), "X", "")</f>
        <v/>
      </c>
    </row>
    <row r="110" spans="1:17" x14ac:dyDescent="0.35">
      <c r="A110" s="625"/>
      <c r="B110" s="627"/>
      <c r="C110" s="446" t="s">
        <v>306</v>
      </c>
      <c r="D110" s="447">
        <f t="shared" ref="D110:O110" si="57">IF(D109="","",D109-D105)</f>
        <v>316.34870721044445</v>
      </c>
      <c r="E110" s="448">
        <f t="shared" si="57"/>
        <v>2.7436187698921463E-3</v>
      </c>
      <c r="F110" s="447">
        <f t="shared" si="57"/>
        <v>0</v>
      </c>
      <c r="G110" s="449">
        <f t="shared" si="57"/>
        <v>0</v>
      </c>
      <c r="H110" s="450">
        <f t="shared" si="57"/>
        <v>0</v>
      </c>
      <c r="I110" s="447">
        <f t="shared" si="57"/>
        <v>0</v>
      </c>
      <c r="J110" s="449">
        <f t="shared" si="57"/>
        <v>36.357497001192371</v>
      </c>
      <c r="K110" s="451">
        <f t="shared" si="57"/>
        <v>0</v>
      </c>
      <c r="L110" s="447">
        <f t="shared" si="57"/>
        <v>352.70620421163767</v>
      </c>
      <c r="M110" s="449">
        <f t="shared" si="57"/>
        <v>0</v>
      </c>
      <c r="N110" s="449">
        <f t="shared" si="57"/>
        <v>352.70620421163767</v>
      </c>
      <c r="O110" s="452">
        <f t="shared" si="57"/>
        <v>352.70620421163972</v>
      </c>
    </row>
    <row r="111" spans="1:17" x14ac:dyDescent="0.35">
      <c r="A111" s="625"/>
      <c r="B111" s="438"/>
      <c r="C111" s="489" t="s">
        <v>347</v>
      </c>
      <c r="D111" s="483">
        <f>IF(D109="","",D109-D$80)</f>
        <v>-737.45211416366965</v>
      </c>
      <c r="E111" s="484">
        <f t="shared" ref="E111:O111" si="58">IF(E109="","",E109-E$80)</f>
        <v>-1.9270877440105347E-3</v>
      </c>
      <c r="F111" s="483">
        <f t="shared" si="58"/>
        <v>-8592.6636639053322</v>
      </c>
      <c r="G111" s="485">
        <f t="shared" si="58"/>
        <v>-5293.9766099227418</v>
      </c>
      <c r="H111" s="486">
        <f t="shared" si="58"/>
        <v>-496.0456083497611</v>
      </c>
      <c r="I111" s="483">
        <f t="shared" si="58"/>
        <v>-198.76388888888869</v>
      </c>
      <c r="J111" s="485">
        <f t="shared" si="58"/>
        <v>-5.2553415005313013</v>
      </c>
      <c r="K111" s="487">
        <f t="shared" si="58"/>
        <v>0</v>
      </c>
      <c r="L111" s="483">
        <f t="shared" si="58"/>
        <v>-941.47134455309424</v>
      </c>
      <c r="M111" s="485">
        <f t="shared" si="58"/>
        <v>-10.712423398609189</v>
      </c>
      <c r="N111" s="485">
        <f t="shared" si="58"/>
        <v>-930.75892115448733</v>
      </c>
      <c r="O111" s="488">
        <f t="shared" si="58"/>
        <v>-645.02872352282134</v>
      </c>
    </row>
    <row r="112" spans="1:17" ht="6" customHeight="1" x14ac:dyDescent="0.35">
      <c r="A112" s="482"/>
      <c r="B112" s="438"/>
      <c r="C112" s="489"/>
      <c r="D112" s="483"/>
      <c r="E112" s="484"/>
      <c r="F112" s="483"/>
      <c r="G112" s="485"/>
      <c r="H112" s="486"/>
      <c r="I112" s="483"/>
      <c r="J112" s="485"/>
      <c r="K112" s="487"/>
      <c r="L112" s="483"/>
      <c r="M112" s="485"/>
      <c r="N112" s="485"/>
      <c r="O112" s="488"/>
    </row>
    <row r="113" spans="1:17" ht="25.5" x14ac:dyDescent="0.35">
      <c r="A113" s="625">
        <v>9</v>
      </c>
      <c r="B113" s="626" t="s">
        <v>0</v>
      </c>
      <c r="C113" s="439" t="s">
        <v>361</v>
      </c>
      <c r="D113" s="440">
        <v>6769.5865642874924</v>
      </c>
      <c r="E113" s="441">
        <v>5.8037117849974965E-2</v>
      </c>
      <c r="F113" s="440">
        <v>116642.36294067474</v>
      </c>
      <c r="G113" s="442">
        <v>145457.19220615187</v>
      </c>
      <c r="H113" s="443">
        <v>13629.338909716431</v>
      </c>
      <c r="I113" s="440">
        <v>5012.5457926550698</v>
      </c>
      <c r="J113" s="444">
        <v>508.14522475832803</v>
      </c>
      <c r="K113" s="443">
        <v>13032.88066833308</v>
      </c>
      <c r="L113" s="440">
        <v>25524.10953375329</v>
      </c>
      <c r="M113" s="442">
        <v>1384.7280647113867</v>
      </c>
      <c r="N113" s="444">
        <v>24139.381469041902</v>
      </c>
      <c r="O113" s="445">
        <v>821.45573876408753</v>
      </c>
      <c r="Q113" s="409" t="str">
        <f t="shared" ref="Q113" si="59">IF(AND(ISBLANK(B113), ISBLANK(C113)), "X", "")</f>
        <v/>
      </c>
    </row>
    <row r="114" spans="1:17" x14ac:dyDescent="0.35">
      <c r="A114" s="625"/>
      <c r="B114" s="627"/>
      <c r="C114" s="446" t="s">
        <v>306</v>
      </c>
      <c r="D114" s="447">
        <f>IF(D113="","",D113-D109)</f>
        <v>77.706699804170967</v>
      </c>
      <c r="E114" s="448">
        <f t="shared" ref="E114:O114" si="60">IF(E113="","",E113-E109)</f>
        <v>0</v>
      </c>
      <c r="F114" s="447">
        <f t="shared" si="60"/>
        <v>1338.9138310596609</v>
      </c>
      <c r="G114" s="449">
        <f t="shared" si="60"/>
        <v>14289.368527851155</v>
      </c>
      <c r="H114" s="450">
        <f t="shared" si="60"/>
        <v>1338.9138310596536</v>
      </c>
      <c r="I114" s="447">
        <f t="shared" si="60"/>
        <v>0</v>
      </c>
      <c r="J114" s="449">
        <f t="shared" si="60"/>
        <v>17.27999581154603</v>
      </c>
      <c r="K114" s="451">
        <f t="shared" si="60"/>
        <v>0</v>
      </c>
      <c r="L114" s="447">
        <f t="shared" si="60"/>
        <v>94.986695615720237</v>
      </c>
      <c r="M114" s="449">
        <f t="shared" si="60"/>
        <v>0</v>
      </c>
      <c r="N114" s="449">
        <f t="shared" si="60"/>
        <v>94.986695615720237</v>
      </c>
      <c r="O114" s="452">
        <f t="shared" si="60"/>
        <v>94.986695615715234</v>
      </c>
    </row>
    <row r="115" spans="1:17" x14ac:dyDescent="0.35">
      <c r="A115" s="625"/>
      <c r="B115" s="438"/>
      <c r="C115" s="489" t="s">
        <v>347</v>
      </c>
      <c r="D115" s="483">
        <f>IF(D113="","",D113-D$80)</f>
        <v>-659.74541435949868</v>
      </c>
      <c r="E115" s="484">
        <f t="shared" ref="E115:O115" si="61">IF(E113="","",E113-E$80)</f>
        <v>-1.9270877440105347E-3</v>
      </c>
      <c r="F115" s="483">
        <f t="shared" si="61"/>
        <v>-7253.7498328456713</v>
      </c>
      <c r="G115" s="485">
        <f t="shared" si="61"/>
        <v>8995.391917928413</v>
      </c>
      <c r="H115" s="486">
        <f t="shared" si="61"/>
        <v>842.86822270989251</v>
      </c>
      <c r="I115" s="483">
        <f t="shared" si="61"/>
        <v>-198.76388888888869</v>
      </c>
      <c r="J115" s="485">
        <f t="shared" si="61"/>
        <v>12.024654311014729</v>
      </c>
      <c r="K115" s="487">
        <f t="shared" si="61"/>
        <v>0</v>
      </c>
      <c r="L115" s="483">
        <f t="shared" si="61"/>
        <v>-846.484648937374</v>
      </c>
      <c r="M115" s="485">
        <f t="shared" si="61"/>
        <v>-10.712423398609189</v>
      </c>
      <c r="N115" s="485">
        <f t="shared" si="61"/>
        <v>-835.77222553876709</v>
      </c>
      <c r="O115" s="488">
        <f t="shared" si="61"/>
        <v>-550.0420279071061</v>
      </c>
    </row>
    <row r="116" spans="1:17" ht="6" customHeight="1" x14ac:dyDescent="0.35">
      <c r="A116" s="482"/>
      <c r="B116" s="438"/>
      <c r="C116" s="489"/>
      <c r="D116" s="483"/>
      <c r="E116" s="484"/>
      <c r="F116" s="483"/>
      <c r="G116" s="485"/>
      <c r="H116" s="486"/>
      <c r="I116" s="483"/>
      <c r="J116" s="485"/>
      <c r="K116" s="487"/>
      <c r="L116" s="483"/>
      <c r="M116" s="485"/>
      <c r="N116" s="485"/>
      <c r="O116" s="488"/>
    </row>
    <row r="117" spans="1:17" ht="25.5" x14ac:dyDescent="0.35">
      <c r="A117" s="625">
        <v>10</v>
      </c>
      <c r="B117" s="626" t="s">
        <v>365</v>
      </c>
      <c r="C117" s="439" t="s">
        <v>366</v>
      </c>
      <c r="D117" s="440">
        <v>6768.6775269602094</v>
      </c>
      <c r="E117" s="441">
        <v>5.8037117849974965E-2</v>
      </c>
      <c r="F117" s="440">
        <v>116626.69990706869</v>
      </c>
      <c r="G117" s="442">
        <v>145290.0306948814</v>
      </c>
      <c r="H117" s="443">
        <v>13613.675876110388</v>
      </c>
      <c r="I117" s="440">
        <v>5012.5457926550698</v>
      </c>
      <c r="J117" s="444">
        <v>507.94304807818037</v>
      </c>
      <c r="K117" s="443">
        <v>13032.88066833308</v>
      </c>
      <c r="L117" s="440">
        <v>25522.998319745857</v>
      </c>
      <c r="M117" s="442">
        <v>1384.7280647113867</v>
      </c>
      <c r="N117" s="444">
        <v>24138.270255034469</v>
      </c>
      <c r="O117" s="445">
        <v>820.34452475665614</v>
      </c>
      <c r="Q117" s="409" t="str">
        <f t="shared" ref="Q117" si="62">IF(AND(ISBLANK(B117), ISBLANK(C117)), "X", "")</f>
        <v/>
      </c>
    </row>
    <row r="118" spans="1:17" x14ac:dyDescent="0.35">
      <c r="A118" s="625"/>
      <c r="B118" s="627"/>
      <c r="C118" s="446" t="s">
        <v>306</v>
      </c>
      <c r="D118" s="447">
        <f>IF(D117="","",D117-D113)</f>
        <v>-0.90903732728293107</v>
      </c>
      <c r="E118" s="448">
        <f t="shared" ref="E118:O118" si="63">IF(E117="","",E117-E113)</f>
        <v>0</v>
      </c>
      <c r="F118" s="447">
        <f t="shared" si="63"/>
        <v>-15.663033606047975</v>
      </c>
      <c r="G118" s="449">
        <f t="shared" si="63"/>
        <v>-167.16151127047488</v>
      </c>
      <c r="H118" s="450">
        <f t="shared" si="63"/>
        <v>-15.663033606042518</v>
      </c>
      <c r="I118" s="447">
        <f t="shared" si="63"/>
        <v>0</v>
      </c>
      <c r="J118" s="449">
        <f t="shared" si="63"/>
        <v>-0.20217668014765877</v>
      </c>
      <c r="K118" s="451">
        <f t="shared" si="63"/>
        <v>0</v>
      </c>
      <c r="L118" s="447">
        <f t="shared" si="63"/>
        <v>-1.1112140074328636</v>
      </c>
      <c r="M118" s="449">
        <f t="shared" si="63"/>
        <v>0</v>
      </c>
      <c r="N118" s="449">
        <f t="shared" si="63"/>
        <v>-1.1112140074328636</v>
      </c>
      <c r="O118" s="452">
        <f t="shared" si="63"/>
        <v>-1.1112140074313857</v>
      </c>
    </row>
    <row r="119" spans="1:17" x14ac:dyDescent="0.35">
      <c r="A119" s="625"/>
      <c r="B119" s="438"/>
      <c r="C119" s="489" t="s">
        <v>347</v>
      </c>
      <c r="D119" s="483">
        <f>IF(D117="","",D117-D$80)</f>
        <v>-660.65445168678161</v>
      </c>
      <c r="E119" s="484">
        <f t="shared" ref="E119:O119" si="64">IF(E117="","",E117-E$80)</f>
        <v>-1.9270877440105347E-3</v>
      </c>
      <c r="F119" s="483">
        <f t="shared" si="64"/>
        <v>-7269.4128664517193</v>
      </c>
      <c r="G119" s="485">
        <f t="shared" si="64"/>
        <v>8828.2304066579381</v>
      </c>
      <c r="H119" s="486">
        <f t="shared" si="64"/>
        <v>827.20518910384999</v>
      </c>
      <c r="I119" s="483">
        <f t="shared" si="64"/>
        <v>-198.76388888888869</v>
      </c>
      <c r="J119" s="485">
        <f t="shared" si="64"/>
        <v>11.82247763086707</v>
      </c>
      <c r="K119" s="487">
        <f t="shared" si="64"/>
        <v>0</v>
      </c>
      <c r="L119" s="483">
        <f t="shared" si="64"/>
        <v>-847.59586294480687</v>
      </c>
      <c r="M119" s="485">
        <f t="shared" si="64"/>
        <v>-10.712423398609189</v>
      </c>
      <c r="N119" s="485">
        <f t="shared" si="64"/>
        <v>-836.88343954619995</v>
      </c>
      <c r="O119" s="488">
        <f t="shared" si="64"/>
        <v>-551.15324191453749</v>
      </c>
    </row>
    <row r="120" spans="1:17" ht="6" customHeight="1" x14ac:dyDescent="0.35">
      <c r="A120" s="513"/>
      <c r="B120" s="438"/>
      <c r="C120" s="489"/>
      <c r="D120" s="483"/>
      <c r="E120" s="484"/>
      <c r="F120" s="483"/>
      <c r="G120" s="485"/>
      <c r="H120" s="486"/>
      <c r="I120" s="483"/>
      <c r="J120" s="485"/>
      <c r="K120" s="487"/>
      <c r="L120" s="483"/>
      <c r="M120" s="485"/>
      <c r="N120" s="485"/>
      <c r="O120" s="488"/>
    </row>
    <row r="121" spans="1:17" ht="38.25" x14ac:dyDescent="0.35">
      <c r="A121" s="625">
        <v>30</v>
      </c>
      <c r="B121" s="626" t="s">
        <v>367</v>
      </c>
      <c r="C121" s="439" t="s">
        <v>368</v>
      </c>
      <c r="D121" s="440">
        <f>IF($C121="","",'7. Cost_of_Capital'!$P$58)</f>
        <v>6751.4363653330847</v>
      </c>
      <c r="E121" s="441">
        <f>IF($C121="","",'7. Cost_of_Capital'!$L$58)</f>
        <v>5.8037117849974965E-2</v>
      </c>
      <c r="F121" s="440">
        <f>IF($C121="","",'4. Rate_Base'!$W$18)</f>
        <v>116329.62861431958</v>
      </c>
      <c r="G121" s="442">
        <f>IF($C121="","",'4. Rate_Base'!$W$26)</f>
        <v>142119.57933149702</v>
      </c>
      <c r="H121" s="443">
        <f>IF($C121="","",'4. Rate_Base'!$W$30)</f>
        <v>13316.604583361272</v>
      </c>
      <c r="I121" s="440">
        <f>IF($C121="","",'9. Rev_Reqt'!$N$16)</f>
        <v>5012.5457926550698</v>
      </c>
      <c r="J121" s="444">
        <f>IF($C121="","",'9. Rev_Reqt'!$N$19)</f>
        <v>504.10861636911068</v>
      </c>
      <c r="K121" s="443">
        <f>IF($C121="","",'9. Rev_Reqt'!$N$15)</f>
        <v>13032.88066833308</v>
      </c>
      <c r="L121" s="440">
        <f>IF($C121="","",'9. Rev_Reqt'!$N$25)</f>
        <v>25501.922726409663</v>
      </c>
      <c r="M121" s="442">
        <f>IF($C121="","",'9. Rev_Reqt'!$N$32)</f>
        <v>1384.7280647113867</v>
      </c>
      <c r="N121" s="444">
        <f>IF($C121="","",'9. Rev_Reqt'!$N$28)</f>
        <v>24117.194661698275</v>
      </c>
      <c r="O121" s="445">
        <f>IF($C121="","",'8. Rev_Def_Suff'!$N$52)</f>
        <v>799.26893142046276</v>
      </c>
      <c r="Q121" s="409" t="str">
        <f>IF(AND(ISBLANK(B121), ISBLANK(#REF!)), "X", "")</f>
        <v/>
      </c>
    </row>
    <row r="122" spans="1:17" x14ac:dyDescent="0.35">
      <c r="A122" s="625"/>
      <c r="B122" s="627"/>
      <c r="C122" s="446" t="s">
        <v>306</v>
      </c>
      <c r="D122" s="447">
        <f>IF(D121="","",D121-D117)</f>
        <v>-17.241161627124711</v>
      </c>
      <c r="E122" s="448">
        <f t="shared" ref="E122:O122" si="65">IF(E121="","",E121-E117)</f>
        <v>0</v>
      </c>
      <c r="F122" s="447">
        <f t="shared" si="65"/>
        <v>-297.07129274911131</v>
      </c>
      <c r="G122" s="449">
        <f t="shared" si="65"/>
        <v>-3170.4513633843744</v>
      </c>
      <c r="H122" s="450">
        <f t="shared" si="65"/>
        <v>-297.07129274911676</v>
      </c>
      <c r="I122" s="447">
        <f t="shared" si="65"/>
        <v>0</v>
      </c>
      <c r="J122" s="449">
        <f t="shared" si="65"/>
        <v>-3.8344317090696904</v>
      </c>
      <c r="K122" s="451">
        <f t="shared" si="65"/>
        <v>0</v>
      </c>
      <c r="L122" s="447">
        <f t="shared" si="65"/>
        <v>-21.075593336194288</v>
      </c>
      <c r="M122" s="449">
        <f t="shared" si="65"/>
        <v>0</v>
      </c>
      <c r="N122" s="449">
        <f t="shared" si="65"/>
        <v>-21.075593336194288</v>
      </c>
      <c r="O122" s="452">
        <f t="shared" si="65"/>
        <v>-21.075593336193378</v>
      </c>
    </row>
    <row r="123" spans="1:17" x14ac:dyDescent="0.35">
      <c r="A123" s="625"/>
      <c r="B123" s="438"/>
      <c r="C123" s="489" t="s">
        <v>347</v>
      </c>
      <c r="D123" s="483">
        <f>IF(D121="","",D121-D$80)</f>
        <v>-677.89561331390632</v>
      </c>
      <c r="E123" s="484">
        <f t="shared" ref="E123:O123" si="66">IF(E121="","",E121-E$80)</f>
        <v>-1.9270877440105347E-3</v>
      </c>
      <c r="F123" s="483">
        <f t="shared" si="66"/>
        <v>-7566.4841592008306</v>
      </c>
      <c r="G123" s="485">
        <f t="shared" si="66"/>
        <v>5657.7790432735637</v>
      </c>
      <c r="H123" s="486">
        <f t="shared" si="66"/>
        <v>530.13389635473322</v>
      </c>
      <c r="I123" s="483">
        <f t="shared" si="66"/>
        <v>-198.76388888888869</v>
      </c>
      <c r="J123" s="485">
        <f t="shared" si="66"/>
        <v>7.9880459217973794</v>
      </c>
      <c r="K123" s="487">
        <f t="shared" si="66"/>
        <v>0</v>
      </c>
      <c r="L123" s="483">
        <f t="shared" si="66"/>
        <v>-868.67145628100116</v>
      </c>
      <c r="M123" s="485">
        <f t="shared" si="66"/>
        <v>-10.712423398609189</v>
      </c>
      <c r="N123" s="485">
        <f t="shared" si="66"/>
        <v>-857.95903288239424</v>
      </c>
      <c r="O123" s="488">
        <f t="shared" si="66"/>
        <v>-572.22883525073087</v>
      </c>
    </row>
    <row r="124" spans="1:17" ht="6" hidden="1" customHeight="1" x14ac:dyDescent="0.35">
      <c r="A124" s="513"/>
      <c r="B124" s="438"/>
      <c r="C124" s="489"/>
      <c r="D124" s="483"/>
      <c r="E124" s="484"/>
      <c r="F124" s="483"/>
      <c r="G124" s="485"/>
      <c r="H124" s="486"/>
      <c r="I124" s="483"/>
      <c r="J124" s="485"/>
      <c r="K124" s="487"/>
      <c r="L124" s="483"/>
      <c r="M124" s="485"/>
      <c r="N124" s="485"/>
      <c r="O124" s="488"/>
    </row>
    <row r="125" spans="1:17" hidden="1" x14ac:dyDescent="0.35">
      <c r="A125" s="625">
        <v>31</v>
      </c>
      <c r="B125" s="626"/>
      <c r="C125" s="439"/>
      <c r="D125" s="440" t="str">
        <f>IF($C125="","",'7. Cost_of_Capital'!$P$58)</f>
        <v/>
      </c>
      <c r="E125" s="441" t="str">
        <f>IF($C125="","",'7. Cost_of_Capital'!$L$58)</f>
        <v/>
      </c>
      <c r="F125" s="440" t="str">
        <f>IF($C125="","",'4. Rate_Base'!$W$18)</f>
        <v/>
      </c>
      <c r="G125" s="442" t="str">
        <f>IF($C125="","",'4. Rate_Base'!$W$26)</f>
        <v/>
      </c>
      <c r="H125" s="443" t="str">
        <f>IF($C125="","",'4. Rate_Base'!$W$30)</f>
        <v/>
      </c>
      <c r="I125" s="440" t="str">
        <f>IF($C125="","",'9. Rev_Reqt'!$N$16)</f>
        <v/>
      </c>
      <c r="J125" s="444" t="str">
        <f>IF($C125="","",'9. Rev_Reqt'!$N$19)</f>
        <v/>
      </c>
      <c r="K125" s="443" t="str">
        <f>IF($C125="","",'9. Rev_Reqt'!$N$15)</f>
        <v/>
      </c>
      <c r="L125" s="440" t="str">
        <f>IF($C125="","",'9. Rev_Reqt'!$N$25)</f>
        <v/>
      </c>
      <c r="M125" s="442" t="str">
        <f>IF($C125="","",'9. Rev_Reqt'!$N$32)</f>
        <v/>
      </c>
      <c r="N125" s="444" t="str">
        <f>IF($C125="","",'9. Rev_Reqt'!$N$28)</f>
        <v/>
      </c>
      <c r="O125" s="445" t="str">
        <f>IF($C125="","",'8. Rev_Def_Suff'!$N$52)</f>
        <v/>
      </c>
      <c r="Q125" s="409" t="str">
        <f t="shared" ref="Q125" si="67">IF(AND(ISBLANK(B125), ISBLANK(C125)), "X", "")</f>
        <v>X</v>
      </c>
    </row>
    <row r="126" spans="1:17" hidden="1" x14ac:dyDescent="0.35">
      <c r="A126" s="625"/>
      <c r="B126" s="627"/>
      <c r="C126" s="446" t="s">
        <v>306</v>
      </c>
      <c r="D126" s="447" t="str">
        <f>IF(D125="","",D125-D121)</f>
        <v/>
      </c>
      <c r="E126" s="448" t="str">
        <f t="shared" ref="E126:O126" si="68">IF(E125="","",E125-E121)</f>
        <v/>
      </c>
      <c r="F126" s="447" t="str">
        <f t="shared" si="68"/>
        <v/>
      </c>
      <c r="G126" s="449" t="str">
        <f t="shared" si="68"/>
        <v/>
      </c>
      <c r="H126" s="450" t="str">
        <f t="shared" si="68"/>
        <v/>
      </c>
      <c r="I126" s="447" t="str">
        <f t="shared" si="68"/>
        <v/>
      </c>
      <c r="J126" s="449" t="str">
        <f t="shared" si="68"/>
        <v/>
      </c>
      <c r="K126" s="451" t="str">
        <f t="shared" si="68"/>
        <v/>
      </c>
      <c r="L126" s="447" t="str">
        <f t="shared" si="68"/>
        <v/>
      </c>
      <c r="M126" s="449" t="str">
        <f t="shared" si="68"/>
        <v/>
      </c>
      <c r="N126" s="449" t="str">
        <f t="shared" si="68"/>
        <v/>
      </c>
      <c r="O126" s="452" t="str">
        <f t="shared" si="68"/>
        <v/>
      </c>
    </row>
    <row r="127" spans="1:17" hidden="1" x14ac:dyDescent="0.35">
      <c r="A127" s="625"/>
      <c r="B127" s="438"/>
      <c r="C127" s="416"/>
      <c r="D127" s="483" t="str">
        <f>IF(D125="","",D125-D$80)</f>
        <v/>
      </c>
      <c r="E127" s="484" t="str">
        <f t="shared" ref="E127:O127" si="69">IF(E125="","",E125-E$80)</f>
        <v/>
      </c>
      <c r="F127" s="483" t="str">
        <f t="shared" si="69"/>
        <v/>
      </c>
      <c r="G127" s="485" t="str">
        <f t="shared" si="69"/>
        <v/>
      </c>
      <c r="H127" s="486" t="str">
        <f t="shared" si="69"/>
        <v/>
      </c>
      <c r="I127" s="483" t="str">
        <f t="shared" si="69"/>
        <v/>
      </c>
      <c r="J127" s="485" t="str">
        <f t="shared" si="69"/>
        <v/>
      </c>
      <c r="K127" s="487" t="str">
        <f t="shared" si="69"/>
        <v/>
      </c>
      <c r="L127" s="483" t="str">
        <f t="shared" si="69"/>
        <v/>
      </c>
      <c r="M127" s="485" t="str">
        <f t="shared" si="69"/>
        <v/>
      </c>
      <c r="N127" s="485" t="str">
        <f t="shared" si="69"/>
        <v/>
      </c>
      <c r="O127" s="488" t="str">
        <f t="shared" si="69"/>
        <v/>
      </c>
    </row>
    <row r="128" spans="1:17" ht="6" hidden="1" customHeight="1" x14ac:dyDescent="0.35">
      <c r="A128" s="513"/>
      <c r="B128" s="438"/>
      <c r="C128" s="489"/>
      <c r="D128" s="483"/>
      <c r="E128" s="484"/>
      <c r="F128" s="483"/>
      <c r="G128" s="485"/>
      <c r="H128" s="486"/>
      <c r="I128" s="483"/>
      <c r="J128" s="485"/>
      <c r="K128" s="487"/>
      <c r="L128" s="483"/>
      <c r="M128" s="485"/>
      <c r="N128" s="485"/>
      <c r="O128" s="488"/>
    </row>
    <row r="129" spans="1:18" hidden="1" x14ac:dyDescent="0.35">
      <c r="A129" s="625">
        <v>32</v>
      </c>
      <c r="B129" s="626"/>
      <c r="C129" s="439"/>
      <c r="D129" s="440"/>
      <c r="E129" s="441"/>
      <c r="F129" s="440"/>
      <c r="G129" s="442"/>
      <c r="H129" s="443"/>
      <c r="I129" s="440"/>
      <c r="J129" s="444"/>
      <c r="K129" s="443"/>
      <c r="L129" s="440"/>
      <c r="M129" s="442"/>
      <c r="N129" s="444"/>
      <c r="O129" s="445"/>
      <c r="Q129" s="409" t="str">
        <f t="shared" ref="Q129" si="70">IF(AND(ISBLANK(B129), ISBLANK(C129)), "X", "")</f>
        <v>X</v>
      </c>
    </row>
    <row r="130" spans="1:18" hidden="1" x14ac:dyDescent="0.35">
      <c r="A130" s="625"/>
      <c r="B130" s="627"/>
      <c r="C130" s="446" t="s">
        <v>306</v>
      </c>
      <c r="D130" s="453"/>
      <c r="E130" s="448"/>
      <c r="F130" s="453"/>
      <c r="G130" s="454"/>
      <c r="H130" s="436"/>
      <c r="I130" s="453"/>
      <c r="J130" s="454"/>
      <c r="K130" s="455"/>
      <c r="L130" s="453"/>
      <c r="M130" s="454"/>
      <c r="N130" s="454"/>
      <c r="O130" s="456"/>
    </row>
    <row r="131" spans="1:18" hidden="1" x14ac:dyDescent="0.35">
      <c r="A131" s="625"/>
      <c r="B131" s="438"/>
      <c r="C131" s="416"/>
      <c r="D131" s="426"/>
      <c r="E131" s="427"/>
      <c r="F131" s="426"/>
      <c r="G131" s="428"/>
      <c r="H131" s="427"/>
      <c r="I131" s="426"/>
      <c r="J131" s="428"/>
      <c r="K131" s="427"/>
      <c r="L131" s="426"/>
      <c r="M131" s="428"/>
      <c r="N131" s="428"/>
      <c r="O131" s="416"/>
    </row>
    <row r="132" spans="1:18" hidden="1" x14ac:dyDescent="0.35">
      <c r="A132" s="625">
        <v>33</v>
      </c>
      <c r="B132" s="626"/>
      <c r="C132" s="439"/>
      <c r="D132" s="440"/>
      <c r="E132" s="441"/>
      <c r="F132" s="440"/>
      <c r="G132" s="442"/>
      <c r="H132" s="443"/>
      <c r="I132" s="440"/>
      <c r="J132" s="444"/>
      <c r="K132" s="443"/>
      <c r="L132" s="440"/>
      <c r="M132" s="442"/>
      <c r="N132" s="444"/>
      <c r="O132" s="445"/>
      <c r="Q132" s="409" t="str">
        <f t="shared" ref="Q132" si="71">IF(AND(ISBLANK(B132), ISBLANK(C132)), "X", "")</f>
        <v>X</v>
      </c>
    </row>
    <row r="133" spans="1:18" hidden="1" x14ac:dyDescent="0.35">
      <c r="A133" s="625"/>
      <c r="B133" s="627"/>
      <c r="C133" s="446" t="s">
        <v>306</v>
      </c>
      <c r="D133" s="453"/>
      <c r="E133" s="448"/>
      <c r="F133" s="453"/>
      <c r="G133" s="454"/>
      <c r="H133" s="436"/>
      <c r="I133" s="453"/>
      <c r="J133" s="454"/>
      <c r="K133" s="455"/>
      <c r="L133" s="453"/>
      <c r="M133" s="454"/>
      <c r="N133" s="454"/>
      <c r="O133" s="456"/>
    </row>
    <row r="134" spans="1:18" hidden="1" x14ac:dyDescent="0.35">
      <c r="A134" s="625"/>
      <c r="B134" s="438"/>
      <c r="C134" s="416"/>
      <c r="D134" s="426"/>
      <c r="E134" s="427"/>
      <c r="F134" s="426"/>
      <c r="G134" s="428"/>
      <c r="H134" s="427"/>
      <c r="I134" s="426"/>
      <c r="J134" s="428"/>
      <c r="K134" s="427"/>
      <c r="L134" s="426"/>
      <c r="M134" s="428"/>
      <c r="N134" s="428"/>
      <c r="O134" s="416"/>
    </row>
    <row r="135" spans="1:18" hidden="1" x14ac:dyDescent="0.35">
      <c r="A135" s="625">
        <v>34</v>
      </c>
      <c r="B135" s="626"/>
      <c r="C135" s="439"/>
      <c r="D135" s="440"/>
      <c r="E135" s="441"/>
      <c r="F135" s="440"/>
      <c r="G135" s="442"/>
      <c r="H135" s="443"/>
      <c r="I135" s="440"/>
      <c r="J135" s="444"/>
      <c r="K135" s="443"/>
      <c r="L135" s="440"/>
      <c r="M135" s="442"/>
      <c r="N135" s="444"/>
      <c r="O135" s="445"/>
      <c r="Q135" s="409" t="str">
        <f t="shared" ref="Q135" si="72">IF(AND(ISBLANK(B135), ISBLANK(C135)), "X", "")</f>
        <v>X</v>
      </c>
    </row>
    <row r="136" spans="1:18" hidden="1" x14ac:dyDescent="0.35">
      <c r="A136" s="625"/>
      <c r="B136" s="627"/>
      <c r="C136" s="446" t="s">
        <v>306</v>
      </c>
      <c r="D136" s="453"/>
      <c r="E136" s="448"/>
      <c r="F136" s="453"/>
      <c r="G136" s="454"/>
      <c r="H136" s="436"/>
      <c r="I136" s="453"/>
      <c r="J136" s="454"/>
      <c r="K136" s="455"/>
      <c r="L136" s="453"/>
      <c r="M136" s="454"/>
      <c r="N136" s="454"/>
      <c r="O136" s="456"/>
    </row>
    <row r="137" spans="1:18" hidden="1" x14ac:dyDescent="0.35">
      <c r="A137" s="625"/>
      <c r="B137" s="438"/>
      <c r="C137" s="416"/>
      <c r="D137" s="426"/>
      <c r="E137" s="427"/>
      <c r="F137" s="426"/>
      <c r="G137" s="428"/>
      <c r="H137" s="427"/>
      <c r="I137" s="426"/>
      <c r="J137" s="428"/>
      <c r="K137" s="427"/>
      <c r="L137" s="426"/>
      <c r="M137" s="428"/>
      <c r="N137" s="428"/>
      <c r="O137" s="416"/>
    </row>
    <row r="138" spans="1:18" hidden="1" x14ac:dyDescent="0.35">
      <c r="A138" s="625">
        <v>35</v>
      </c>
      <c r="B138" s="626"/>
      <c r="C138" s="439"/>
      <c r="D138" s="440"/>
      <c r="E138" s="441"/>
      <c r="F138" s="440"/>
      <c r="G138" s="442"/>
      <c r="H138" s="443"/>
      <c r="I138" s="440"/>
      <c r="J138" s="444"/>
      <c r="K138" s="443"/>
      <c r="L138" s="440"/>
      <c r="M138" s="442"/>
      <c r="N138" s="444"/>
      <c r="O138" s="445"/>
      <c r="Q138" s="409" t="str">
        <f t="shared" ref="Q138" si="73">IF(AND(ISBLANK(B138), ISBLANK(C138)), "X", "")</f>
        <v>X</v>
      </c>
    </row>
    <row r="139" spans="1:18" hidden="1" x14ac:dyDescent="0.35">
      <c r="A139" s="625"/>
      <c r="B139" s="627"/>
      <c r="C139" s="446" t="s">
        <v>306</v>
      </c>
      <c r="D139" s="453"/>
      <c r="E139" s="448"/>
      <c r="F139" s="453"/>
      <c r="G139" s="454"/>
      <c r="H139" s="436"/>
      <c r="I139" s="453"/>
      <c r="J139" s="454"/>
      <c r="K139" s="455"/>
      <c r="L139" s="453"/>
      <c r="M139" s="454"/>
      <c r="N139" s="454"/>
      <c r="O139" s="456"/>
    </row>
    <row r="140" spans="1:18" hidden="1" x14ac:dyDescent="0.35">
      <c r="A140" s="625"/>
      <c r="B140" s="438"/>
      <c r="C140" s="416"/>
      <c r="D140" s="426"/>
      <c r="E140" s="427"/>
      <c r="F140" s="426"/>
      <c r="G140" s="428"/>
      <c r="H140" s="427"/>
      <c r="I140" s="426"/>
      <c r="J140" s="428"/>
      <c r="K140" s="427"/>
      <c r="L140" s="426"/>
      <c r="M140" s="428"/>
      <c r="N140" s="428"/>
      <c r="O140" s="416"/>
    </row>
    <row r="141" spans="1:18" hidden="1" x14ac:dyDescent="0.35">
      <c r="A141" s="625">
        <v>36</v>
      </c>
      <c r="B141" s="626"/>
      <c r="C141" s="439"/>
      <c r="D141" s="440"/>
      <c r="E141" s="441"/>
      <c r="F141" s="440"/>
      <c r="G141" s="442"/>
      <c r="H141" s="443"/>
      <c r="I141" s="440"/>
      <c r="J141" s="444"/>
      <c r="K141" s="443"/>
      <c r="L141" s="440"/>
      <c r="M141" s="442"/>
      <c r="N141" s="444"/>
      <c r="O141" s="445"/>
      <c r="Q141" s="409" t="str">
        <f t="shared" ref="Q141" si="74">IF(AND(ISBLANK(B141), ISBLANK(C141)), "X", "")</f>
        <v>X</v>
      </c>
    </row>
    <row r="142" spans="1:18" hidden="1" x14ac:dyDescent="0.35">
      <c r="A142" s="625"/>
      <c r="B142" s="627"/>
      <c r="C142" s="446" t="s">
        <v>306</v>
      </c>
      <c r="D142" s="453"/>
      <c r="E142" s="448"/>
      <c r="F142" s="453"/>
      <c r="G142" s="454"/>
      <c r="H142" s="436"/>
      <c r="I142" s="453"/>
      <c r="J142" s="454"/>
      <c r="K142" s="455"/>
      <c r="L142" s="453"/>
      <c r="M142" s="454"/>
      <c r="N142" s="454"/>
      <c r="O142" s="456"/>
    </row>
    <row r="143" spans="1:18" hidden="1" x14ac:dyDescent="0.35">
      <c r="A143" s="625"/>
      <c r="B143" s="438"/>
      <c r="C143" s="416"/>
      <c r="D143" s="426"/>
      <c r="E143" s="427"/>
      <c r="F143" s="426"/>
      <c r="G143" s="428"/>
      <c r="H143" s="427"/>
      <c r="I143" s="426"/>
      <c r="J143" s="428"/>
      <c r="K143" s="427"/>
      <c r="L143" s="426"/>
      <c r="M143" s="428"/>
      <c r="N143" s="428"/>
      <c r="O143" s="416"/>
      <c r="R143" s="409" t="s">
        <v>308</v>
      </c>
    </row>
    <row r="144" spans="1:18" hidden="1" x14ac:dyDescent="0.35">
      <c r="A144" s="625">
        <v>37</v>
      </c>
      <c r="B144" s="626"/>
      <c r="C144" s="439"/>
      <c r="D144" s="440"/>
      <c r="E144" s="441"/>
      <c r="F144" s="440"/>
      <c r="G144" s="442"/>
      <c r="H144" s="443"/>
      <c r="I144" s="440"/>
      <c r="J144" s="444"/>
      <c r="K144" s="443"/>
      <c r="L144" s="440"/>
      <c r="M144" s="442"/>
      <c r="N144" s="444"/>
      <c r="O144" s="445"/>
      <c r="Q144" s="409" t="str">
        <f t="shared" ref="Q144" si="75">IF(AND(ISBLANK(B144), ISBLANK(C144)), "X", "")</f>
        <v>X</v>
      </c>
    </row>
    <row r="145" spans="1:17" hidden="1" x14ac:dyDescent="0.35">
      <c r="A145" s="625"/>
      <c r="B145" s="627"/>
      <c r="C145" s="446" t="s">
        <v>306</v>
      </c>
      <c r="D145" s="453"/>
      <c r="E145" s="448"/>
      <c r="F145" s="453"/>
      <c r="G145" s="454"/>
      <c r="H145" s="436"/>
      <c r="I145" s="453"/>
      <c r="J145" s="454"/>
      <c r="K145" s="455"/>
      <c r="L145" s="453"/>
      <c r="M145" s="454"/>
      <c r="N145" s="454"/>
      <c r="O145" s="456"/>
    </row>
    <row r="146" spans="1:17" hidden="1" x14ac:dyDescent="0.35">
      <c r="A146" s="625"/>
      <c r="B146" s="438"/>
      <c r="C146" s="416"/>
      <c r="D146" s="426"/>
      <c r="E146" s="427"/>
      <c r="F146" s="426"/>
      <c r="G146" s="428"/>
      <c r="H146" s="427"/>
      <c r="I146" s="426"/>
      <c r="J146" s="428"/>
      <c r="K146" s="427"/>
      <c r="L146" s="426"/>
      <c r="M146" s="428"/>
      <c r="N146" s="428"/>
      <c r="O146" s="416"/>
    </row>
    <row r="147" spans="1:17" hidden="1" x14ac:dyDescent="0.35">
      <c r="A147" s="625">
        <v>38</v>
      </c>
      <c r="B147" s="626"/>
      <c r="C147" s="439"/>
      <c r="D147" s="440"/>
      <c r="E147" s="441"/>
      <c r="F147" s="440"/>
      <c r="G147" s="442"/>
      <c r="H147" s="443"/>
      <c r="I147" s="440"/>
      <c r="J147" s="444"/>
      <c r="K147" s="443"/>
      <c r="L147" s="440"/>
      <c r="M147" s="442"/>
      <c r="N147" s="444"/>
      <c r="O147" s="445"/>
      <c r="Q147" s="409" t="str">
        <f t="shared" ref="Q147" si="76">IF(AND(ISBLANK(B147), ISBLANK(C147)), "X", "")</f>
        <v>X</v>
      </c>
    </row>
    <row r="148" spans="1:17" hidden="1" x14ac:dyDescent="0.35">
      <c r="A148" s="625"/>
      <c r="B148" s="627"/>
      <c r="C148" s="446" t="s">
        <v>306</v>
      </c>
      <c r="D148" s="453"/>
      <c r="E148" s="448"/>
      <c r="F148" s="453"/>
      <c r="G148" s="454"/>
      <c r="H148" s="436"/>
      <c r="I148" s="453"/>
      <c r="J148" s="454"/>
      <c r="K148" s="455"/>
      <c r="L148" s="453"/>
      <c r="M148" s="454"/>
      <c r="N148" s="454"/>
      <c r="O148" s="456"/>
    </row>
    <row r="149" spans="1:17" hidden="1" x14ac:dyDescent="0.35">
      <c r="A149" s="625"/>
      <c r="B149" s="438"/>
      <c r="C149" s="416"/>
      <c r="D149" s="426"/>
      <c r="E149" s="427"/>
      <c r="F149" s="426"/>
      <c r="G149" s="428"/>
      <c r="H149" s="427"/>
      <c r="I149" s="426"/>
      <c r="J149" s="428"/>
      <c r="K149" s="427"/>
      <c r="L149" s="426"/>
      <c r="M149" s="428"/>
      <c r="N149" s="428"/>
      <c r="O149" s="416"/>
    </row>
    <row r="150" spans="1:17" hidden="1" x14ac:dyDescent="0.35">
      <c r="A150" s="625">
        <v>39</v>
      </c>
      <c r="B150" s="626"/>
      <c r="C150" s="439"/>
      <c r="D150" s="440"/>
      <c r="E150" s="441"/>
      <c r="F150" s="440"/>
      <c r="G150" s="442"/>
      <c r="H150" s="443"/>
      <c r="I150" s="440"/>
      <c r="J150" s="444"/>
      <c r="K150" s="443"/>
      <c r="L150" s="440"/>
      <c r="M150" s="442"/>
      <c r="N150" s="444"/>
      <c r="O150" s="445"/>
      <c r="Q150" s="409" t="str">
        <f t="shared" ref="Q150" si="77">IF(AND(ISBLANK(B150), ISBLANK(C150)), "X", "")</f>
        <v>X</v>
      </c>
    </row>
    <row r="151" spans="1:17" hidden="1" x14ac:dyDescent="0.35">
      <c r="A151" s="625"/>
      <c r="B151" s="627"/>
      <c r="C151" s="446" t="s">
        <v>306</v>
      </c>
      <c r="D151" s="453"/>
      <c r="E151" s="448"/>
      <c r="F151" s="453"/>
      <c r="G151" s="454"/>
      <c r="H151" s="436"/>
      <c r="I151" s="453"/>
      <c r="J151" s="454"/>
      <c r="K151" s="455"/>
      <c r="L151" s="453"/>
      <c r="M151" s="454"/>
      <c r="N151" s="454"/>
      <c r="O151" s="456"/>
    </row>
    <row r="152" spans="1:17" hidden="1" x14ac:dyDescent="0.35">
      <c r="A152" s="625"/>
      <c r="B152" s="438"/>
      <c r="C152" s="416"/>
      <c r="D152" s="426"/>
      <c r="E152" s="427"/>
      <c r="F152" s="426"/>
      <c r="G152" s="428"/>
      <c r="H152" s="427"/>
      <c r="I152" s="426"/>
      <c r="J152" s="428"/>
      <c r="K152" s="427"/>
      <c r="L152" s="426"/>
      <c r="M152" s="428"/>
      <c r="N152" s="428"/>
      <c r="O152" s="416"/>
    </row>
    <row r="153" spans="1:17" hidden="1" x14ac:dyDescent="0.35">
      <c r="A153" s="625">
        <v>40</v>
      </c>
      <c r="B153" s="626"/>
      <c r="C153" s="439"/>
      <c r="D153" s="440"/>
      <c r="E153" s="441"/>
      <c r="F153" s="440"/>
      <c r="G153" s="442"/>
      <c r="H153" s="443"/>
      <c r="I153" s="440"/>
      <c r="J153" s="444"/>
      <c r="K153" s="443"/>
      <c r="L153" s="440"/>
      <c r="M153" s="442"/>
      <c r="N153" s="444"/>
      <c r="O153" s="445"/>
      <c r="Q153" s="409" t="str">
        <f t="shared" ref="Q153" si="78">IF(AND(ISBLANK(B153), ISBLANK(C153)), "X", "")</f>
        <v>X</v>
      </c>
    </row>
    <row r="154" spans="1:17" hidden="1" x14ac:dyDescent="0.35">
      <c r="A154" s="625"/>
      <c r="B154" s="627"/>
      <c r="C154" s="446" t="s">
        <v>306</v>
      </c>
      <c r="D154" s="453"/>
      <c r="E154" s="448"/>
      <c r="F154" s="453"/>
      <c r="G154" s="454"/>
      <c r="H154" s="436"/>
      <c r="I154" s="453"/>
      <c r="J154" s="454"/>
      <c r="K154" s="455"/>
      <c r="L154" s="453"/>
      <c r="M154" s="454"/>
      <c r="N154" s="454"/>
      <c r="O154" s="456"/>
    </row>
    <row r="155" spans="1:17" hidden="1" x14ac:dyDescent="0.35">
      <c r="A155" s="625"/>
      <c r="B155" s="438"/>
      <c r="C155" s="416"/>
      <c r="D155" s="426"/>
      <c r="E155" s="427"/>
      <c r="F155" s="426"/>
      <c r="G155" s="428"/>
      <c r="H155" s="427"/>
      <c r="I155" s="426"/>
      <c r="J155" s="428"/>
      <c r="K155" s="427"/>
      <c r="L155" s="426"/>
      <c r="M155" s="428"/>
      <c r="N155" s="428"/>
      <c r="O155" s="416"/>
    </row>
    <row r="156" spans="1:17" hidden="1" x14ac:dyDescent="0.35">
      <c r="A156" s="625">
        <v>41</v>
      </c>
      <c r="B156" s="626"/>
      <c r="C156" s="439"/>
      <c r="D156" s="440"/>
      <c r="E156" s="441"/>
      <c r="F156" s="440"/>
      <c r="G156" s="442"/>
      <c r="H156" s="443"/>
      <c r="I156" s="440"/>
      <c r="J156" s="444"/>
      <c r="K156" s="443"/>
      <c r="L156" s="440"/>
      <c r="M156" s="442"/>
      <c r="N156" s="444"/>
      <c r="O156" s="445"/>
      <c r="Q156" s="409" t="str">
        <f t="shared" ref="Q156" si="79">IF(AND(ISBLANK(B156), ISBLANK(C156)), "X", "")</f>
        <v>X</v>
      </c>
    </row>
    <row r="157" spans="1:17" hidden="1" x14ac:dyDescent="0.35">
      <c r="A157" s="625"/>
      <c r="B157" s="627"/>
      <c r="C157" s="446" t="s">
        <v>306</v>
      </c>
      <c r="D157" s="453"/>
      <c r="E157" s="448"/>
      <c r="F157" s="453"/>
      <c r="G157" s="454"/>
      <c r="H157" s="436"/>
      <c r="I157" s="453"/>
      <c r="J157" s="454"/>
      <c r="K157" s="455"/>
      <c r="L157" s="453"/>
      <c r="M157" s="454"/>
      <c r="N157" s="454"/>
      <c r="O157" s="456"/>
    </row>
    <row r="158" spans="1:17" hidden="1" x14ac:dyDescent="0.35">
      <c r="A158" s="625"/>
      <c r="B158" s="438"/>
      <c r="C158" s="416"/>
      <c r="D158" s="426"/>
      <c r="E158" s="427"/>
      <c r="F158" s="426"/>
      <c r="G158" s="428"/>
      <c r="H158" s="427"/>
      <c r="I158" s="426"/>
      <c r="J158" s="428"/>
      <c r="K158" s="427"/>
      <c r="L158" s="426"/>
      <c r="M158" s="428"/>
      <c r="N158" s="428"/>
      <c r="O158" s="416"/>
    </row>
    <row r="159" spans="1:17" hidden="1" x14ac:dyDescent="0.35">
      <c r="A159" s="625">
        <v>42</v>
      </c>
      <c r="B159" s="626"/>
      <c r="C159" s="439"/>
      <c r="D159" s="440"/>
      <c r="E159" s="441"/>
      <c r="F159" s="440"/>
      <c r="G159" s="442"/>
      <c r="H159" s="443"/>
      <c r="I159" s="440"/>
      <c r="J159" s="444"/>
      <c r="K159" s="443"/>
      <c r="L159" s="440"/>
      <c r="M159" s="442"/>
      <c r="N159" s="444"/>
      <c r="O159" s="445"/>
      <c r="Q159" s="409" t="str">
        <f t="shared" ref="Q159" si="80">IF(AND(ISBLANK(B159), ISBLANK(C159)), "X", "")</f>
        <v>X</v>
      </c>
    </row>
    <row r="160" spans="1:17" hidden="1" x14ac:dyDescent="0.35">
      <c r="A160" s="625"/>
      <c r="B160" s="627"/>
      <c r="C160" s="446" t="s">
        <v>306</v>
      </c>
      <c r="D160" s="453"/>
      <c r="E160" s="448"/>
      <c r="F160" s="453"/>
      <c r="G160" s="454"/>
      <c r="H160" s="436"/>
      <c r="I160" s="453"/>
      <c r="J160" s="454"/>
      <c r="K160" s="455"/>
      <c r="L160" s="453"/>
      <c r="M160" s="454"/>
      <c r="N160" s="454"/>
      <c r="O160" s="456"/>
    </row>
    <row r="161" spans="1:17" hidden="1" x14ac:dyDescent="0.35">
      <c r="A161" s="625"/>
      <c r="B161" s="438"/>
      <c r="C161" s="416"/>
      <c r="D161" s="426"/>
      <c r="E161" s="427"/>
      <c r="F161" s="426"/>
      <c r="G161" s="428"/>
      <c r="H161" s="427"/>
      <c r="I161" s="426"/>
      <c r="J161" s="428"/>
      <c r="K161" s="427"/>
      <c r="L161" s="426"/>
      <c r="M161" s="428"/>
      <c r="N161" s="428"/>
      <c r="O161" s="416"/>
    </row>
    <row r="162" spans="1:17" hidden="1" x14ac:dyDescent="0.35">
      <c r="A162" s="625">
        <v>43</v>
      </c>
      <c r="B162" s="626"/>
      <c r="C162" s="439"/>
      <c r="D162" s="440"/>
      <c r="E162" s="441"/>
      <c r="F162" s="440"/>
      <c r="G162" s="442"/>
      <c r="H162" s="443"/>
      <c r="I162" s="440"/>
      <c r="J162" s="444"/>
      <c r="K162" s="443"/>
      <c r="L162" s="440"/>
      <c r="M162" s="442"/>
      <c r="N162" s="444"/>
      <c r="O162" s="445"/>
      <c r="Q162" s="409" t="str">
        <f t="shared" ref="Q162" si="81">IF(AND(ISBLANK(B162), ISBLANK(C162)), "X", "")</f>
        <v>X</v>
      </c>
    </row>
    <row r="163" spans="1:17" hidden="1" x14ac:dyDescent="0.35">
      <c r="A163" s="625"/>
      <c r="B163" s="627"/>
      <c r="C163" s="446" t="s">
        <v>306</v>
      </c>
      <c r="D163" s="453"/>
      <c r="E163" s="448"/>
      <c r="F163" s="453"/>
      <c r="G163" s="454"/>
      <c r="H163" s="436"/>
      <c r="I163" s="453"/>
      <c r="J163" s="454"/>
      <c r="K163" s="455"/>
      <c r="L163" s="453"/>
      <c r="M163" s="454"/>
      <c r="N163" s="454"/>
      <c r="O163" s="456"/>
    </row>
    <row r="164" spans="1:17" hidden="1" x14ac:dyDescent="0.35">
      <c r="A164" s="625"/>
      <c r="B164" s="438"/>
      <c r="C164" s="416"/>
      <c r="D164" s="426"/>
      <c r="E164" s="427"/>
      <c r="F164" s="426"/>
      <c r="G164" s="428"/>
      <c r="H164" s="427"/>
      <c r="I164" s="426"/>
      <c r="J164" s="428"/>
      <c r="K164" s="427"/>
      <c r="L164" s="426"/>
      <c r="M164" s="428"/>
      <c r="N164" s="428"/>
      <c r="O164" s="416"/>
    </row>
    <row r="165" spans="1:17" hidden="1" x14ac:dyDescent="0.35">
      <c r="A165" s="625">
        <v>44</v>
      </c>
      <c r="B165" s="626"/>
      <c r="C165" s="439"/>
      <c r="D165" s="440"/>
      <c r="E165" s="441"/>
      <c r="F165" s="440"/>
      <c r="G165" s="442"/>
      <c r="H165" s="443"/>
      <c r="I165" s="440"/>
      <c r="J165" s="444"/>
      <c r="K165" s="443"/>
      <c r="L165" s="440"/>
      <c r="M165" s="442"/>
      <c r="N165" s="444"/>
      <c r="O165" s="445"/>
      <c r="Q165" s="409" t="str">
        <f t="shared" ref="Q165" si="82">IF(AND(ISBLANK(B165), ISBLANK(C165)), "X", "")</f>
        <v>X</v>
      </c>
    </row>
    <row r="166" spans="1:17" hidden="1" x14ac:dyDescent="0.35">
      <c r="A166" s="625"/>
      <c r="B166" s="627"/>
      <c r="C166" s="446" t="s">
        <v>306</v>
      </c>
      <c r="D166" s="453"/>
      <c r="E166" s="448"/>
      <c r="F166" s="453"/>
      <c r="G166" s="454"/>
      <c r="H166" s="436"/>
      <c r="I166" s="453"/>
      <c r="J166" s="454"/>
      <c r="K166" s="455"/>
      <c r="L166" s="453"/>
      <c r="M166" s="454"/>
      <c r="N166" s="454"/>
      <c r="O166" s="456"/>
    </row>
    <row r="167" spans="1:17" hidden="1" x14ac:dyDescent="0.35">
      <c r="A167" s="625"/>
      <c r="B167" s="438"/>
      <c r="C167" s="416"/>
      <c r="D167" s="426"/>
      <c r="E167" s="427"/>
      <c r="F167" s="426"/>
      <c r="G167" s="428"/>
      <c r="H167" s="427"/>
      <c r="I167" s="426"/>
      <c r="J167" s="428"/>
      <c r="K167" s="427"/>
      <c r="L167" s="426"/>
      <c r="M167" s="428"/>
      <c r="N167" s="428"/>
      <c r="O167" s="416"/>
    </row>
    <row r="168" spans="1:17" hidden="1" x14ac:dyDescent="0.35">
      <c r="A168" s="625">
        <v>45</v>
      </c>
      <c r="B168" s="626"/>
      <c r="C168" s="439"/>
      <c r="D168" s="440"/>
      <c r="E168" s="441"/>
      <c r="F168" s="440"/>
      <c r="G168" s="442"/>
      <c r="H168" s="443"/>
      <c r="I168" s="440"/>
      <c r="J168" s="444"/>
      <c r="K168" s="443"/>
      <c r="L168" s="440"/>
      <c r="M168" s="442"/>
      <c r="N168" s="444"/>
      <c r="O168" s="445"/>
      <c r="Q168" s="409" t="str">
        <f t="shared" ref="Q168" si="83">IF(AND(ISBLANK(B168), ISBLANK(C168)), "X", "")</f>
        <v>X</v>
      </c>
    </row>
    <row r="169" spans="1:17" hidden="1" x14ac:dyDescent="0.35">
      <c r="A169" s="625"/>
      <c r="B169" s="627"/>
      <c r="C169" s="446" t="s">
        <v>306</v>
      </c>
      <c r="D169" s="453"/>
      <c r="E169" s="448"/>
      <c r="F169" s="453"/>
      <c r="G169" s="454"/>
      <c r="H169" s="436"/>
      <c r="I169" s="453"/>
      <c r="J169" s="454"/>
      <c r="K169" s="455"/>
      <c r="L169" s="453"/>
      <c r="M169" s="454"/>
      <c r="N169" s="454"/>
      <c r="O169" s="456"/>
    </row>
    <row r="170" spans="1:17" hidden="1" x14ac:dyDescent="0.35">
      <c r="A170" s="625"/>
      <c r="B170" s="438"/>
      <c r="C170" s="416"/>
      <c r="D170" s="426"/>
      <c r="E170" s="427"/>
      <c r="F170" s="426"/>
      <c r="G170" s="428"/>
      <c r="H170" s="427"/>
      <c r="I170" s="426"/>
      <c r="J170" s="428"/>
      <c r="K170" s="427"/>
      <c r="L170" s="426"/>
      <c r="M170" s="428"/>
      <c r="N170" s="428"/>
      <c r="O170" s="416"/>
    </row>
    <row r="171" spans="1:17" hidden="1" x14ac:dyDescent="0.35">
      <c r="A171" s="625">
        <v>46</v>
      </c>
      <c r="B171" s="626"/>
      <c r="C171" s="439"/>
      <c r="D171" s="440"/>
      <c r="E171" s="441"/>
      <c r="F171" s="440"/>
      <c r="G171" s="442"/>
      <c r="H171" s="443"/>
      <c r="I171" s="440"/>
      <c r="J171" s="444"/>
      <c r="K171" s="443"/>
      <c r="L171" s="440"/>
      <c r="M171" s="442"/>
      <c r="N171" s="444"/>
      <c r="O171" s="445"/>
      <c r="Q171" s="409" t="str">
        <f t="shared" ref="Q171" si="84">IF(AND(ISBLANK(B171), ISBLANK(C171)), "X", "")</f>
        <v>X</v>
      </c>
    </row>
    <row r="172" spans="1:17" hidden="1" x14ac:dyDescent="0.35">
      <c r="A172" s="625"/>
      <c r="B172" s="627"/>
      <c r="C172" s="446" t="s">
        <v>306</v>
      </c>
      <c r="D172" s="453"/>
      <c r="E172" s="448"/>
      <c r="F172" s="453"/>
      <c r="G172" s="454"/>
      <c r="H172" s="436"/>
      <c r="I172" s="453"/>
      <c r="J172" s="454"/>
      <c r="K172" s="455"/>
      <c r="L172" s="453"/>
      <c r="M172" s="454"/>
      <c r="N172" s="454"/>
      <c r="O172" s="456"/>
    </row>
    <row r="173" spans="1:17" hidden="1" x14ac:dyDescent="0.35">
      <c r="A173" s="625"/>
      <c r="B173" s="438"/>
      <c r="C173" s="416"/>
      <c r="D173" s="426"/>
      <c r="E173" s="427"/>
      <c r="F173" s="426"/>
      <c r="G173" s="428"/>
      <c r="H173" s="427"/>
      <c r="I173" s="426"/>
      <c r="J173" s="428"/>
      <c r="K173" s="427"/>
      <c r="L173" s="426"/>
      <c r="M173" s="428"/>
      <c r="N173" s="428"/>
      <c r="O173" s="416"/>
    </row>
    <row r="174" spans="1:17" hidden="1" x14ac:dyDescent="0.35">
      <c r="A174" s="625">
        <v>47</v>
      </c>
      <c r="B174" s="626"/>
      <c r="C174" s="439"/>
      <c r="D174" s="440"/>
      <c r="E174" s="441"/>
      <c r="F174" s="440"/>
      <c r="G174" s="442"/>
      <c r="H174" s="443"/>
      <c r="I174" s="440"/>
      <c r="J174" s="444"/>
      <c r="K174" s="443"/>
      <c r="L174" s="440"/>
      <c r="M174" s="442"/>
      <c r="N174" s="444"/>
      <c r="O174" s="445"/>
      <c r="Q174" s="409" t="str">
        <f t="shared" ref="Q174" si="85">IF(AND(ISBLANK(B174), ISBLANK(C174)), "X", "")</f>
        <v>X</v>
      </c>
    </row>
    <row r="175" spans="1:17" hidden="1" x14ac:dyDescent="0.35">
      <c r="A175" s="625"/>
      <c r="B175" s="627"/>
      <c r="C175" s="446" t="s">
        <v>306</v>
      </c>
      <c r="D175" s="453"/>
      <c r="E175" s="448"/>
      <c r="F175" s="453"/>
      <c r="G175" s="454"/>
      <c r="H175" s="436"/>
      <c r="I175" s="453"/>
      <c r="J175" s="454"/>
      <c r="K175" s="455"/>
      <c r="L175" s="453"/>
      <c r="M175" s="454"/>
      <c r="N175" s="454"/>
      <c r="O175" s="456"/>
    </row>
    <row r="176" spans="1:17" hidden="1" x14ac:dyDescent="0.35">
      <c r="A176" s="625"/>
      <c r="B176" s="438"/>
      <c r="C176" s="416"/>
      <c r="D176" s="426"/>
      <c r="E176" s="427"/>
      <c r="F176" s="426"/>
      <c r="G176" s="428"/>
      <c r="H176" s="427"/>
      <c r="I176" s="426"/>
      <c r="J176" s="428"/>
      <c r="K176" s="427"/>
      <c r="L176" s="426"/>
      <c r="M176" s="428"/>
      <c r="N176" s="428"/>
      <c r="O176" s="416"/>
    </row>
    <row r="177" spans="1:17" hidden="1" x14ac:dyDescent="0.35">
      <c r="A177" s="625">
        <v>48</v>
      </c>
      <c r="B177" s="626"/>
      <c r="C177" s="439"/>
      <c r="D177" s="440"/>
      <c r="E177" s="441"/>
      <c r="F177" s="440"/>
      <c r="G177" s="442"/>
      <c r="H177" s="443"/>
      <c r="I177" s="440"/>
      <c r="J177" s="444"/>
      <c r="K177" s="443"/>
      <c r="L177" s="440"/>
      <c r="M177" s="442"/>
      <c r="N177" s="444"/>
      <c r="O177" s="445"/>
      <c r="Q177" s="409" t="str">
        <f t="shared" ref="Q177" si="86">IF(AND(ISBLANK(B177), ISBLANK(C177)), "X", "")</f>
        <v>X</v>
      </c>
    </row>
    <row r="178" spans="1:17" hidden="1" x14ac:dyDescent="0.35">
      <c r="A178" s="625"/>
      <c r="B178" s="627"/>
      <c r="C178" s="446" t="s">
        <v>306</v>
      </c>
      <c r="D178" s="453"/>
      <c r="E178" s="448"/>
      <c r="F178" s="453"/>
      <c r="G178" s="454"/>
      <c r="H178" s="436"/>
      <c r="I178" s="453"/>
      <c r="J178" s="454"/>
      <c r="K178" s="455"/>
      <c r="L178" s="453"/>
      <c r="M178" s="454"/>
      <c r="N178" s="454"/>
      <c r="O178" s="456"/>
    </row>
    <row r="179" spans="1:17" hidden="1" x14ac:dyDescent="0.35">
      <c r="A179" s="625"/>
      <c r="B179" s="438"/>
      <c r="C179" s="416"/>
      <c r="D179" s="426"/>
      <c r="E179" s="427"/>
      <c r="F179" s="426"/>
      <c r="G179" s="428"/>
      <c r="H179" s="427"/>
      <c r="I179" s="426"/>
      <c r="J179" s="428"/>
      <c r="K179" s="427"/>
      <c r="L179" s="426"/>
      <c r="M179" s="428"/>
      <c r="N179" s="428"/>
      <c r="O179" s="416"/>
    </row>
    <row r="180" spans="1:17" hidden="1" x14ac:dyDescent="0.35">
      <c r="A180" s="625">
        <v>49</v>
      </c>
      <c r="B180" s="626"/>
      <c r="C180" s="439"/>
      <c r="D180" s="440"/>
      <c r="E180" s="441"/>
      <c r="F180" s="440"/>
      <c r="G180" s="442"/>
      <c r="H180" s="443"/>
      <c r="I180" s="440"/>
      <c r="J180" s="444"/>
      <c r="K180" s="443"/>
      <c r="L180" s="440"/>
      <c r="M180" s="442"/>
      <c r="N180" s="444"/>
      <c r="O180" s="445"/>
      <c r="Q180" s="409" t="str">
        <f t="shared" ref="Q180" si="87">IF(AND(ISBLANK(B180), ISBLANK(C180)), "X", "")</f>
        <v>X</v>
      </c>
    </row>
    <row r="181" spans="1:17" hidden="1" x14ac:dyDescent="0.35">
      <c r="A181" s="625"/>
      <c r="B181" s="627"/>
      <c r="C181" s="446" t="s">
        <v>306</v>
      </c>
      <c r="D181" s="453"/>
      <c r="E181" s="448"/>
      <c r="F181" s="453"/>
      <c r="G181" s="454"/>
      <c r="H181" s="436"/>
      <c r="I181" s="453"/>
      <c r="J181" s="454"/>
      <c r="K181" s="455"/>
      <c r="L181" s="453"/>
      <c r="M181" s="454"/>
      <c r="N181" s="454"/>
      <c r="O181" s="456"/>
    </row>
    <row r="182" spans="1:17" hidden="1" x14ac:dyDescent="0.35">
      <c r="A182" s="625"/>
      <c r="B182" s="438"/>
      <c r="C182" s="416"/>
      <c r="D182" s="426"/>
      <c r="E182" s="427"/>
      <c r="F182" s="426"/>
      <c r="G182" s="428"/>
      <c r="H182" s="427"/>
      <c r="I182" s="426"/>
      <c r="J182" s="428"/>
      <c r="K182" s="427"/>
      <c r="L182" s="426"/>
      <c r="M182" s="428"/>
      <c r="N182" s="428"/>
      <c r="O182" s="416"/>
    </row>
    <row r="183" spans="1:17" hidden="1" x14ac:dyDescent="0.35">
      <c r="A183" s="625">
        <v>50</v>
      </c>
      <c r="B183" s="626"/>
      <c r="C183" s="439"/>
      <c r="D183" s="440"/>
      <c r="E183" s="441"/>
      <c r="F183" s="440"/>
      <c r="G183" s="442"/>
      <c r="H183" s="443"/>
      <c r="I183" s="440"/>
      <c r="J183" s="444"/>
      <c r="K183" s="443"/>
      <c r="L183" s="440"/>
      <c r="M183" s="442"/>
      <c r="N183" s="444"/>
      <c r="O183" s="445"/>
      <c r="Q183" s="409" t="str">
        <f t="shared" ref="Q183" si="88">IF(AND(ISBLANK(B183), ISBLANK(C183)), "X", "")</f>
        <v>X</v>
      </c>
    </row>
    <row r="184" spans="1:17" hidden="1" x14ac:dyDescent="0.35">
      <c r="A184" s="625"/>
      <c r="B184" s="627"/>
      <c r="C184" s="446" t="s">
        <v>306</v>
      </c>
      <c r="D184" s="453"/>
      <c r="E184" s="448"/>
      <c r="F184" s="453"/>
      <c r="G184" s="454"/>
      <c r="H184" s="436"/>
      <c r="I184" s="453"/>
      <c r="J184" s="454"/>
      <c r="K184" s="455"/>
      <c r="L184" s="453"/>
      <c r="M184" s="454"/>
      <c r="N184" s="454"/>
      <c r="O184" s="456"/>
    </row>
    <row r="185" spans="1:17" hidden="1" x14ac:dyDescent="0.35">
      <c r="A185" s="625"/>
      <c r="B185" s="438"/>
      <c r="C185" s="416"/>
      <c r="D185" s="426"/>
      <c r="E185" s="427"/>
      <c r="F185" s="426"/>
      <c r="G185" s="428"/>
      <c r="H185" s="427"/>
      <c r="I185" s="426"/>
      <c r="J185" s="428"/>
      <c r="K185" s="427"/>
      <c r="L185" s="426"/>
      <c r="M185" s="428"/>
      <c r="N185" s="428"/>
      <c r="O185" s="416"/>
    </row>
    <row r="186" spans="1:17" hidden="1" x14ac:dyDescent="0.35">
      <c r="A186" s="625">
        <v>51</v>
      </c>
      <c r="B186" s="626"/>
      <c r="C186" s="439"/>
      <c r="D186" s="440"/>
      <c r="E186" s="441"/>
      <c r="F186" s="440"/>
      <c r="G186" s="442"/>
      <c r="H186" s="443"/>
      <c r="I186" s="440"/>
      <c r="J186" s="444"/>
      <c r="K186" s="443"/>
      <c r="L186" s="440"/>
      <c r="M186" s="442"/>
      <c r="N186" s="444"/>
      <c r="O186" s="445"/>
      <c r="Q186" s="409" t="str">
        <f t="shared" ref="Q186" si="89">IF(AND(ISBLANK(B186), ISBLANK(C186)), "X", "")</f>
        <v>X</v>
      </c>
    </row>
    <row r="187" spans="1:17" hidden="1" x14ac:dyDescent="0.35">
      <c r="A187" s="625"/>
      <c r="B187" s="627"/>
      <c r="C187" s="446" t="s">
        <v>306</v>
      </c>
      <c r="D187" s="453"/>
      <c r="E187" s="448"/>
      <c r="F187" s="453"/>
      <c r="G187" s="454"/>
      <c r="H187" s="436"/>
      <c r="I187" s="453"/>
      <c r="J187" s="454"/>
      <c r="K187" s="455"/>
      <c r="L187" s="453"/>
      <c r="M187" s="454"/>
      <c r="N187" s="454"/>
      <c r="O187" s="456"/>
    </row>
    <row r="188" spans="1:17" hidden="1" x14ac:dyDescent="0.35">
      <c r="A188" s="625"/>
      <c r="B188" s="438"/>
      <c r="C188" s="416"/>
      <c r="D188" s="426"/>
      <c r="E188" s="427"/>
      <c r="F188" s="426"/>
      <c r="G188" s="428"/>
      <c r="H188" s="427"/>
      <c r="I188" s="426"/>
      <c r="J188" s="428"/>
      <c r="K188" s="427"/>
      <c r="L188" s="426"/>
      <c r="M188" s="428"/>
      <c r="N188" s="428"/>
      <c r="O188" s="416"/>
    </row>
    <row r="189" spans="1:17" hidden="1" x14ac:dyDescent="0.35">
      <c r="A189" s="625">
        <v>52</v>
      </c>
      <c r="B189" s="626"/>
      <c r="C189" s="439"/>
      <c r="D189" s="440"/>
      <c r="E189" s="441"/>
      <c r="F189" s="440"/>
      <c r="G189" s="442"/>
      <c r="H189" s="443"/>
      <c r="I189" s="440"/>
      <c r="J189" s="444"/>
      <c r="K189" s="443"/>
      <c r="L189" s="440"/>
      <c r="M189" s="442"/>
      <c r="N189" s="444"/>
      <c r="O189" s="445"/>
      <c r="Q189" s="409" t="str">
        <f t="shared" ref="Q189" si="90">IF(AND(ISBLANK(B189), ISBLANK(C189)), "X", "")</f>
        <v>X</v>
      </c>
    </row>
    <row r="190" spans="1:17" hidden="1" x14ac:dyDescent="0.35">
      <c r="A190" s="625"/>
      <c r="B190" s="627"/>
      <c r="C190" s="446" t="s">
        <v>306</v>
      </c>
      <c r="D190" s="453"/>
      <c r="E190" s="448"/>
      <c r="F190" s="453"/>
      <c r="G190" s="454"/>
      <c r="H190" s="436"/>
      <c r="I190" s="453"/>
      <c r="J190" s="454"/>
      <c r="K190" s="455"/>
      <c r="L190" s="453"/>
      <c r="M190" s="454"/>
      <c r="N190" s="454"/>
      <c r="O190" s="456"/>
    </row>
    <row r="191" spans="1:17" hidden="1" x14ac:dyDescent="0.35">
      <c r="A191" s="625"/>
      <c r="B191" s="438"/>
      <c r="C191" s="416"/>
      <c r="D191" s="426"/>
      <c r="E191" s="427"/>
      <c r="F191" s="426"/>
      <c r="G191" s="428"/>
      <c r="H191" s="427"/>
      <c r="I191" s="426"/>
      <c r="J191" s="428"/>
      <c r="K191" s="427"/>
      <c r="L191" s="426"/>
      <c r="M191" s="428"/>
      <c r="N191" s="428"/>
      <c r="O191" s="416"/>
    </row>
    <row r="192" spans="1:17" hidden="1" x14ac:dyDescent="0.35">
      <c r="A192" s="625">
        <v>53</v>
      </c>
      <c r="B192" s="626"/>
      <c r="C192" s="439"/>
      <c r="D192" s="440"/>
      <c r="E192" s="441"/>
      <c r="F192" s="440"/>
      <c r="G192" s="442"/>
      <c r="H192" s="443"/>
      <c r="I192" s="440"/>
      <c r="J192" s="444"/>
      <c r="K192" s="443"/>
      <c r="L192" s="440"/>
      <c r="M192" s="442"/>
      <c r="N192" s="444"/>
      <c r="O192" s="445"/>
      <c r="Q192" s="409" t="str">
        <f t="shared" ref="Q192" si="91">IF(AND(ISBLANK(B192), ISBLANK(C192)), "X", "")</f>
        <v>X</v>
      </c>
    </row>
    <row r="193" spans="1:18" hidden="1" x14ac:dyDescent="0.35">
      <c r="A193" s="625"/>
      <c r="B193" s="627"/>
      <c r="C193" s="446" t="s">
        <v>306</v>
      </c>
      <c r="D193" s="453"/>
      <c r="E193" s="448"/>
      <c r="F193" s="453"/>
      <c r="G193" s="454"/>
      <c r="H193" s="436"/>
      <c r="I193" s="453"/>
      <c r="J193" s="454"/>
      <c r="K193" s="455"/>
      <c r="L193" s="453"/>
      <c r="M193" s="454"/>
      <c r="N193" s="454"/>
      <c r="O193" s="456"/>
    </row>
    <row r="194" spans="1:18" hidden="1" x14ac:dyDescent="0.35">
      <c r="A194" s="625"/>
      <c r="B194" s="438"/>
      <c r="C194" s="416"/>
      <c r="D194" s="426"/>
      <c r="E194" s="427"/>
      <c r="F194" s="426"/>
      <c r="G194" s="428"/>
      <c r="H194" s="427"/>
      <c r="I194" s="426"/>
      <c r="J194" s="428"/>
      <c r="K194" s="427"/>
      <c r="L194" s="426"/>
      <c r="M194" s="428"/>
      <c r="N194" s="428"/>
      <c r="O194" s="416"/>
      <c r="R194" s="409" t="s">
        <v>309</v>
      </c>
    </row>
    <row r="195" spans="1:18" hidden="1" x14ac:dyDescent="0.35">
      <c r="A195" s="625">
        <v>54</v>
      </c>
      <c r="B195" s="626"/>
      <c r="C195" s="439"/>
      <c r="D195" s="440"/>
      <c r="E195" s="441"/>
      <c r="F195" s="440"/>
      <c r="G195" s="442"/>
      <c r="H195" s="443"/>
      <c r="I195" s="440"/>
      <c r="J195" s="444"/>
      <c r="K195" s="443"/>
      <c r="L195" s="440"/>
      <c r="M195" s="442"/>
      <c r="N195" s="444"/>
      <c r="O195" s="445"/>
      <c r="Q195" s="409" t="str">
        <f t="shared" ref="Q195" si="92">IF(AND(ISBLANK(B195), ISBLANK(C195)), "X", "")</f>
        <v>X</v>
      </c>
    </row>
    <row r="196" spans="1:18" hidden="1" x14ac:dyDescent="0.35">
      <c r="A196" s="625"/>
      <c r="B196" s="627"/>
      <c r="C196" s="446" t="s">
        <v>306</v>
      </c>
      <c r="D196" s="453"/>
      <c r="E196" s="448"/>
      <c r="F196" s="453"/>
      <c r="G196" s="454"/>
      <c r="H196" s="436"/>
      <c r="I196" s="453"/>
      <c r="J196" s="454"/>
      <c r="K196" s="455"/>
      <c r="L196" s="453"/>
      <c r="M196" s="454"/>
      <c r="N196" s="454"/>
      <c r="O196" s="456"/>
    </row>
    <row r="197" spans="1:18" hidden="1" x14ac:dyDescent="0.35">
      <c r="A197" s="625"/>
      <c r="B197" s="438"/>
      <c r="C197" s="416"/>
      <c r="D197" s="426"/>
      <c r="E197" s="427"/>
      <c r="F197" s="426"/>
      <c r="G197" s="428"/>
      <c r="H197" s="427"/>
      <c r="I197" s="426"/>
      <c r="J197" s="428"/>
      <c r="K197" s="427"/>
      <c r="L197" s="426"/>
      <c r="M197" s="428"/>
      <c r="N197" s="428"/>
      <c r="O197" s="416"/>
    </row>
    <row r="198" spans="1:18" hidden="1" x14ac:dyDescent="0.35">
      <c r="A198" s="625">
        <v>55</v>
      </c>
      <c r="B198" s="626"/>
      <c r="C198" s="439"/>
      <c r="D198" s="440"/>
      <c r="E198" s="441"/>
      <c r="F198" s="440"/>
      <c r="G198" s="442"/>
      <c r="H198" s="443"/>
      <c r="I198" s="440"/>
      <c r="J198" s="444"/>
      <c r="K198" s="443"/>
      <c r="L198" s="440"/>
      <c r="M198" s="442"/>
      <c r="N198" s="444"/>
      <c r="O198" s="445"/>
      <c r="Q198" s="409" t="str">
        <f t="shared" ref="Q198" si="93">IF(AND(ISBLANK(B198), ISBLANK(C198)), "X", "")</f>
        <v>X</v>
      </c>
    </row>
    <row r="199" spans="1:18" hidden="1" x14ac:dyDescent="0.35">
      <c r="A199" s="625"/>
      <c r="B199" s="627"/>
      <c r="C199" s="446" t="s">
        <v>306</v>
      </c>
      <c r="D199" s="453"/>
      <c r="E199" s="448"/>
      <c r="F199" s="453"/>
      <c r="G199" s="454"/>
      <c r="H199" s="436"/>
      <c r="I199" s="453"/>
      <c r="J199" s="454"/>
      <c r="K199" s="455"/>
      <c r="L199" s="453"/>
      <c r="M199" s="454"/>
      <c r="N199" s="454"/>
      <c r="O199" s="456"/>
    </row>
    <row r="200" spans="1:18" hidden="1" x14ac:dyDescent="0.35">
      <c r="A200" s="625"/>
      <c r="B200" s="438"/>
      <c r="C200" s="416"/>
      <c r="D200" s="426"/>
      <c r="E200" s="427"/>
      <c r="F200" s="426"/>
      <c r="G200" s="428"/>
      <c r="H200" s="427"/>
      <c r="I200" s="426"/>
      <c r="J200" s="428"/>
      <c r="K200" s="427"/>
      <c r="L200" s="426"/>
      <c r="M200" s="428"/>
      <c r="N200" s="428"/>
      <c r="O200" s="416"/>
    </row>
    <row r="201" spans="1:18" hidden="1" x14ac:dyDescent="0.35">
      <c r="A201" s="625">
        <v>56</v>
      </c>
      <c r="B201" s="626"/>
      <c r="C201" s="439"/>
      <c r="D201" s="440"/>
      <c r="E201" s="441"/>
      <c r="F201" s="440"/>
      <c r="G201" s="442"/>
      <c r="H201" s="443"/>
      <c r="I201" s="440"/>
      <c r="J201" s="444"/>
      <c r="K201" s="443"/>
      <c r="L201" s="440"/>
      <c r="M201" s="442"/>
      <c r="N201" s="444"/>
      <c r="O201" s="445"/>
      <c r="Q201" s="409" t="str">
        <f t="shared" ref="Q201" si="94">IF(AND(ISBLANK(B201), ISBLANK(C201)), "X", "")</f>
        <v>X</v>
      </c>
    </row>
    <row r="202" spans="1:18" hidden="1" x14ac:dyDescent="0.35">
      <c r="A202" s="625"/>
      <c r="B202" s="627"/>
      <c r="C202" s="446" t="s">
        <v>306</v>
      </c>
      <c r="D202" s="453"/>
      <c r="E202" s="448"/>
      <c r="F202" s="453"/>
      <c r="G202" s="454"/>
      <c r="H202" s="436"/>
      <c r="I202" s="453"/>
      <c r="J202" s="454"/>
      <c r="K202" s="455"/>
      <c r="L202" s="453"/>
      <c r="M202" s="454"/>
      <c r="N202" s="454"/>
      <c r="O202" s="456"/>
    </row>
    <row r="203" spans="1:18" hidden="1" x14ac:dyDescent="0.35">
      <c r="A203" s="625"/>
      <c r="B203" s="438"/>
      <c r="C203" s="416"/>
      <c r="D203" s="426"/>
      <c r="E203" s="427"/>
      <c r="F203" s="426"/>
      <c r="G203" s="428"/>
      <c r="H203" s="427"/>
      <c r="I203" s="426"/>
      <c r="J203" s="428"/>
      <c r="K203" s="427"/>
      <c r="L203" s="426"/>
      <c r="M203" s="428"/>
      <c r="N203" s="428"/>
      <c r="O203" s="416"/>
    </row>
    <row r="204" spans="1:18" hidden="1" x14ac:dyDescent="0.35">
      <c r="A204" s="625">
        <v>57</v>
      </c>
      <c r="B204" s="626"/>
      <c r="C204" s="439"/>
      <c r="D204" s="440"/>
      <c r="E204" s="441"/>
      <c r="F204" s="440"/>
      <c r="G204" s="442"/>
      <c r="H204" s="443"/>
      <c r="I204" s="440"/>
      <c r="J204" s="444"/>
      <c r="K204" s="443"/>
      <c r="L204" s="440"/>
      <c r="M204" s="442"/>
      <c r="N204" s="444"/>
      <c r="O204" s="445"/>
      <c r="Q204" s="409" t="str">
        <f t="shared" ref="Q204" si="95">IF(AND(ISBLANK(B204), ISBLANK(C204)), "X", "")</f>
        <v>X</v>
      </c>
    </row>
    <row r="205" spans="1:18" hidden="1" x14ac:dyDescent="0.35">
      <c r="A205" s="625"/>
      <c r="B205" s="627"/>
      <c r="C205" s="446" t="s">
        <v>306</v>
      </c>
      <c r="D205" s="453"/>
      <c r="E205" s="448"/>
      <c r="F205" s="453"/>
      <c r="G205" s="454"/>
      <c r="H205" s="436"/>
      <c r="I205" s="453"/>
      <c r="J205" s="454"/>
      <c r="K205" s="455"/>
      <c r="L205" s="453"/>
      <c r="M205" s="454"/>
      <c r="N205" s="454"/>
      <c r="O205" s="456"/>
    </row>
    <row r="206" spans="1:18" hidden="1" x14ac:dyDescent="0.35">
      <c r="A206" s="625"/>
      <c r="B206" s="438"/>
      <c r="C206" s="416"/>
      <c r="D206" s="426"/>
      <c r="E206" s="427"/>
      <c r="F206" s="426"/>
      <c r="G206" s="428"/>
      <c r="H206" s="427"/>
      <c r="I206" s="426"/>
      <c r="J206" s="428"/>
      <c r="K206" s="427"/>
      <c r="L206" s="426"/>
      <c r="M206" s="428"/>
      <c r="N206" s="428"/>
      <c r="O206" s="416"/>
    </row>
    <row r="207" spans="1:18" hidden="1" x14ac:dyDescent="0.35">
      <c r="A207" s="625">
        <v>58</v>
      </c>
      <c r="B207" s="626"/>
      <c r="C207" s="439"/>
      <c r="D207" s="440"/>
      <c r="E207" s="441"/>
      <c r="F207" s="440"/>
      <c r="G207" s="442"/>
      <c r="H207" s="443"/>
      <c r="I207" s="440"/>
      <c r="J207" s="444"/>
      <c r="K207" s="443"/>
      <c r="L207" s="440"/>
      <c r="M207" s="442"/>
      <c r="N207" s="444"/>
      <c r="O207" s="445"/>
      <c r="Q207" s="409" t="str">
        <f t="shared" ref="Q207" si="96">IF(AND(ISBLANK(B207), ISBLANK(C207)), "X", "")</f>
        <v>X</v>
      </c>
    </row>
    <row r="208" spans="1:18" hidden="1" x14ac:dyDescent="0.35">
      <c r="A208" s="625"/>
      <c r="B208" s="627"/>
      <c r="C208" s="446" t="s">
        <v>306</v>
      </c>
      <c r="D208" s="453"/>
      <c r="E208" s="448"/>
      <c r="F208" s="453"/>
      <c r="G208" s="454"/>
      <c r="H208" s="436"/>
      <c r="I208" s="453"/>
      <c r="J208" s="454"/>
      <c r="K208" s="455"/>
      <c r="L208" s="453"/>
      <c r="M208" s="454"/>
      <c r="N208" s="454"/>
      <c r="O208" s="456"/>
    </row>
    <row r="209" spans="1:18" hidden="1" x14ac:dyDescent="0.35">
      <c r="A209" s="625"/>
      <c r="B209" s="438"/>
      <c r="C209" s="416"/>
      <c r="D209" s="426"/>
      <c r="E209" s="427"/>
      <c r="F209" s="426"/>
      <c r="G209" s="428"/>
      <c r="H209" s="427"/>
      <c r="I209" s="426"/>
      <c r="J209" s="428"/>
      <c r="K209" s="427"/>
      <c r="L209" s="426"/>
      <c r="M209" s="428"/>
      <c r="N209" s="428"/>
      <c r="O209" s="416"/>
    </row>
    <row r="210" spans="1:18" hidden="1" x14ac:dyDescent="0.35">
      <c r="A210" s="625">
        <v>59</v>
      </c>
      <c r="B210" s="626"/>
      <c r="C210" s="439"/>
      <c r="D210" s="440"/>
      <c r="E210" s="441"/>
      <c r="F210" s="440"/>
      <c r="G210" s="442"/>
      <c r="H210" s="443"/>
      <c r="I210" s="440"/>
      <c r="J210" s="444"/>
      <c r="K210" s="443"/>
      <c r="L210" s="440"/>
      <c r="M210" s="442"/>
      <c r="N210" s="444"/>
      <c r="O210" s="445"/>
      <c r="Q210" s="409" t="str">
        <f t="shared" ref="Q210" si="97">IF(AND(ISBLANK(B210), ISBLANK(C210)), "X", "")</f>
        <v>X</v>
      </c>
    </row>
    <row r="211" spans="1:18" hidden="1" x14ac:dyDescent="0.35">
      <c r="A211" s="625"/>
      <c r="B211" s="627"/>
      <c r="C211" s="446" t="s">
        <v>306</v>
      </c>
      <c r="D211" s="453"/>
      <c r="E211" s="448"/>
      <c r="F211" s="453"/>
      <c r="G211" s="454"/>
      <c r="H211" s="436"/>
      <c r="I211" s="453"/>
      <c r="J211" s="454"/>
      <c r="K211" s="455"/>
      <c r="L211" s="453"/>
      <c r="M211" s="454"/>
      <c r="N211" s="454"/>
      <c r="O211" s="456"/>
    </row>
    <row r="212" spans="1:18" hidden="1" x14ac:dyDescent="0.35">
      <c r="A212" s="625"/>
      <c r="B212" s="438"/>
      <c r="C212" s="416"/>
      <c r="D212" s="426"/>
      <c r="E212" s="427"/>
      <c r="F212" s="426"/>
      <c r="G212" s="428"/>
      <c r="H212" s="427"/>
      <c r="I212" s="426"/>
      <c r="J212" s="428"/>
      <c r="K212" s="427"/>
      <c r="L212" s="426"/>
      <c r="M212" s="428"/>
      <c r="N212" s="428"/>
      <c r="O212" s="416"/>
    </row>
    <row r="213" spans="1:18" hidden="1" x14ac:dyDescent="0.35">
      <c r="A213" s="628">
        <v>60</v>
      </c>
      <c r="B213" s="626"/>
      <c r="C213" s="439"/>
      <c r="D213" s="440"/>
      <c r="E213" s="441"/>
      <c r="F213" s="440"/>
      <c r="G213" s="442"/>
      <c r="H213" s="443"/>
      <c r="I213" s="440"/>
      <c r="J213" s="444"/>
      <c r="K213" s="443"/>
      <c r="L213" s="440"/>
      <c r="M213" s="442"/>
      <c r="N213" s="444"/>
      <c r="O213" s="445"/>
      <c r="Q213" s="409" t="str">
        <f t="shared" ref="Q213" si="98">IF(AND(ISBLANK(B213), ISBLANK(C213)), "X", "")</f>
        <v>X</v>
      </c>
    </row>
    <row r="214" spans="1:18" hidden="1" x14ac:dyDescent="0.35">
      <c r="A214" s="628"/>
      <c r="B214" s="627"/>
      <c r="C214" s="446" t="s">
        <v>306</v>
      </c>
      <c r="D214" s="453"/>
      <c r="E214" s="448"/>
      <c r="F214" s="453"/>
      <c r="G214" s="454"/>
      <c r="H214" s="436"/>
      <c r="I214" s="453"/>
      <c r="J214" s="454"/>
      <c r="K214" s="455"/>
      <c r="L214" s="453"/>
      <c r="M214" s="454"/>
      <c r="N214" s="454"/>
      <c r="O214" s="456"/>
    </row>
    <row r="215" spans="1:18" s="410" customFormat="1" ht="13.15" hidden="1" x14ac:dyDescent="0.35">
      <c r="A215" s="490"/>
      <c r="B215" s="491"/>
      <c r="C215" s="446"/>
      <c r="D215" s="492"/>
      <c r="E215" s="493"/>
      <c r="F215" s="492"/>
      <c r="G215" s="494"/>
      <c r="H215" s="495"/>
      <c r="I215" s="492"/>
      <c r="J215" s="494"/>
      <c r="K215" s="496"/>
      <c r="L215" s="492"/>
      <c r="M215" s="494"/>
      <c r="N215" s="494"/>
      <c r="O215" s="497"/>
    </row>
    <row r="216" spans="1:18" ht="13.5" thickBot="1" x14ac:dyDescent="0.4">
      <c r="A216" s="432"/>
      <c r="B216" s="457"/>
      <c r="C216" s="457"/>
      <c r="D216" s="458"/>
      <c r="E216" s="459"/>
      <c r="F216" s="458"/>
      <c r="G216" s="460"/>
      <c r="H216" s="459"/>
      <c r="I216" s="458"/>
      <c r="J216" s="460"/>
      <c r="K216" s="459"/>
      <c r="L216" s="458"/>
      <c r="M216" s="460"/>
      <c r="N216" s="460"/>
      <c r="O216" s="461"/>
    </row>
    <row r="217" spans="1:18" ht="13.5" thickTop="1" thickBot="1" x14ac:dyDescent="0.4">
      <c r="R217" s="409" t="s">
        <v>310</v>
      </c>
    </row>
    <row r="218" spans="1:18" ht="13.5" thickTop="1" thickBot="1" x14ac:dyDescent="0.4">
      <c r="B218" s="503" t="s">
        <v>359</v>
      </c>
      <c r="C218" s="504"/>
      <c r="D218" s="505">
        <f>D121-D$95</f>
        <v>356.48309711118145</v>
      </c>
      <c r="E218" s="506">
        <f t="shared" ref="E218:O218" si="99">E121-E$95</f>
        <v>2.7451867684766609E-3</v>
      </c>
      <c r="F218" s="505">
        <f t="shared" si="99"/>
        <v>671.64483372103132</v>
      </c>
      <c r="G218" s="505">
        <f t="shared" si="99"/>
        <v>16132.815728079324</v>
      </c>
      <c r="H218" s="507">
        <f t="shared" si="99"/>
        <v>1511.6448337210331</v>
      </c>
      <c r="I218" s="505">
        <f t="shared" si="99"/>
        <v>-22</v>
      </c>
      <c r="J218" s="505">
        <f t="shared" si="99"/>
        <v>37.259348958249689</v>
      </c>
      <c r="K218" s="505">
        <f t="shared" si="99"/>
        <v>0</v>
      </c>
      <c r="L218" s="505">
        <f t="shared" si="99"/>
        <v>371.74244606943103</v>
      </c>
      <c r="M218" s="505">
        <f t="shared" si="99"/>
        <v>-4.9218216807473709</v>
      </c>
      <c r="N218" s="505">
        <f t="shared" si="99"/>
        <v>376.6642677501768</v>
      </c>
      <c r="O218" s="505">
        <f t="shared" si="99"/>
        <v>-36.78201366622875</v>
      </c>
    </row>
    <row r="219" spans="1:18" ht="13.15" thickTop="1" x14ac:dyDescent="0.35"/>
    <row r="221" spans="1:18" x14ac:dyDescent="0.35">
      <c r="B221" s="470"/>
      <c r="C221" s="470"/>
    </row>
    <row r="223" spans="1:18" x14ac:dyDescent="0.35">
      <c r="B223" s="471"/>
      <c r="C223" s="471"/>
    </row>
    <row r="224" spans="1:18" x14ac:dyDescent="0.35">
      <c r="B224" s="624"/>
      <c r="C224" s="624"/>
      <c r="D224" s="624"/>
      <c r="E224" s="624"/>
      <c r="F224" s="624"/>
      <c r="G224" s="624"/>
      <c r="H224" s="624"/>
      <c r="I224" s="624"/>
      <c r="J224" s="624"/>
      <c r="K224" s="624"/>
      <c r="L224" s="624"/>
      <c r="M224" s="624"/>
      <c r="N224" s="624"/>
      <c r="O224" s="624"/>
    </row>
    <row r="225" spans="2:15" ht="13.15" thickBot="1" x14ac:dyDescent="0.4"/>
    <row r="226" spans="2:15" ht="52.9" thickBot="1" x14ac:dyDescent="0.45">
      <c r="B226" s="508" t="s">
        <v>0</v>
      </c>
      <c r="D226" s="509" t="s">
        <v>295</v>
      </c>
      <c r="E226" s="509" t="s">
        <v>296</v>
      </c>
      <c r="F226" s="509" t="s">
        <v>7</v>
      </c>
      <c r="G226" s="509" t="s">
        <v>297</v>
      </c>
      <c r="H226" s="509" t="s">
        <v>298</v>
      </c>
      <c r="I226" s="509" t="s">
        <v>299</v>
      </c>
      <c r="J226" s="509" t="s">
        <v>329</v>
      </c>
      <c r="K226" s="509" t="s">
        <v>300</v>
      </c>
      <c r="L226" s="509" t="s">
        <v>301</v>
      </c>
      <c r="M226" s="509" t="s">
        <v>302</v>
      </c>
      <c r="N226" s="509" t="s">
        <v>242</v>
      </c>
      <c r="O226" s="510" t="s">
        <v>303</v>
      </c>
    </row>
    <row r="227" spans="2:15" ht="13.15" thickTop="1" x14ac:dyDescent="0.35">
      <c r="C227" s="409" t="s">
        <v>362</v>
      </c>
      <c r="D227" s="447">
        <v>7.4268150245507059</v>
      </c>
      <c r="E227" s="448">
        <v>0</v>
      </c>
      <c r="F227" s="447">
        <v>127.96664099945338</v>
      </c>
      <c r="G227" s="449">
        <v>1365.7058804637054</v>
      </c>
      <c r="H227" s="450">
        <v>127.96664099944974</v>
      </c>
      <c r="I227" s="447">
        <v>0</v>
      </c>
      <c r="J227" s="449">
        <v>1.6513062689579101</v>
      </c>
      <c r="K227" s="451">
        <v>0</v>
      </c>
      <c r="L227" s="447">
        <v>9.078121293507138</v>
      </c>
      <c r="M227" s="449">
        <v>0</v>
      </c>
      <c r="N227" s="449">
        <v>9.078121293507138</v>
      </c>
      <c r="O227" s="452">
        <v>8.9489564056517565</v>
      </c>
    </row>
    <row r="228" spans="2:15" x14ac:dyDescent="0.35">
      <c r="C228" s="409" t="s">
        <v>363</v>
      </c>
      <c r="D228" s="447">
        <v>-10.588575192281496</v>
      </c>
      <c r="E228" s="448">
        <v>0</v>
      </c>
      <c r="F228" s="447">
        <v>-182.44488328405714</v>
      </c>
      <c r="G228" s="449">
        <v>-1947.1172175459797</v>
      </c>
      <c r="H228" s="450">
        <v>-182.44488328405896</v>
      </c>
      <c r="I228" s="447">
        <v>0</v>
      </c>
      <c r="J228" s="449">
        <v>-2.3542889563387916</v>
      </c>
      <c r="K228" s="451">
        <v>0</v>
      </c>
      <c r="L228" s="447">
        <v>-12.942864148615627</v>
      </c>
      <c r="M228" s="449">
        <v>0</v>
      </c>
      <c r="N228" s="449">
        <v>-12.942864148615627</v>
      </c>
      <c r="O228" s="452">
        <v>-12.94286414862006</v>
      </c>
    </row>
    <row r="229" spans="2:15" x14ac:dyDescent="0.35">
      <c r="C229" s="409" t="s">
        <v>364</v>
      </c>
      <c r="D229" s="447">
        <v>80.868459971901757</v>
      </c>
      <c r="E229" s="448">
        <v>0</v>
      </c>
      <c r="F229" s="447">
        <v>1393.3920733442646</v>
      </c>
      <c r="G229" s="449">
        <v>14870.779864933429</v>
      </c>
      <c r="H229" s="450">
        <v>1393.3920733442628</v>
      </c>
      <c r="I229" s="447">
        <v>0</v>
      </c>
      <c r="J229" s="449">
        <v>17.982978498926911</v>
      </c>
      <c r="K229" s="451">
        <v>0</v>
      </c>
      <c r="L229" s="447">
        <v>98.851438470828725</v>
      </c>
      <c r="M229" s="449">
        <v>0</v>
      </c>
      <c r="N229" s="449">
        <v>98.851438470828725</v>
      </c>
      <c r="O229" s="452">
        <v>98.980603358683538</v>
      </c>
    </row>
    <row r="230" spans="2:15" x14ac:dyDescent="0.35">
      <c r="D230" s="447"/>
      <c r="E230" s="448"/>
      <c r="F230" s="447"/>
      <c r="G230" s="449"/>
      <c r="H230" s="450"/>
      <c r="I230" s="447"/>
      <c r="J230" s="449"/>
      <c r="K230" s="451"/>
      <c r="L230" s="447"/>
      <c r="M230" s="449"/>
      <c r="N230" s="449"/>
      <c r="O230" s="452"/>
    </row>
    <row r="231" spans="2:15" x14ac:dyDescent="0.35">
      <c r="D231" s="447"/>
      <c r="E231" s="448"/>
      <c r="F231" s="447"/>
      <c r="G231" s="449"/>
      <c r="H231" s="450"/>
      <c r="I231" s="447"/>
      <c r="J231" s="449"/>
      <c r="K231" s="451"/>
      <c r="L231" s="447"/>
      <c r="M231" s="449"/>
      <c r="N231" s="449"/>
      <c r="O231" s="452"/>
    </row>
    <row r="232" spans="2:15" ht="13.15" thickBot="1" x14ac:dyDescent="0.4">
      <c r="D232" s="511">
        <f t="shared" ref="D232:O232" si="100">SUM(D227:D231)</f>
        <v>77.706699804170967</v>
      </c>
      <c r="E232" s="511">
        <f t="shared" si="100"/>
        <v>0</v>
      </c>
      <c r="F232" s="511">
        <f t="shared" si="100"/>
        <v>1338.9138310596609</v>
      </c>
      <c r="G232" s="511">
        <f t="shared" si="100"/>
        <v>14289.368527851155</v>
      </c>
      <c r="H232" s="511">
        <f t="shared" si="100"/>
        <v>1338.9138310596536</v>
      </c>
      <c r="I232" s="511">
        <f t="shared" si="100"/>
        <v>0</v>
      </c>
      <c r="J232" s="511">
        <f t="shared" si="100"/>
        <v>17.27999581154603</v>
      </c>
      <c r="K232" s="511">
        <f t="shared" si="100"/>
        <v>0</v>
      </c>
      <c r="L232" s="511">
        <f t="shared" si="100"/>
        <v>94.986695615720237</v>
      </c>
      <c r="M232" s="511">
        <f t="shared" si="100"/>
        <v>0</v>
      </c>
      <c r="N232" s="511">
        <f t="shared" si="100"/>
        <v>94.986695615720237</v>
      </c>
      <c r="O232" s="511">
        <f t="shared" si="100"/>
        <v>94.986695615715234</v>
      </c>
    </row>
    <row r="233" spans="2:15" ht="13.15" thickTop="1" x14ac:dyDescent="0.35">
      <c r="N233" s="512"/>
    </row>
  </sheetData>
  <mergeCells count="129">
    <mergeCell ref="B15:O15"/>
    <mergeCell ref="B16:O16"/>
    <mergeCell ref="D18:E18"/>
    <mergeCell ref="F18:H18"/>
    <mergeCell ref="I18:K18"/>
    <mergeCell ref="L18:O18"/>
    <mergeCell ref="S62:U63"/>
    <mergeCell ref="A32:A34"/>
    <mergeCell ref="B32:B33"/>
    <mergeCell ref="A35:A37"/>
    <mergeCell ref="B35:B36"/>
    <mergeCell ref="A38:A40"/>
    <mergeCell ref="B38:B39"/>
    <mergeCell ref="A23:A25"/>
    <mergeCell ref="B23:B24"/>
    <mergeCell ref="A26:A28"/>
    <mergeCell ref="B26:B27"/>
    <mergeCell ref="A29:A31"/>
    <mergeCell ref="B29:B30"/>
    <mergeCell ref="A50:A52"/>
    <mergeCell ref="B50:B51"/>
    <mergeCell ref="A53:A55"/>
    <mergeCell ref="B53:B54"/>
    <mergeCell ref="A56:A58"/>
    <mergeCell ref="B56:B57"/>
    <mergeCell ref="A41:A43"/>
    <mergeCell ref="B41:B42"/>
    <mergeCell ref="A44:A46"/>
    <mergeCell ref="B44:B45"/>
    <mergeCell ref="A47:A49"/>
    <mergeCell ref="B47:B48"/>
    <mergeCell ref="A68:A70"/>
    <mergeCell ref="B68:B69"/>
    <mergeCell ref="A71:A73"/>
    <mergeCell ref="B71:B72"/>
    <mergeCell ref="A74:A76"/>
    <mergeCell ref="B74:B75"/>
    <mergeCell ref="A59:A61"/>
    <mergeCell ref="B59:B60"/>
    <mergeCell ref="A62:A64"/>
    <mergeCell ref="B62:B63"/>
    <mergeCell ref="A65:A67"/>
    <mergeCell ref="B65:B66"/>
    <mergeCell ref="A87:A89"/>
    <mergeCell ref="B87:B88"/>
    <mergeCell ref="A91:A93"/>
    <mergeCell ref="B91:B92"/>
    <mergeCell ref="A95:A97"/>
    <mergeCell ref="B95:B96"/>
    <mergeCell ref="A77:A79"/>
    <mergeCell ref="B77:B78"/>
    <mergeCell ref="A80:A82"/>
    <mergeCell ref="B80:B81"/>
    <mergeCell ref="A83:A85"/>
    <mergeCell ref="B83:B84"/>
    <mergeCell ref="A113:A115"/>
    <mergeCell ref="B113:B114"/>
    <mergeCell ref="A117:A119"/>
    <mergeCell ref="B117:B118"/>
    <mergeCell ref="A121:A123"/>
    <mergeCell ref="B121:B122"/>
    <mergeCell ref="A101:A103"/>
    <mergeCell ref="B101:B102"/>
    <mergeCell ref="A105:A107"/>
    <mergeCell ref="B105:B106"/>
    <mergeCell ref="A109:A111"/>
    <mergeCell ref="B109:B110"/>
    <mergeCell ref="A135:A137"/>
    <mergeCell ref="B135:B136"/>
    <mergeCell ref="A138:A140"/>
    <mergeCell ref="B138:B139"/>
    <mergeCell ref="A141:A143"/>
    <mergeCell ref="B141:B142"/>
    <mergeCell ref="A125:A127"/>
    <mergeCell ref="B125:B126"/>
    <mergeCell ref="A129:A131"/>
    <mergeCell ref="B129:B130"/>
    <mergeCell ref="A132:A134"/>
    <mergeCell ref="B132:B133"/>
    <mergeCell ref="A153:A155"/>
    <mergeCell ref="B153:B154"/>
    <mergeCell ref="A156:A158"/>
    <mergeCell ref="B156:B157"/>
    <mergeCell ref="A159:A161"/>
    <mergeCell ref="B159:B160"/>
    <mergeCell ref="A144:A146"/>
    <mergeCell ref="B144:B145"/>
    <mergeCell ref="A147:A149"/>
    <mergeCell ref="B147:B148"/>
    <mergeCell ref="A150:A152"/>
    <mergeCell ref="B150:B151"/>
    <mergeCell ref="A186:A188"/>
    <mergeCell ref="B186:B187"/>
    <mergeCell ref="A171:A173"/>
    <mergeCell ref="B171:B172"/>
    <mergeCell ref="A174:A176"/>
    <mergeCell ref="B174:B175"/>
    <mergeCell ref="A177:A179"/>
    <mergeCell ref="B177:B178"/>
    <mergeCell ref="A162:A164"/>
    <mergeCell ref="B162:B163"/>
    <mergeCell ref="A165:A167"/>
    <mergeCell ref="B165:B166"/>
    <mergeCell ref="A168:A170"/>
    <mergeCell ref="B168:B169"/>
    <mergeCell ref="S53:U53"/>
    <mergeCell ref="B224:O224"/>
    <mergeCell ref="A207:A209"/>
    <mergeCell ref="B207:B208"/>
    <mergeCell ref="A210:A212"/>
    <mergeCell ref="B210:B211"/>
    <mergeCell ref="B213:B214"/>
    <mergeCell ref="A213:A214"/>
    <mergeCell ref="A198:A200"/>
    <mergeCell ref="B198:B199"/>
    <mergeCell ref="A201:A203"/>
    <mergeCell ref="B201:B202"/>
    <mergeCell ref="A204:A206"/>
    <mergeCell ref="B204:B205"/>
    <mergeCell ref="A189:A191"/>
    <mergeCell ref="B189:B190"/>
    <mergeCell ref="A192:A194"/>
    <mergeCell ref="B192:B193"/>
    <mergeCell ref="A195:A197"/>
    <mergeCell ref="B195:B196"/>
    <mergeCell ref="A180:A182"/>
    <mergeCell ref="B180:B181"/>
    <mergeCell ref="A183:A185"/>
    <mergeCell ref="B183:B184"/>
  </mergeCells>
  <pageMargins left="0.31496062992125984" right="0.31496062992125984" top="0.55118110236220474" bottom="0.55118110236220474" header="0.31496062992125984" footer="0.31496062992125984"/>
  <pageSetup paperSize="5" scale="79"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Q50" sqref="Q50"/>
    </sheetView>
  </sheetViews>
  <sheetFormatPr defaultRowHeight="12.7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59"/>
  <sheetViews>
    <sheetView workbookViewId="0">
      <selection activeCell="Q50" sqref="Q50"/>
    </sheetView>
  </sheetViews>
  <sheetFormatPr defaultRowHeight="12.75" x14ac:dyDescent="0.35"/>
  <cols>
    <col min="2" max="2" width="45.3984375" customWidth="1"/>
    <col min="3" max="3" width="18.86328125" customWidth="1"/>
    <col min="6" max="6" width="10.265625" customWidth="1"/>
  </cols>
  <sheetData>
    <row r="1" spans="2:14" ht="13.15" x14ac:dyDescent="0.4">
      <c r="B1" s="404"/>
      <c r="C1" s="405"/>
      <c r="D1" s="405"/>
      <c r="E1" s="405"/>
      <c r="F1" s="405"/>
      <c r="I1" s="499" t="s">
        <v>355</v>
      </c>
      <c r="J1" s="500"/>
      <c r="K1" s="500"/>
      <c r="L1" s="500"/>
      <c r="N1" s="499" t="s">
        <v>356</v>
      </c>
    </row>
    <row r="4" spans="2:14" ht="13.15" x14ac:dyDescent="0.4">
      <c r="B4" s="17" t="s">
        <v>7</v>
      </c>
    </row>
    <row r="5" spans="2:14" x14ac:dyDescent="0.35">
      <c r="B5" s="5" t="s">
        <v>100</v>
      </c>
      <c r="C5" s="397">
        <v>197788.79629018123</v>
      </c>
      <c r="I5" s="397">
        <v>198656.29629018123</v>
      </c>
      <c r="N5" s="397">
        <f>C5-I5</f>
        <v>-867.5</v>
      </c>
    </row>
    <row r="6" spans="2:14" x14ac:dyDescent="0.35">
      <c r="B6" s="5" t="s">
        <v>101</v>
      </c>
      <c r="C6" s="397">
        <v>-94775.772259222926</v>
      </c>
      <c r="I6" s="397">
        <v>-94803.272259222926</v>
      </c>
      <c r="N6" s="397">
        <f>C6-I6</f>
        <v>27.5</v>
      </c>
    </row>
    <row r="7" spans="2:14" x14ac:dyDescent="0.35">
      <c r="B7" s="20" t="s">
        <v>85</v>
      </c>
      <c r="C7" s="237"/>
      <c r="I7" s="237"/>
      <c r="N7" s="237"/>
    </row>
    <row r="8" spans="2:14" x14ac:dyDescent="0.35">
      <c r="B8" s="5" t="s">
        <v>61</v>
      </c>
      <c r="C8" s="397">
        <v>13233.831952052396</v>
      </c>
      <c r="I8" s="397">
        <v>13233.831952052396</v>
      </c>
      <c r="N8" s="397">
        <f t="shared" ref="N8:N10" si="0">C8-I8</f>
        <v>0</v>
      </c>
    </row>
    <row r="9" spans="2:14" x14ac:dyDescent="0.35">
      <c r="B9" s="5" t="s">
        <v>62</v>
      </c>
      <c r="C9" s="397">
        <v>128885.74737944463</v>
      </c>
      <c r="I9" s="397">
        <v>112752.9316513653</v>
      </c>
      <c r="N9" s="397">
        <f t="shared" si="0"/>
        <v>16132.815728079324</v>
      </c>
    </row>
    <row r="10" spans="2:14" x14ac:dyDescent="0.35">
      <c r="B10" s="5" t="s">
        <v>63</v>
      </c>
      <c r="C10" s="398">
        <v>9.3700000000000006E-2</v>
      </c>
      <c r="I10" s="398">
        <v>9.3700000000000006E-2</v>
      </c>
      <c r="N10" s="398">
        <f t="shared" si="0"/>
        <v>0</v>
      </c>
    </row>
    <row r="11" spans="2:14" x14ac:dyDescent="0.35">
      <c r="B11" s="5"/>
      <c r="C11" s="230"/>
      <c r="I11" s="230"/>
      <c r="N11" s="230"/>
    </row>
    <row r="12" spans="2:14" ht="13.15" x14ac:dyDescent="0.4">
      <c r="B12" s="23" t="s">
        <v>47</v>
      </c>
      <c r="C12" s="230"/>
      <c r="E12" s="406"/>
      <c r="I12" s="230"/>
      <c r="K12" s="406"/>
      <c r="N12" s="230"/>
    </row>
    <row r="13" spans="2:14" x14ac:dyDescent="0.35">
      <c r="B13" s="395" t="s">
        <v>24</v>
      </c>
      <c r="C13" s="230"/>
      <c r="E13" s="406"/>
      <c r="F13" s="408" t="s">
        <v>288</v>
      </c>
      <c r="I13" s="230"/>
      <c r="K13" s="406"/>
      <c r="L13" s="408" t="s">
        <v>288</v>
      </c>
      <c r="N13" s="230"/>
    </row>
    <row r="14" spans="2:14" x14ac:dyDescent="0.35">
      <c r="B14" s="31" t="s">
        <v>113</v>
      </c>
      <c r="C14" s="399">
        <v>23317.925730277813</v>
      </c>
      <c r="E14" s="406"/>
      <c r="F14" s="407">
        <f>C15-C14</f>
        <v>799.26893142046174</v>
      </c>
      <c r="I14" s="399">
        <v>22904.47944886141</v>
      </c>
      <c r="K14" s="406"/>
      <c r="L14" s="407">
        <v>836.05094508668844</v>
      </c>
      <c r="N14" s="399">
        <f t="shared" ref="N14:N15" si="1">C14-I14</f>
        <v>413.44628141640351</v>
      </c>
    </row>
    <row r="15" spans="2:14" x14ac:dyDescent="0.35">
      <c r="B15" s="5" t="s">
        <v>109</v>
      </c>
      <c r="C15" s="399">
        <v>24117.194661698275</v>
      </c>
      <c r="E15" s="406"/>
      <c r="I15" s="399">
        <v>23740.530393948098</v>
      </c>
      <c r="K15" s="406"/>
      <c r="N15" s="399">
        <f t="shared" si="1"/>
        <v>376.6642677501768</v>
      </c>
    </row>
    <row r="16" spans="2:14" x14ac:dyDescent="0.35">
      <c r="B16" s="20" t="s">
        <v>86</v>
      </c>
      <c r="C16" s="230"/>
      <c r="E16" s="406"/>
      <c r="I16" s="230"/>
      <c r="K16" s="406"/>
      <c r="N16" s="230"/>
    </row>
    <row r="17" spans="2:14" x14ac:dyDescent="0.35">
      <c r="B17" s="5" t="s">
        <v>68</v>
      </c>
      <c r="C17" s="397">
        <v>783.33985306516331</v>
      </c>
      <c r="E17" s="406"/>
      <c r="I17" s="397">
        <v>786.21539332765929</v>
      </c>
      <c r="K17" s="406"/>
      <c r="N17" s="397">
        <f t="shared" ref="N17:N20" si="2">C17-I17</f>
        <v>-2.8755402624959743</v>
      </c>
    </row>
    <row r="18" spans="2:14" x14ac:dyDescent="0.35">
      <c r="B18" s="5" t="s">
        <v>69</v>
      </c>
      <c r="C18" s="397">
        <v>303.38111930652354</v>
      </c>
      <c r="E18" s="406"/>
      <c r="I18" s="397">
        <v>304.56092823034106</v>
      </c>
      <c r="K18" s="406"/>
      <c r="N18" s="397">
        <f t="shared" si="2"/>
        <v>-1.179808923817518</v>
      </c>
    </row>
    <row r="19" spans="2:14" x14ac:dyDescent="0.35">
      <c r="B19" s="5" t="s">
        <v>70</v>
      </c>
      <c r="C19" s="397">
        <v>170.00709233969965</v>
      </c>
      <c r="E19" s="406"/>
      <c r="I19" s="397">
        <v>170.87356483413367</v>
      </c>
      <c r="K19" s="406"/>
      <c r="N19" s="397">
        <f t="shared" si="2"/>
        <v>-0.86647249443402075</v>
      </c>
    </row>
    <row r="20" spans="2:14" x14ac:dyDescent="0.35">
      <c r="B20" s="5" t="s">
        <v>71</v>
      </c>
      <c r="C20" s="397">
        <v>128</v>
      </c>
      <c r="E20" s="406"/>
      <c r="I20" s="397">
        <v>128</v>
      </c>
      <c r="K20" s="406"/>
      <c r="N20" s="397">
        <f t="shared" si="2"/>
        <v>0</v>
      </c>
    </row>
    <row r="21" spans="2:14" x14ac:dyDescent="0.35">
      <c r="B21" s="5"/>
      <c r="C21" s="400"/>
      <c r="E21" s="406"/>
      <c r="I21" s="400"/>
      <c r="K21" s="406"/>
      <c r="N21" s="400"/>
    </row>
    <row r="22" spans="2:14" x14ac:dyDescent="0.35">
      <c r="B22" s="5" t="s">
        <v>57</v>
      </c>
      <c r="C22" s="397">
        <v>1384.7280647113867</v>
      </c>
      <c r="E22" s="406"/>
      <c r="I22" s="397">
        <v>1389.649886392134</v>
      </c>
      <c r="K22" s="406"/>
      <c r="N22" s="397">
        <f>C22-I22</f>
        <v>-4.9218216807473709</v>
      </c>
    </row>
    <row r="23" spans="2:14" x14ac:dyDescent="0.35">
      <c r="B23" s="5"/>
      <c r="C23" s="237"/>
      <c r="I23" s="237"/>
      <c r="N23" s="237"/>
    </row>
    <row r="24" spans="2:14" x14ac:dyDescent="0.35">
      <c r="B24" s="20" t="s">
        <v>25</v>
      </c>
      <c r="C24" s="230"/>
      <c r="I24" s="230"/>
      <c r="N24" s="230"/>
    </row>
    <row r="25" spans="2:14" x14ac:dyDescent="0.35">
      <c r="B25" s="5" t="s">
        <v>65</v>
      </c>
      <c r="C25" s="397">
        <v>13032.88066833308</v>
      </c>
      <c r="I25" s="397">
        <v>13032.88066833308</v>
      </c>
      <c r="N25" s="397">
        <f t="shared" ref="N25:N27" si="3">C25-I25</f>
        <v>0</v>
      </c>
    </row>
    <row r="26" spans="2:14" x14ac:dyDescent="0.35">
      <c r="B26" s="5" t="s">
        <v>143</v>
      </c>
      <c r="C26" s="397">
        <v>5012.5457926550698</v>
      </c>
      <c r="I26" s="397">
        <v>5034.5457926550698</v>
      </c>
      <c r="N26" s="397">
        <f t="shared" si="3"/>
        <v>-22</v>
      </c>
    </row>
    <row r="27" spans="2:14" x14ac:dyDescent="0.35">
      <c r="B27" s="5" t="s">
        <v>66</v>
      </c>
      <c r="C27" s="397">
        <v>168.47252681144457</v>
      </c>
      <c r="I27" s="397">
        <v>168.47252681144457</v>
      </c>
      <c r="N27" s="397">
        <f t="shared" si="3"/>
        <v>0</v>
      </c>
    </row>
    <row r="28" spans="2:14" x14ac:dyDescent="0.35">
      <c r="B28" s="315" t="s">
        <v>67</v>
      </c>
      <c r="C28" s="401" t="s">
        <v>354</v>
      </c>
      <c r="I28" s="401" t="s">
        <v>354</v>
      </c>
      <c r="N28" s="401" t="s">
        <v>354</v>
      </c>
    </row>
    <row r="29" spans="2:14" x14ac:dyDescent="0.35">
      <c r="B29" s="5" t="s">
        <v>93</v>
      </c>
      <c r="C29" s="397">
        <v>32.478756907871151</v>
      </c>
      <c r="I29" s="397">
        <v>32.478756907871151</v>
      </c>
      <c r="N29" s="397">
        <f>C29-I29</f>
        <v>0</v>
      </c>
    </row>
    <row r="30" spans="2:14" x14ac:dyDescent="0.35">
      <c r="B30" s="5"/>
      <c r="C30" s="230"/>
      <c r="I30" s="230"/>
      <c r="N30" s="230"/>
    </row>
    <row r="31" spans="2:14" ht="13.15" x14ac:dyDescent="0.4">
      <c r="B31" s="27" t="s">
        <v>6</v>
      </c>
      <c r="C31" s="230"/>
      <c r="I31" s="230"/>
      <c r="N31" s="230"/>
    </row>
    <row r="32" spans="2:14" x14ac:dyDescent="0.35">
      <c r="B32" s="5" t="s">
        <v>72</v>
      </c>
      <c r="C32" s="230"/>
      <c r="I32" s="230"/>
      <c r="N32" s="230"/>
    </row>
    <row r="33" spans="2:14" x14ac:dyDescent="0.35">
      <c r="B33" s="394" t="s">
        <v>146</v>
      </c>
      <c r="C33" s="397">
        <v>-2407.6248629514048</v>
      </c>
      <c r="I33" s="397">
        <v>-2385.6248629514048</v>
      </c>
      <c r="N33" s="397">
        <f>C33-I33</f>
        <v>-22</v>
      </c>
    </row>
    <row r="34" spans="2:14" x14ac:dyDescent="0.35">
      <c r="B34" s="20" t="s">
        <v>73</v>
      </c>
      <c r="C34" s="230"/>
      <c r="I34" s="230"/>
      <c r="N34" s="230"/>
    </row>
    <row r="35" spans="2:14" x14ac:dyDescent="0.35">
      <c r="B35" s="5" t="s">
        <v>125</v>
      </c>
      <c r="C35" s="397">
        <v>380.43073496515291</v>
      </c>
      <c r="I35" s="397">
        <v>352.88180143381874</v>
      </c>
      <c r="N35" s="397">
        <f t="shared" ref="N35:N36" si="4">C35-I35</f>
        <v>27.548933531334171</v>
      </c>
    </row>
    <row r="36" spans="2:14" x14ac:dyDescent="0.35">
      <c r="B36" s="20" t="s">
        <v>126</v>
      </c>
      <c r="C36" s="402">
        <v>504.10861636911068</v>
      </c>
      <c r="I36" s="402">
        <v>466.84926741086099</v>
      </c>
      <c r="N36" s="402">
        <f t="shared" si="4"/>
        <v>37.259348958249689</v>
      </c>
    </row>
    <row r="37" spans="2:14" x14ac:dyDescent="0.35">
      <c r="B37" s="315" t="s">
        <v>87</v>
      </c>
      <c r="C37" s="402"/>
      <c r="I37" s="402"/>
      <c r="N37" s="402"/>
    </row>
    <row r="38" spans="2:14" x14ac:dyDescent="0.35">
      <c r="B38" s="5" t="s">
        <v>83</v>
      </c>
      <c r="C38" s="398">
        <v>0.15000000000000002</v>
      </c>
      <c r="I38" s="398">
        <v>0.15000000000000002</v>
      </c>
      <c r="N38" s="398">
        <f t="shared" ref="N38:N40" si="5">C38-I38</f>
        <v>0</v>
      </c>
    </row>
    <row r="39" spans="2:14" x14ac:dyDescent="0.35">
      <c r="B39" s="5" t="s">
        <v>84</v>
      </c>
      <c r="C39" s="398">
        <v>9.5339748990523623E-2</v>
      </c>
      <c r="I39" s="398">
        <v>9.4120477277610651E-2</v>
      </c>
      <c r="N39" s="398">
        <f t="shared" si="5"/>
        <v>1.2192717129129726E-3</v>
      </c>
    </row>
    <row r="40" spans="2:14" x14ac:dyDescent="0.35">
      <c r="B40" s="31" t="s">
        <v>116</v>
      </c>
      <c r="C40" s="397">
        <v>-56.333333333333336</v>
      </c>
      <c r="I40" s="397">
        <v>-56.333333333333336</v>
      </c>
      <c r="N40" s="397">
        <f t="shared" si="5"/>
        <v>0</v>
      </c>
    </row>
    <row r="41" spans="2:14" x14ac:dyDescent="0.35">
      <c r="B41" s="5" t="s">
        <v>60</v>
      </c>
      <c r="C41" s="197"/>
      <c r="I41" s="197"/>
      <c r="N41" s="197"/>
    </row>
    <row r="42" spans="2:14" ht="13.15" x14ac:dyDescent="0.4">
      <c r="B42" s="27" t="s">
        <v>50</v>
      </c>
      <c r="C42" s="197"/>
      <c r="I42" s="197"/>
      <c r="N42" s="197"/>
    </row>
    <row r="43" spans="2:14" x14ac:dyDescent="0.35">
      <c r="B43" s="20" t="s">
        <v>88</v>
      </c>
      <c r="C43" s="197"/>
      <c r="I43" s="197"/>
      <c r="N43" s="197"/>
    </row>
    <row r="44" spans="2:14" x14ac:dyDescent="0.35">
      <c r="B44" s="5" t="s">
        <v>74</v>
      </c>
      <c r="C44" s="359">
        <v>0.56000000000000005</v>
      </c>
      <c r="I44" s="359">
        <v>0.56000000000000005</v>
      </c>
      <c r="N44" s="359">
        <f t="shared" ref="N44:N47" si="6">C44-I44</f>
        <v>0</v>
      </c>
    </row>
    <row r="45" spans="2:14" x14ac:dyDescent="0.35">
      <c r="B45" s="5" t="s">
        <v>75</v>
      </c>
      <c r="C45" s="359">
        <v>0.04</v>
      </c>
      <c r="I45" s="359">
        <v>0.04</v>
      </c>
      <c r="N45" s="359">
        <f t="shared" si="6"/>
        <v>0</v>
      </c>
    </row>
    <row r="46" spans="2:14" x14ac:dyDescent="0.35">
      <c r="B46" s="5" t="s">
        <v>76</v>
      </c>
      <c r="C46" s="359">
        <v>0.39999999999999991</v>
      </c>
      <c r="I46" s="359">
        <v>0.39999999999999991</v>
      </c>
      <c r="N46" s="359">
        <f t="shared" si="6"/>
        <v>0</v>
      </c>
    </row>
    <row r="47" spans="2:14" ht="13.15" thickBot="1" x14ac:dyDescent="0.4">
      <c r="B47" s="5" t="s">
        <v>77</v>
      </c>
      <c r="C47" s="360">
        <v>0</v>
      </c>
      <c r="I47" s="360">
        <v>0</v>
      </c>
      <c r="N47" s="360">
        <f t="shared" si="6"/>
        <v>0</v>
      </c>
    </row>
    <row r="48" spans="2:14" ht="13.15" thickTop="1" x14ac:dyDescent="0.35">
      <c r="B48" s="5"/>
      <c r="C48" s="245">
        <v>1</v>
      </c>
      <c r="I48" s="245">
        <v>1</v>
      </c>
      <c r="N48" s="245">
        <v>1</v>
      </c>
    </row>
    <row r="49" spans="2:14" x14ac:dyDescent="0.35">
      <c r="B49" s="5"/>
      <c r="C49" s="403"/>
      <c r="I49" s="403"/>
      <c r="N49" s="403"/>
    </row>
    <row r="50" spans="2:14" x14ac:dyDescent="0.35">
      <c r="B50" s="20" t="s">
        <v>89</v>
      </c>
      <c r="C50" s="197"/>
      <c r="I50" s="197"/>
      <c r="N50" s="197"/>
    </row>
    <row r="51" spans="2:14" x14ac:dyDescent="0.35">
      <c r="B51" s="5" t="s">
        <v>78</v>
      </c>
      <c r="C51" s="361">
        <v>3.7716281874955307E-2</v>
      </c>
      <c r="I51" s="361">
        <v>3.4764162645532698E-2</v>
      </c>
      <c r="N51" s="361">
        <f t="shared" ref="N51:N53" si="7">C51-I51</f>
        <v>2.952119229422609E-3</v>
      </c>
    </row>
    <row r="52" spans="2:14" x14ac:dyDescent="0.35">
      <c r="B52" s="5" t="s">
        <v>79</v>
      </c>
      <c r="C52" s="361">
        <v>2.29E-2</v>
      </c>
      <c r="I52" s="361">
        <v>1.7600000000000001E-2</v>
      </c>
      <c r="N52" s="361">
        <f t="shared" si="7"/>
        <v>5.2999999999999992E-3</v>
      </c>
    </row>
    <row r="53" spans="2:14" x14ac:dyDescent="0.35">
      <c r="B53" s="5" t="s">
        <v>80</v>
      </c>
      <c r="C53" s="361">
        <v>0.09</v>
      </c>
      <c r="I53" s="361">
        <v>8.7800000000000003E-2</v>
      </c>
      <c r="N53" s="361">
        <f t="shared" si="7"/>
        <v>2.1999999999999936E-3</v>
      </c>
    </row>
    <row r="54" spans="2:14" x14ac:dyDescent="0.35">
      <c r="B54" s="5" t="s">
        <v>81</v>
      </c>
      <c r="C54" s="361"/>
      <c r="I54" s="361"/>
      <c r="N54" s="361"/>
    </row>
    <row r="55" spans="2:14" x14ac:dyDescent="0.35">
      <c r="B55" s="396"/>
    </row>
    <row r="56" spans="2:14" x14ac:dyDescent="0.35">
      <c r="B56" s="396"/>
    </row>
    <row r="57" spans="2:14" x14ac:dyDescent="0.35">
      <c r="B57" s="396"/>
    </row>
    <row r="58" spans="2:14" x14ac:dyDescent="0.35">
      <c r="B58" s="396"/>
    </row>
    <row r="59" spans="2:14" x14ac:dyDescent="0.35">
      <c r="B59" s="396"/>
    </row>
  </sheetData>
  <conditionalFormatting sqref="C48">
    <cfRule type="cellIs" dxfId="2" priority="3" stopIfTrue="1" operator="equal">
      <formula>0</formula>
    </cfRule>
  </conditionalFormatting>
  <conditionalFormatting sqref="I48">
    <cfRule type="cellIs" dxfId="1" priority="2" stopIfTrue="1" operator="equal">
      <formula>0</formula>
    </cfRule>
  </conditionalFormatting>
  <conditionalFormatting sqref="N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F5" sqref="F5"/>
    </sheetView>
  </sheetViews>
  <sheetFormatPr defaultColWidth="9.1328125" defaultRowHeight="12.75" x14ac:dyDescent="0.35"/>
  <cols>
    <col min="1" max="7" width="9.1328125" style="5"/>
    <col min="8" max="8" width="7" style="5" customWidth="1"/>
    <col min="9" max="9" width="11.265625" style="5" customWidth="1"/>
    <col min="10" max="13" width="9.1328125" style="5"/>
    <col min="14" max="14" width="9" customWidth="1"/>
    <col min="15" max="16384" width="9.1328125" style="5"/>
  </cols>
  <sheetData>
    <row r="1" spans="3:11" s="2" customFormat="1" ht="23.25" x14ac:dyDescent="0.35">
      <c r="C1" s="531"/>
      <c r="D1" s="531"/>
      <c r="E1" s="531"/>
      <c r="F1" s="278"/>
      <c r="G1" s="278"/>
      <c r="H1" s="278"/>
      <c r="I1" s="1"/>
    </row>
    <row r="2" spans="3:11" s="2" customFormat="1" ht="17.25" x14ac:dyDescent="0.45">
      <c r="C2" s="271"/>
      <c r="D2" s="532"/>
      <c r="E2" s="532"/>
      <c r="F2" s="532"/>
      <c r="G2" s="532"/>
      <c r="H2" s="272"/>
    </row>
    <row r="3" spans="3:11" s="2" customFormat="1" ht="17.649999999999999" x14ac:dyDescent="0.5">
      <c r="C3" s="271"/>
      <c r="D3" s="273"/>
      <c r="E3" s="273"/>
      <c r="F3" s="273"/>
      <c r="G3" s="273"/>
      <c r="H3" s="274"/>
    </row>
    <row r="4" spans="3:11" s="2" customFormat="1" ht="17.25" x14ac:dyDescent="0.45">
      <c r="C4" s="275"/>
      <c r="D4" s="532"/>
      <c r="E4" s="532"/>
      <c r="F4" s="275"/>
      <c r="G4" s="275"/>
      <c r="H4" s="30"/>
      <c r="I4" s="9"/>
    </row>
    <row r="5" spans="3:11" s="2" customFormat="1" ht="17.25" x14ac:dyDescent="0.45">
      <c r="C5" s="275"/>
      <c r="D5" s="273"/>
      <c r="E5" s="273"/>
      <c r="F5" s="275"/>
      <c r="G5" s="275"/>
      <c r="H5" s="30"/>
      <c r="I5" s="9"/>
    </row>
    <row r="6" spans="3:11" s="2" customFormat="1" ht="17.25" x14ac:dyDescent="0.45">
      <c r="C6" s="275"/>
      <c r="D6" s="279"/>
      <c r="E6" s="275"/>
      <c r="F6" s="276"/>
      <c r="G6" s="277"/>
      <c r="H6" s="30"/>
    </row>
    <row r="7" spans="3:11" s="2" customFormat="1" ht="15" x14ac:dyDescent="0.4">
      <c r="F7" s="3"/>
      <c r="G7" s="3"/>
      <c r="J7" s="7"/>
    </row>
    <row r="8" spans="3:11" s="2" customFormat="1" x14ac:dyDescent="0.35"/>
    <row r="9" spans="3:11" s="2" customFormat="1" ht="17.649999999999999" x14ac:dyDescent="0.5">
      <c r="C9" s="338"/>
    </row>
    <row r="10" spans="3:11" s="2" customFormat="1" ht="17.649999999999999" x14ac:dyDescent="0.5">
      <c r="C10" s="338"/>
    </row>
    <row r="11" spans="3:11" s="2" customFormat="1" ht="15" x14ac:dyDescent="0.4">
      <c r="D11" s="337" t="s">
        <v>222</v>
      </c>
      <c r="E11" s="339"/>
      <c r="F11" s="340"/>
      <c r="G11" s="340"/>
      <c r="H11" s="340"/>
      <c r="I11" s="337" t="s">
        <v>226</v>
      </c>
      <c r="J11" s="341"/>
      <c r="K11" s="291"/>
    </row>
    <row r="12" spans="3:11" s="2" customFormat="1" ht="15" x14ac:dyDescent="0.4">
      <c r="D12" s="292"/>
      <c r="E12" s="340"/>
      <c r="F12" s="340"/>
      <c r="G12" s="340"/>
      <c r="H12" s="340"/>
      <c r="J12" s="341"/>
      <c r="K12" s="291"/>
    </row>
    <row r="13" spans="3:11" s="2" customFormat="1" ht="15" x14ac:dyDescent="0.4">
      <c r="D13" s="337" t="s">
        <v>237</v>
      </c>
      <c r="E13" s="340"/>
      <c r="F13" s="340"/>
      <c r="G13" s="340"/>
      <c r="H13" s="340"/>
      <c r="I13" s="337" t="s">
        <v>227</v>
      </c>
      <c r="J13" s="342"/>
      <c r="K13" s="291"/>
    </row>
    <row r="14" spans="3:11" s="2" customFormat="1" ht="15" x14ac:dyDescent="0.4">
      <c r="D14" s="292"/>
      <c r="E14" s="340"/>
      <c r="F14" s="340"/>
      <c r="G14" s="340"/>
      <c r="H14" s="340"/>
      <c r="I14" s="293"/>
      <c r="J14" s="343"/>
      <c r="K14" s="291"/>
    </row>
    <row r="15" spans="3:11" s="2" customFormat="1" ht="15" x14ac:dyDescent="0.4">
      <c r="D15" s="337" t="s">
        <v>223</v>
      </c>
      <c r="E15" s="340"/>
      <c r="F15" s="340"/>
      <c r="G15" s="340"/>
      <c r="H15" s="340"/>
      <c r="I15" s="337" t="s">
        <v>236</v>
      </c>
      <c r="J15" s="342"/>
      <c r="K15" s="291"/>
    </row>
    <row r="16" spans="3:11" s="2" customFormat="1" ht="15" x14ac:dyDescent="0.4">
      <c r="D16" s="292"/>
      <c r="E16" s="340"/>
      <c r="F16" s="340"/>
      <c r="G16" s="340"/>
      <c r="H16" s="340"/>
      <c r="I16" s="294"/>
      <c r="J16" s="343"/>
      <c r="K16" s="291"/>
    </row>
    <row r="17" spans="1:13" s="2" customFormat="1" ht="15" x14ac:dyDescent="0.4">
      <c r="D17" s="337" t="s">
        <v>224</v>
      </c>
      <c r="E17" s="340"/>
      <c r="F17" s="340"/>
      <c r="G17" s="340"/>
      <c r="H17" s="340"/>
      <c r="I17" s="337" t="s">
        <v>228</v>
      </c>
      <c r="J17" s="342"/>
      <c r="K17" s="291"/>
    </row>
    <row r="18" spans="1:13" s="2" customFormat="1" ht="15" x14ac:dyDescent="0.4">
      <c r="D18" s="292"/>
      <c r="E18" s="340"/>
      <c r="F18" s="340"/>
      <c r="G18" s="340"/>
      <c r="H18" s="340"/>
      <c r="J18" s="343"/>
      <c r="K18" s="291"/>
    </row>
    <row r="19" spans="1:13" s="2" customFormat="1" ht="15" x14ac:dyDescent="0.4">
      <c r="D19" s="337" t="s">
        <v>225</v>
      </c>
      <c r="E19" s="340"/>
      <c r="F19" s="340"/>
      <c r="G19" s="340"/>
      <c r="H19" s="340"/>
      <c r="J19" s="342"/>
      <c r="K19" s="291"/>
    </row>
    <row r="20" spans="1:13" s="2" customFormat="1" ht="15" x14ac:dyDescent="0.4">
      <c r="D20" s="295"/>
      <c r="E20" s="340"/>
      <c r="F20" s="340"/>
      <c r="G20" s="340"/>
      <c r="H20" s="344"/>
      <c r="I20" s="292"/>
      <c r="K20" s="291"/>
    </row>
    <row r="21" spans="1:13" s="2" customFormat="1" ht="15" x14ac:dyDescent="0.4">
      <c r="D21" s="337"/>
      <c r="E21" s="340"/>
      <c r="F21" s="340"/>
      <c r="G21" s="340"/>
      <c r="H21" s="344"/>
      <c r="I21" s="292"/>
      <c r="J21" s="342"/>
      <c r="K21" s="291"/>
    </row>
    <row r="22" spans="1:13" s="2" customFormat="1" ht="15" x14ac:dyDescent="0.4">
      <c r="D22" s="295"/>
      <c r="E22" s="340"/>
      <c r="F22" s="340"/>
      <c r="G22" s="340"/>
      <c r="H22" s="345"/>
      <c r="I22" s="292"/>
      <c r="J22" s="343"/>
      <c r="K22" s="297"/>
    </row>
    <row r="23" spans="1:13" s="2" customFormat="1" ht="15" x14ac:dyDescent="0.4">
      <c r="C23" s="289"/>
      <c r="D23" s="346"/>
      <c r="E23" s="340"/>
      <c r="F23" s="343"/>
      <c r="G23" s="345"/>
      <c r="H23" s="345"/>
      <c r="I23" s="340"/>
      <c r="J23" s="340"/>
      <c r="K23" s="291"/>
    </row>
    <row r="24" spans="1:13" s="2" customFormat="1" ht="15" x14ac:dyDescent="0.4">
      <c r="A24" s="4" t="s">
        <v>42</v>
      </c>
      <c r="B24" s="5"/>
      <c r="C24" s="5"/>
      <c r="D24" s="347"/>
      <c r="E24" s="347"/>
      <c r="F24" s="343"/>
      <c r="G24" s="345"/>
      <c r="H24" s="345"/>
      <c r="I24" s="340"/>
      <c r="J24" s="340"/>
      <c r="K24" s="291"/>
    </row>
    <row r="25" spans="1:13" s="2" customFormat="1" ht="13.15" x14ac:dyDescent="0.4">
      <c r="A25" s="185" t="s">
        <v>2</v>
      </c>
      <c r="B25" s="534" t="s">
        <v>51</v>
      </c>
      <c r="C25" s="534"/>
      <c r="D25" s="534"/>
      <c r="E25" s="534"/>
      <c r="F25" s="534"/>
      <c r="G25" s="534"/>
      <c r="H25" s="534"/>
    </row>
    <row r="26" spans="1:13" s="2" customFormat="1" ht="13.15" x14ac:dyDescent="0.4">
      <c r="A26" s="185" t="s">
        <v>3</v>
      </c>
      <c r="B26" s="534" t="s">
        <v>233</v>
      </c>
      <c r="C26" s="534"/>
      <c r="D26" s="534"/>
      <c r="E26" s="534"/>
      <c r="F26" s="534"/>
      <c r="G26" s="534"/>
      <c r="H26" s="534"/>
    </row>
    <row r="27" spans="1:13" s="2" customFormat="1" ht="13.15" x14ac:dyDescent="0.4">
      <c r="A27" s="185" t="s">
        <v>98</v>
      </c>
      <c r="B27" s="535" t="s">
        <v>232</v>
      </c>
      <c r="C27" s="535"/>
      <c r="D27" s="535"/>
      <c r="E27" s="535"/>
      <c r="F27" s="535"/>
      <c r="G27" s="535"/>
      <c r="H27" s="535"/>
    </row>
    <row r="28" spans="1:13" s="2" customFormat="1" ht="13.15" x14ac:dyDescent="0.35">
      <c r="A28" s="11" t="s">
        <v>122</v>
      </c>
      <c r="B28" s="533" t="s">
        <v>141</v>
      </c>
      <c r="C28" s="533"/>
      <c r="D28" s="533"/>
      <c r="E28" s="533"/>
      <c r="F28" s="533"/>
      <c r="G28" s="533"/>
      <c r="H28" s="533"/>
      <c r="I28" s="533"/>
      <c r="J28" s="533"/>
      <c r="K28" s="533"/>
      <c r="L28" s="533"/>
    </row>
    <row r="29" spans="1:13" s="2" customFormat="1" ht="13.15" x14ac:dyDescent="0.35">
      <c r="A29" s="11" t="s">
        <v>123</v>
      </c>
      <c r="B29" s="533" t="s">
        <v>159</v>
      </c>
      <c r="C29" s="533"/>
      <c r="D29" s="533"/>
      <c r="E29" s="533"/>
      <c r="F29" s="533"/>
      <c r="G29" s="533"/>
      <c r="H29" s="533"/>
      <c r="I29" s="533"/>
      <c r="J29" s="533"/>
      <c r="K29" s="533"/>
      <c r="L29" s="533"/>
      <c r="M29" s="290"/>
    </row>
    <row r="30" spans="1:13" ht="15" x14ac:dyDescent="0.4">
      <c r="A30" s="146"/>
      <c r="B30" s="290"/>
      <c r="C30" s="290"/>
      <c r="D30" s="290"/>
      <c r="E30" s="290"/>
      <c r="F30" s="290"/>
      <c r="G30" s="290"/>
      <c r="H30" s="290"/>
      <c r="I30" s="290"/>
      <c r="J30" s="290"/>
      <c r="K30" s="290"/>
      <c r="L30" s="290"/>
      <c r="M30" s="290"/>
    </row>
    <row r="32" spans="1:13" ht="13.15" x14ac:dyDescent="0.4">
      <c r="C32" s="12"/>
    </row>
    <row r="33" spans="1:256" x14ac:dyDescent="0.35">
      <c r="H33" s="6"/>
    </row>
    <row r="34" spans="1:256" x14ac:dyDescent="0.35">
      <c r="F34" s="6"/>
      <c r="G34" s="6"/>
      <c r="H34" s="6"/>
    </row>
    <row r="35" spans="1:256" x14ac:dyDescent="0.35">
      <c r="F35" s="6"/>
      <c r="G35" s="6"/>
      <c r="H35" s="10"/>
      <c r="I35" s="10"/>
    </row>
    <row r="36" spans="1:256" x14ac:dyDescent="0.35">
      <c r="F36" s="290"/>
      <c r="G36" s="290"/>
      <c r="H36" s="10"/>
      <c r="I36" s="10"/>
    </row>
    <row r="37" spans="1:256" x14ac:dyDescent="0.35">
      <c r="F37" s="290"/>
      <c r="G37" s="290"/>
      <c r="H37" s="10"/>
      <c r="I37" s="10"/>
    </row>
    <row r="38" spans="1:256" ht="15" x14ac:dyDescent="0.4">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35">
      <c r="F39" s="288"/>
      <c r="G39" s="288"/>
    </row>
    <row r="40" spans="1:256" x14ac:dyDescent="0.35">
      <c r="F40" s="288"/>
      <c r="G40" s="288"/>
    </row>
    <row r="41" spans="1:256" x14ac:dyDescent="0.35">
      <c r="F41" s="288"/>
      <c r="G41" s="288"/>
    </row>
    <row r="42" spans="1:256" x14ac:dyDescent="0.35">
      <c r="F42" s="288"/>
      <c r="G42" s="288"/>
    </row>
    <row r="43" spans="1:256" x14ac:dyDescent="0.35">
      <c r="F43" s="288"/>
      <c r="G43" s="288"/>
    </row>
    <row r="44" spans="1:256" x14ac:dyDescent="0.35">
      <c r="F44" s="288"/>
      <c r="G44" s="288"/>
    </row>
    <row r="45" spans="1:256" x14ac:dyDescent="0.35">
      <c r="F45" s="288"/>
      <c r="G45" s="288"/>
    </row>
    <row r="46" spans="1:256" x14ac:dyDescent="0.35">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zoomScaleNormal="100" zoomScaleSheetLayoutView="100" workbookViewId="0">
      <selection activeCell="U21" sqref="U21"/>
    </sheetView>
  </sheetViews>
  <sheetFormatPr defaultColWidth="9.1328125" defaultRowHeight="12.75" x14ac:dyDescent="0.35"/>
  <cols>
    <col min="1" max="1" width="2.73046875" style="5" customWidth="1"/>
    <col min="2" max="2" width="10.73046875" style="5" customWidth="1"/>
    <col min="3" max="3" width="2.1328125" style="5" customWidth="1"/>
    <col min="4" max="4" width="39.3984375" style="5" customWidth="1"/>
    <col min="5" max="5" width="15.265625" style="5" customWidth="1"/>
    <col min="6" max="6" width="1" style="5" customWidth="1"/>
    <col min="7" max="7" width="4" style="5" customWidth="1"/>
    <col min="8" max="8" width="1" style="5" customWidth="1"/>
    <col min="9" max="9" width="13.1328125" style="5" customWidth="1"/>
    <col min="10" max="10" width="1.1328125" style="5" customWidth="1"/>
    <col min="11" max="11" width="2.59765625" style="5" customWidth="1"/>
    <col min="12" max="12" width="1.1328125" style="5" customWidth="1"/>
    <col min="13" max="13" width="14.73046875" style="5" customWidth="1"/>
    <col min="14" max="14" width="1.1328125" style="5" customWidth="1"/>
    <col min="15" max="15" width="3.86328125" style="5" customWidth="1"/>
    <col min="16" max="16" width="1.1328125" style="5" customWidth="1"/>
    <col min="17" max="17" width="14.3984375" style="5" customWidth="1"/>
    <col min="18" max="18" width="2" style="5" customWidth="1"/>
    <col min="19" max="19" width="2.86328125" style="5" customWidth="1"/>
    <col min="20" max="20" width="1.1328125" style="5" customWidth="1"/>
    <col min="21" max="21" width="15.73046875" style="5" customWidth="1"/>
    <col min="22" max="22" width="0.86328125" style="5" customWidth="1"/>
    <col min="23" max="23" width="3.73046875" style="5" customWidth="1"/>
    <col min="24" max="24" width="1.73046875" style="5" customWidth="1"/>
    <col min="25" max="16384" width="9.1328125" style="5"/>
  </cols>
  <sheetData>
    <row r="1" spans="2:24" s="2" customFormat="1" ht="23.25" x14ac:dyDescent="0.35">
      <c r="C1" s="546"/>
      <c r="D1" s="546"/>
      <c r="E1" s="546"/>
      <c r="F1" s="546"/>
      <c r="G1" s="546"/>
      <c r="H1" s="546"/>
      <c r="I1" s="546"/>
      <c r="J1" s="546"/>
      <c r="K1" s="546"/>
      <c r="L1" s="546"/>
      <c r="M1" s="546"/>
      <c r="N1" s="8"/>
      <c r="O1" s="8"/>
      <c r="P1" s="8"/>
      <c r="Q1" s="8"/>
      <c r="R1" s="8"/>
      <c r="S1" s="8"/>
      <c r="T1" s="8"/>
      <c r="U1" s="147" t="str">
        <f>CONCATENATE('2. Table of Contents'!$F$6," ",'2. Table of Contents'!$G$6)</f>
        <v xml:space="preserve"> </v>
      </c>
      <c r="V1" s="1"/>
    </row>
    <row r="2" spans="2:24" s="2" customFormat="1" ht="17.25" x14ac:dyDescent="0.45">
      <c r="C2" s="550"/>
      <c r="D2" s="550"/>
      <c r="E2" s="550"/>
      <c r="F2" s="550"/>
      <c r="G2" s="550"/>
      <c r="H2" s="550"/>
      <c r="I2" s="550"/>
      <c r="J2" s="550"/>
      <c r="K2" s="550"/>
      <c r="L2" s="36"/>
      <c r="N2" s="36"/>
      <c r="O2" s="36"/>
      <c r="P2" s="36"/>
      <c r="Q2" s="36"/>
      <c r="R2" s="36"/>
      <c r="S2" s="36"/>
      <c r="T2" s="36"/>
      <c r="U2" s="298"/>
    </row>
    <row r="3" spans="2:24" s="2" customFormat="1" ht="17.25" x14ac:dyDescent="0.45">
      <c r="C3" s="550"/>
      <c r="D3" s="550"/>
      <c r="E3" s="550"/>
      <c r="F3" s="550"/>
      <c r="G3" s="550"/>
      <c r="H3" s="550"/>
      <c r="I3" s="550"/>
      <c r="J3" s="550"/>
      <c r="K3" s="550"/>
      <c r="L3" s="36"/>
      <c r="N3" s="36"/>
      <c r="O3" s="36"/>
      <c r="P3" s="36"/>
      <c r="Q3" s="36"/>
      <c r="R3" s="36"/>
      <c r="S3" s="36"/>
      <c r="T3" s="36"/>
      <c r="U3" s="298"/>
    </row>
    <row r="4" spans="2:24" s="2" customFormat="1" ht="17.25" x14ac:dyDescent="0.45">
      <c r="C4" s="550"/>
      <c r="D4" s="550"/>
      <c r="E4" s="550"/>
      <c r="F4" s="550"/>
      <c r="G4" s="550"/>
      <c r="H4" s="550"/>
      <c r="I4" s="550"/>
      <c r="J4" s="550"/>
      <c r="K4" s="550"/>
      <c r="L4" s="36"/>
      <c r="N4" s="36"/>
      <c r="O4" s="36"/>
      <c r="P4" s="36"/>
      <c r="Q4" s="36"/>
      <c r="R4" s="36"/>
      <c r="S4" s="36"/>
      <c r="T4" s="36"/>
      <c r="U4" s="296"/>
    </row>
    <row r="5" spans="2:24" s="2" customFormat="1" ht="15" x14ac:dyDescent="0.4">
      <c r="G5" s="3"/>
      <c r="H5" s="3"/>
      <c r="I5" s="3"/>
      <c r="J5" s="3"/>
      <c r="U5" s="291"/>
    </row>
    <row r="6" spans="2:24" s="2" customFormat="1" ht="36.75" customHeight="1" x14ac:dyDescent="0.35">
      <c r="U6" s="291"/>
    </row>
    <row r="7" spans="2:24" ht="4.5" customHeight="1" x14ac:dyDescent="0.35"/>
    <row r="8" spans="2:24" ht="22.5" customHeight="1" x14ac:dyDescent="0.35">
      <c r="E8" s="547"/>
      <c r="F8" s="547"/>
      <c r="G8" s="547"/>
      <c r="H8" s="547"/>
      <c r="I8" s="547"/>
      <c r="J8" s="547"/>
      <c r="K8" s="547"/>
      <c r="L8" s="547"/>
      <c r="M8" s="547"/>
      <c r="N8" s="547"/>
      <c r="O8" s="547"/>
      <c r="P8" s="547"/>
      <c r="Q8" s="547"/>
      <c r="R8" s="547"/>
      <c r="S8" s="547"/>
      <c r="T8" s="547"/>
      <c r="U8" s="547"/>
      <c r="V8" s="144"/>
      <c r="W8" s="13"/>
      <c r="X8" s="14"/>
    </row>
    <row r="9" spans="2:24" ht="22.5" customHeight="1" x14ac:dyDescent="0.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35">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35">
      <c r="V11" s="26"/>
    </row>
    <row r="12" spans="2:24" ht="12.75" customHeight="1" x14ac:dyDescent="0.35">
      <c r="E12" s="553" t="s">
        <v>155</v>
      </c>
      <c r="F12" s="69"/>
      <c r="G12" s="551" t="s">
        <v>3</v>
      </c>
      <c r="H12" s="26"/>
      <c r="I12" s="548" t="str">
        <f>IF(ISBLANK(M12),"","Adjustments")</f>
        <v>Adjustments</v>
      </c>
      <c r="J12" s="69"/>
      <c r="K12" s="306"/>
      <c r="L12" s="306"/>
      <c r="M12" s="555" t="s">
        <v>357</v>
      </c>
      <c r="N12" s="306"/>
      <c r="O12" s="551" t="s">
        <v>147</v>
      </c>
      <c r="P12" s="306"/>
      <c r="Q12" s="548" t="str">
        <f>IF(ISBLANK(M12),"","Adjustments")</f>
        <v>Adjustments</v>
      </c>
      <c r="R12" s="306"/>
      <c r="S12" s="306"/>
      <c r="T12" s="306"/>
      <c r="U12" s="553" t="s">
        <v>154</v>
      </c>
      <c r="V12" s="145"/>
    </row>
    <row r="13" spans="2:24" ht="27" customHeight="1" x14ac:dyDescent="0.35">
      <c r="E13" s="554"/>
      <c r="F13" s="69"/>
      <c r="G13" s="552"/>
      <c r="H13" s="26"/>
      <c r="I13" s="548"/>
      <c r="J13" s="69"/>
      <c r="K13" s="306"/>
      <c r="L13" s="306"/>
      <c r="M13" s="556"/>
      <c r="N13" s="306"/>
      <c r="O13" s="552"/>
      <c r="P13" s="306"/>
      <c r="Q13" s="548"/>
      <c r="R13" s="306"/>
      <c r="S13" s="306"/>
      <c r="T13" s="306"/>
      <c r="U13" s="554"/>
      <c r="V13" s="145"/>
    </row>
    <row r="14" spans="2:24" ht="10.5" customHeight="1" x14ac:dyDescent="0.35">
      <c r="J14" s="26"/>
      <c r="V14" s="26"/>
    </row>
    <row r="15" spans="2:24" ht="13.15" x14ac:dyDescent="0.4">
      <c r="B15" s="301">
        <v>1</v>
      </c>
      <c r="C15" s="17" t="s">
        <v>7</v>
      </c>
      <c r="D15" s="17"/>
      <c r="J15" s="26"/>
      <c r="V15" s="26"/>
    </row>
    <row r="16" spans="2:24" ht="13.15" x14ac:dyDescent="0.35">
      <c r="B16" s="302"/>
      <c r="C16" s="5" t="s">
        <v>100</v>
      </c>
      <c r="E16" s="357">
        <v>206001.29629018123</v>
      </c>
      <c r="F16" s="233"/>
      <c r="G16" s="362"/>
      <c r="H16" s="11"/>
      <c r="I16" s="364">
        <v>-7345</v>
      </c>
      <c r="J16" s="233"/>
      <c r="K16" s="363"/>
      <c r="L16" s="198"/>
      <c r="M16" s="234">
        <f>IF(ISBLANK(E16),0,E16+I16)</f>
        <v>198656.29629018123</v>
      </c>
      <c r="N16" s="198"/>
      <c r="O16" s="363"/>
      <c r="P16" s="198"/>
      <c r="Q16" s="364">
        <f>Data!C5-M16</f>
        <v>-867.5</v>
      </c>
      <c r="R16" s="233"/>
      <c r="S16" s="363"/>
      <c r="T16" s="198"/>
      <c r="U16" s="235">
        <f>IF(ISBLANK(E16),"",E16+I16+Q16)</f>
        <v>197788.79629018123</v>
      </c>
      <c r="V16" s="19"/>
    </row>
    <row r="17" spans="2:29" ht="13.15" x14ac:dyDescent="0.35">
      <c r="B17" s="302"/>
      <c r="C17" s="5" t="s">
        <v>101</v>
      </c>
      <c r="E17" s="357">
        <v>-94891.654203667364</v>
      </c>
      <c r="F17" s="233"/>
      <c r="G17" s="11" t="s">
        <v>123</v>
      </c>
      <c r="H17" s="11"/>
      <c r="I17" s="364">
        <v>88.381944444437977</v>
      </c>
      <c r="J17" s="233"/>
      <c r="K17" s="363"/>
      <c r="L17" s="198"/>
      <c r="M17" s="235">
        <f>IF(ISBLANK(E17),0,E17+I17)</f>
        <v>-94803.272259222926</v>
      </c>
      <c r="N17" s="198"/>
      <c r="O17" s="363"/>
      <c r="P17" s="198"/>
      <c r="Q17" s="364">
        <f>Data!C6-M17</f>
        <v>27.5</v>
      </c>
      <c r="R17" s="233"/>
      <c r="S17" s="363"/>
      <c r="T17" s="198"/>
      <c r="U17" s="235">
        <f>IF(ISBLANK(E17),"",E17+I17+Q17)</f>
        <v>-94775.772259222926</v>
      </c>
      <c r="V17" s="19"/>
    </row>
    <row r="18" spans="2:29" ht="13.15" x14ac:dyDescent="0.35">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35">
      <c r="B19" s="302"/>
      <c r="C19" s="5" t="s">
        <v>61</v>
      </c>
      <c r="E19" s="357">
        <v>13233.831952052396</v>
      </c>
      <c r="F19" s="233"/>
      <c r="G19" s="363"/>
      <c r="H19" s="197"/>
      <c r="I19" s="364">
        <v>0</v>
      </c>
      <c r="J19" s="233"/>
      <c r="K19" s="363"/>
      <c r="L19" s="198"/>
      <c r="M19" s="236">
        <f>IF(ISBLANK(E19),0,E19+I19)</f>
        <v>13233.831952052396</v>
      </c>
      <c r="N19" s="198"/>
      <c r="O19" s="363"/>
      <c r="P19" s="198"/>
      <c r="Q19" s="364">
        <f>Data!C8-M19</f>
        <v>0</v>
      </c>
      <c r="R19" s="233"/>
      <c r="S19" s="363"/>
      <c r="T19" s="198"/>
      <c r="U19" s="235">
        <f>IF(ISBLANK(E19),"",E19+I19+Q19)</f>
        <v>13233.831952052396</v>
      </c>
      <c r="V19" s="19"/>
    </row>
    <row r="20" spans="2:29" x14ac:dyDescent="0.35">
      <c r="B20" s="302"/>
      <c r="C20" s="5" t="s">
        <v>62</v>
      </c>
      <c r="E20" s="357">
        <v>123227.96833617106</v>
      </c>
      <c r="F20" s="233"/>
      <c r="G20" s="363"/>
      <c r="H20" s="197"/>
      <c r="I20" s="364">
        <v>-10475.03668480576</v>
      </c>
      <c r="J20" s="233"/>
      <c r="K20" s="363"/>
      <c r="L20" s="198"/>
      <c r="M20" s="236">
        <f>IF(ISBLANK(E20),0,E20+I20)</f>
        <v>112752.9316513653</v>
      </c>
      <c r="N20" s="198"/>
      <c r="O20" s="363"/>
      <c r="P20" s="198"/>
      <c r="Q20" s="364">
        <f>Data!C9-M20</f>
        <v>16132.815728079324</v>
      </c>
      <c r="R20" s="233"/>
      <c r="S20" s="363"/>
      <c r="T20" s="198"/>
      <c r="U20" s="235">
        <f>IF(ISBLANK(E20),"",E20+I20+Q20)</f>
        <v>128885.74737944463</v>
      </c>
      <c r="V20" s="19"/>
      <c r="Y20" s="548"/>
    </row>
    <row r="21" spans="2:29" ht="13.15" x14ac:dyDescent="0.35">
      <c r="B21" s="302"/>
      <c r="C21" s="5" t="s">
        <v>63</v>
      </c>
      <c r="E21" s="358">
        <v>9.3700000000000006E-2</v>
      </c>
      <c r="F21" s="239"/>
      <c r="G21" s="11" t="s">
        <v>246</v>
      </c>
      <c r="H21" s="197"/>
      <c r="I21" s="237"/>
      <c r="J21" s="237"/>
      <c r="K21" s="197"/>
      <c r="L21" s="197"/>
      <c r="M21" s="358">
        <v>9.3700000000000006E-2</v>
      </c>
      <c r="N21" s="239"/>
      <c r="O21" s="11" t="s">
        <v>246</v>
      </c>
      <c r="P21" s="197"/>
      <c r="Q21" s="197"/>
      <c r="R21" s="197"/>
      <c r="S21" s="197"/>
      <c r="T21" s="197"/>
      <c r="U21" s="358">
        <f>Data!C10</f>
        <v>9.3700000000000006E-2</v>
      </c>
      <c r="V21" s="179"/>
      <c r="W21" s="11" t="s">
        <v>246</v>
      </c>
      <c r="Y21" s="548"/>
    </row>
    <row r="22" spans="2:29" ht="10.5" customHeight="1" x14ac:dyDescent="0.35">
      <c r="B22" s="302"/>
      <c r="E22" s="230"/>
      <c r="F22" s="237"/>
      <c r="G22" s="197"/>
      <c r="H22" s="197"/>
      <c r="I22" s="230"/>
      <c r="J22" s="237"/>
      <c r="K22" s="197"/>
      <c r="L22" s="197"/>
      <c r="M22" s="239"/>
      <c r="N22" s="239"/>
      <c r="O22" s="240"/>
      <c r="P22" s="197"/>
      <c r="Q22" s="197"/>
      <c r="R22" s="197"/>
      <c r="S22" s="197"/>
      <c r="T22" s="197"/>
      <c r="U22" s="230"/>
      <c r="V22" s="21"/>
    </row>
    <row r="23" spans="2:29" ht="13.15" x14ac:dyDescent="0.4">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35">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35">
      <c r="B25" s="302"/>
      <c r="C25" s="25" t="s">
        <v>113</v>
      </c>
      <c r="D25" s="25"/>
      <c r="E25" s="357">
        <v>23603.655927909476</v>
      </c>
      <c r="F25" s="233"/>
      <c r="G25" s="363"/>
      <c r="H25" s="197"/>
      <c r="I25" s="237">
        <f>IF(ISBLANK(M25),"",IF(ISBLANK(E25),"",M25-E25))</f>
        <v>-699.17647904806654</v>
      </c>
      <c r="J25" s="237"/>
      <c r="K25" s="197"/>
      <c r="L25" s="197"/>
      <c r="M25" s="357">
        <v>22904.47944886141</v>
      </c>
      <c r="N25" s="233"/>
      <c r="O25" s="363"/>
      <c r="P25" s="197"/>
      <c r="Q25" s="237">
        <f>IF(ISBLANK(U25),"",IF(ISBLANK(M25),"",U25-M25))</f>
        <v>413.44628141640351</v>
      </c>
      <c r="R25" s="197"/>
      <c r="S25" s="197"/>
      <c r="T25" s="197"/>
      <c r="U25" s="357">
        <f>Data!$C14</f>
        <v>23317.925730277813</v>
      </c>
      <c r="V25" s="29"/>
      <c r="W25" s="365"/>
    </row>
    <row r="26" spans="2:29" x14ac:dyDescent="0.35">
      <c r="B26" s="302"/>
      <c r="C26" s="5" t="s">
        <v>109</v>
      </c>
      <c r="E26" s="357">
        <v>24975.153694580666</v>
      </c>
      <c r="F26" s="233"/>
      <c r="G26" s="363"/>
      <c r="H26" s="197"/>
      <c r="I26" s="237">
        <f>IF(ISBLANK(M26),"",IF(ISBLANK(E26),"",M26-E26))</f>
        <v>-1234.6233006325674</v>
      </c>
      <c r="J26" s="235"/>
      <c r="K26" s="197"/>
      <c r="L26" s="197"/>
      <c r="M26" s="501">
        <v>23740.530393948098</v>
      </c>
      <c r="N26" s="233"/>
      <c r="O26" s="363"/>
      <c r="P26" s="197"/>
      <c r="Q26" s="237">
        <f>IF(ISBLANK(U26),"",IF(ISBLANK(M26),"",U26-M26))</f>
        <v>376.6642677501768</v>
      </c>
      <c r="R26" s="197"/>
      <c r="S26" s="197"/>
      <c r="T26" s="197"/>
      <c r="U26" s="357">
        <f>Data!$C15</f>
        <v>24117.194661698275</v>
      </c>
      <c r="V26" s="29"/>
      <c r="W26" s="365"/>
    </row>
    <row r="27" spans="2:29" x14ac:dyDescent="0.35">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35">
      <c r="B28" s="302"/>
      <c r="C28" s="5" t="s">
        <v>68</v>
      </c>
      <c r="E28" s="357">
        <v>789.58496277779284</v>
      </c>
      <c r="F28" s="233"/>
      <c r="G28" s="363"/>
      <c r="H28" s="197"/>
      <c r="I28" s="237">
        <f>IF(ISBLANK(M28),"",IF(ISBLANK(E28),"",M28-E28))</f>
        <v>-3.3695694501335538</v>
      </c>
      <c r="J28" s="237"/>
      <c r="K28" s="197"/>
      <c r="L28" s="197"/>
      <c r="M28" s="357">
        <v>786.21539332765929</v>
      </c>
      <c r="N28" s="233"/>
      <c r="O28" s="363"/>
      <c r="P28" s="197"/>
      <c r="Q28" s="237">
        <f>IF(ISBLANK(U28),"",IF(ISBLANK(M28),"",U28-M28))</f>
        <v>-2.8755402624959743</v>
      </c>
      <c r="R28" s="197"/>
      <c r="S28" s="197"/>
      <c r="T28" s="197"/>
      <c r="U28" s="357">
        <f>Data!$C17</f>
        <v>783.33985306516331</v>
      </c>
      <c r="V28" s="29"/>
      <c r="W28" s="365"/>
    </row>
    <row r="29" spans="2:29" x14ac:dyDescent="0.35">
      <c r="B29" s="302"/>
      <c r="C29" s="5" t="s">
        <v>69</v>
      </c>
      <c r="E29" s="357">
        <v>305.94343299250335</v>
      </c>
      <c r="F29" s="233"/>
      <c r="G29" s="363"/>
      <c r="H29" s="197"/>
      <c r="I29" s="237">
        <f>IF(ISBLANK(M29),"",IF(ISBLANK(E29),"",M29-E29))</f>
        <v>-1.3825047621622844</v>
      </c>
      <c r="J29" s="237"/>
      <c r="K29" s="197"/>
      <c r="L29" s="197"/>
      <c r="M29" s="357">
        <v>304.56092823034106</v>
      </c>
      <c r="N29" s="233"/>
      <c r="O29" s="363"/>
      <c r="P29" s="197"/>
      <c r="Q29" s="237">
        <f>IF(ISBLANK(U29),"",IF(ISBLANK(M29),"",U29-M29))</f>
        <v>-1.179808923817518</v>
      </c>
      <c r="R29" s="197"/>
      <c r="S29" s="197"/>
      <c r="T29" s="197"/>
      <c r="U29" s="357">
        <f>Data!$C18</f>
        <v>303.38111930652354</v>
      </c>
      <c r="V29" s="29"/>
      <c r="W29" s="365"/>
    </row>
    <row r="30" spans="2:29" x14ac:dyDescent="0.35">
      <c r="B30" s="302"/>
      <c r="C30" s="5" t="s">
        <v>70</v>
      </c>
      <c r="E30" s="357">
        <v>171.91209233969965</v>
      </c>
      <c r="F30" s="233"/>
      <c r="G30" s="363"/>
      <c r="H30" s="197"/>
      <c r="I30" s="237">
        <f>IF(ISBLANK(M30),"",IF(ISBLANK(E30),"",M30-E30))</f>
        <v>-1.0385275055659804</v>
      </c>
      <c r="J30" s="237"/>
      <c r="K30" s="197"/>
      <c r="L30" s="197"/>
      <c r="M30" s="357">
        <v>170.87356483413367</v>
      </c>
      <c r="N30" s="233"/>
      <c r="O30" s="363"/>
      <c r="P30" s="197"/>
      <c r="Q30" s="237">
        <f>IF(ISBLANK(U30),"",IF(ISBLANK(M30),"",U30-M30))</f>
        <v>-0.86647249443402075</v>
      </c>
      <c r="R30" s="197"/>
      <c r="S30" s="197"/>
      <c r="T30" s="197"/>
      <c r="U30" s="357">
        <f>Data!$C19</f>
        <v>170.00709233969965</v>
      </c>
      <c r="V30" s="29"/>
      <c r="W30" s="365"/>
    </row>
    <row r="31" spans="2:29" x14ac:dyDescent="0.35">
      <c r="B31" s="302"/>
      <c r="C31" s="5" t="s">
        <v>71</v>
      </c>
      <c r="E31" s="357">
        <v>128</v>
      </c>
      <c r="F31" s="233"/>
      <c r="G31" s="363"/>
      <c r="H31" s="197"/>
      <c r="I31" s="237">
        <f>IF(ISBLANK(M31),"",IF(ISBLANK(E31),"",M31-E31))</f>
        <v>0</v>
      </c>
      <c r="J31" s="237"/>
      <c r="K31" s="197"/>
      <c r="L31" s="197"/>
      <c r="M31" s="357">
        <v>128</v>
      </c>
      <c r="N31" s="233"/>
      <c r="O31" s="363"/>
      <c r="P31" s="197"/>
      <c r="Q31" s="237">
        <f>IF(ISBLANK(U31),"",IF(ISBLANK(M31),"",U31-M31))</f>
        <v>0</v>
      </c>
      <c r="R31" s="197"/>
      <c r="S31" s="197"/>
      <c r="T31" s="197"/>
      <c r="U31" s="357">
        <f>Data!$C20</f>
        <v>128</v>
      </c>
      <c r="V31" s="29"/>
      <c r="W31" s="365"/>
    </row>
    <row r="32" spans="2:29" x14ac:dyDescent="0.35">
      <c r="B32" s="302"/>
      <c r="D32" s="26"/>
      <c r="E32" s="348"/>
      <c r="F32" s="233"/>
      <c r="G32" s="267"/>
      <c r="H32" s="198"/>
      <c r="I32" s="237"/>
      <c r="J32" s="237"/>
      <c r="K32" s="198"/>
      <c r="L32" s="198"/>
      <c r="M32" s="348"/>
      <c r="N32" s="233"/>
      <c r="O32" s="267"/>
      <c r="P32" s="198"/>
      <c r="Q32" s="237"/>
      <c r="R32" s="198"/>
      <c r="S32" s="198"/>
      <c r="T32" s="198"/>
      <c r="U32" s="348"/>
      <c r="V32" s="29"/>
      <c r="W32" s="349"/>
    </row>
    <row r="33" spans="2:23" ht="13.15" x14ac:dyDescent="0.35">
      <c r="B33" s="302"/>
      <c r="D33" s="5" t="s">
        <v>57</v>
      </c>
      <c r="E33" s="357">
        <v>1395.4404881099958</v>
      </c>
      <c r="F33" s="233"/>
      <c r="G33" s="11" t="s">
        <v>238</v>
      </c>
      <c r="H33" s="197"/>
      <c r="I33" s="237">
        <f>IF(ISBLANK(M33),"",IF(ISBLANK(E33),"",M33-E33))</f>
        <v>-5.7906017178618185</v>
      </c>
      <c r="J33" s="237"/>
      <c r="K33" s="197"/>
      <c r="L33" s="197"/>
      <c r="M33" s="357">
        <v>1389.649886392134</v>
      </c>
      <c r="N33" s="233"/>
      <c r="O33" s="363"/>
      <c r="P33" s="197"/>
      <c r="Q33" s="237">
        <f>IF(ISBLANK(U33),"",IF(ISBLANK(M33),"",U33-M33))</f>
        <v>-4.9218216807473709</v>
      </c>
      <c r="R33" s="197"/>
      <c r="S33" s="197"/>
      <c r="T33" s="197"/>
      <c r="U33" s="357">
        <f>Data!$C22</f>
        <v>1384.7280647113867</v>
      </c>
      <c r="V33" s="29"/>
      <c r="W33" s="365"/>
    </row>
    <row r="34" spans="2:23" ht="10.5" customHeight="1" x14ac:dyDescent="0.35">
      <c r="B34" s="302"/>
      <c r="E34" s="237"/>
      <c r="F34" s="237"/>
      <c r="G34" s="198"/>
      <c r="H34" s="198"/>
      <c r="I34" s="237"/>
      <c r="J34" s="237"/>
      <c r="K34" s="198"/>
      <c r="L34" s="198"/>
      <c r="M34" s="198"/>
      <c r="N34" s="198"/>
      <c r="O34" s="198"/>
      <c r="P34" s="198"/>
      <c r="Q34" s="198"/>
      <c r="R34" s="198"/>
      <c r="S34" s="198"/>
      <c r="T34" s="198"/>
      <c r="U34" s="237"/>
      <c r="V34" s="21"/>
    </row>
    <row r="35" spans="2:23" x14ac:dyDescent="0.35">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35">
      <c r="B36" s="302"/>
      <c r="C36" s="5" t="s">
        <v>65</v>
      </c>
      <c r="E36" s="357">
        <v>13032.88066833308</v>
      </c>
      <c r="F36" s="233"/>
      <c r="G36" s="363"/>
      <c r="H36" s="197"/>
      <c r="I36" s="357">
        <v>0</v>
      </c>
      <c r="J36" s="233"/>
      <c r="K36" s="363"/>
      <c r="L36" s="197"/>
      <c r="M36" s="236">
        <f>IF(ISBLANK(E36),"",E36+I36)</f>
        <v>13032.88066833308</v>
      </c>
      <c r="N36" s="197"/>
      <c r="O36" s="197"/>
      <c r="P36" s="197"/>
      <c r="Q36" s="357">
        <f>Data!C25-M36</f>
        <v>0</v>
      </c>
      <c r="R36" s="233"/>
      <c r="S36" s="363"/>
      <c r="T36" s="197"/>
      <c r="U36" s="235">
        <f>IF(ISBLANK(E36),"",E36+I36+Q36)</f>
        <v>13032.88066833308</v>
      </c>
      <c r="V36" s="19"/>
    </row>
    <row r="37" spans="2:23" x14ac:dyDescent="0.35">
      <c r="B37" s="302"/>
      <c r="C37" s="5" t="s">
        <v>143</v>
      </c>
      <c r="E37" s="357">
        <v>5211.3096815439585</v>
      </c>
      <c r="F37" s="233"/>
      <c r="G37" s="363"/>
      <c r="H37" s="197"/>
      <c r="I37" s="357">
        <v>-176.76388888888869</v>
      </c>
      <c r="J37" s="233"/>
      <c r="K37" s="363"/>
      <c r="L37" s="197"/>
      <c r="M37" s="236">
        <f>IF(ISBLANK(E37),"",E37+I37)</f>
        <v>5034.5457926550698</v>
      </c>
      <c r="N37" s="197"/>
      <c r="O37" s="197"/>
      <c r="P37" s="197"/>
      <c r="Q37" s="357">
        <f>Data!C26-M37</f>
        <v>-22</v>
      </c>
      <c r="R37" s="233"/>
      <c r="S37" s="363"/>
      <c r="T37" s="197"/>
      <c r="U37" s="235">
        <f>IF(ISBLANK(E37),"",E37+I37+Q37)</f>
        <v>5012.5457926550698</v>
      </c>
      <c r="V37" s="19"/>
    </row>
    <row r="38" spans="2:23" x14ac:dyDescent="0.35">
      <c r="B38" s="302"/>
      <c r="C38" s="5" t="s">
        <v>66</v>
      </c>
      <c r="E38" s="357">
        <v>168.47252681144457</v>
      </c>
      <c r="F38" s="233"/>
      <c r="G38" s="363"/>
      <c r="H38" s="197"/>
      <c r="I38" s="357">
        <v>0</v>
      </c>
      <c r="J38" s="233"/>
      <c r="K38" s="363"/>
      <c r="L38" s="197"/>
      <c r="M38" s="236">
        <f>IF(ISBLANK(E38),"",E38+I38)</f>
        <v>168.47252681144457</v>
      </c>
      <c r="N38" s="197"/>
      <c r="O38" s="197"/>
      <c r="P38" s="197"/>
      <c r="Q38" s="357">
        <f>Data!C27-M38</f>
        <v>0</v>
      </c>
      <c r="R38" s="233"/>
      <c r="S38" s="363"/>
      <c r="T38" s="197"/>
      <c r="U38" s="235">
        <f>IF(ISBLANK(E38),"",E38+I38+Q38)</f>
        <v>168.47252681144457</v>
      </c>
      <c r="V38" s="19"/>
    </row>
    <row r="39" spans="2:23" s="174" customFormat="1" ht="14.25" customHeight="1" x14ac:dyDescent="0.35">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35">
      <c r="B40" s="302"/>
      <c r="C40" s="5" t="s">
        <v>93</v>
      </c>
      <c r="E40" s="357">
        <v>32.478756907871151</v>
      </c>
      <c r="F40" s="233"/>
      <c r="G40" s="363"/>
      <c r="H40" s="197"/>
      <c r="I40" s="357">
        <v>0</v>
      </c>
      <c r="J40" s="233"/>
      <c r="K40" s="363"/>
      <c r="L40" s="197"/>
      <c r="M40" s="198">
        <f>IF(ISBLANK(E40),"",E40+I40)</f>
        <v>32.478756907871151</v>
      </c>
      <c r="N40" s="197"/>
      <c r="O40" s="197"/>
      <c r="P40" s="197"/>
      <c r="Q40" s="357">
        <f>Data!C29-M40</f>
        <v>0</v>
      </c>
      <c r="R40" s="233"/>
      <c r="S40" s="363"/>
      <c r="T40" s="197"/>
      <c r="U40" s="235">
        <f>IF(ISBLANK(E40),"",E40+I40+Q40)</f>
        <v>32.478756907871151</v>
      </c>
      <c r="V40" s="19"/>
    </row>
    <row r="41" spans="2:23" ht="9.75" customHeight="1" x14ac:dyDescent="0.35">
      <c r="B41" s="302"/>
      <c r="E41" s="230"/>
      <c r="F41" s="237"/>
      <c r="G41" s="197"/>
      <c r="H41" s="197"/>
      <c r="I41" s="230"/>
      <c r="J41" s="237"/>
      <c r="K41" s="197"/>
      <c r="L41" s="197"/>
      <c r="M41" s="197"/>
      <c r="N41" s="197"/>
      <c r="O41" s="197"/>
      <c r="P41" s="197"/>
      <c r="Q41" s="197"/>
      <c r="R41" s="197"/>
      <c r="S41" s="197"/>
      <c r="T41" s="197"/>
      <c r="U41" s="230"/>
      <c r="V41" s="21"/>
    </row>
    <row r="42" spans="2:23" ht="13.15" x14ac:dyDescent="0.4">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35">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35">
      <c r="B44" s="302"/>
      <c r="C44" s="28"/>
      <c r="D44" s="28" t="s">
        <v>146</v>
      </c>
      <c r="E44" s="357">
        <v>-2796.4609740625165</v>
      </c>
      <c r="F44" s="233"/>
      <c r="G44" s="11" t="s">
        <v>98</v>
      </c>
      <c r="H44" s="11"/>
      <c r="I44" s="235"/>
      <c r="J44" s="235"/>
      <c r="K44" s="197"/>
      <c r="L44" s="197"/>
      <c r="M44" s="357">
        <v>-2385.6248629514048</v>
      </c>
      <c r="N44" s="233"/>
      <c r="O44" s="362"/>
      <c r="P44" s="197"/>
      <c r="Q44" s="197"/>
      <c r="R44" s="197"/>
      <c r="S44" s="197"/>
      <c r="T44" s="197"/>
      <c r="U44" s="357">
        <f>Data!$C33</f>
        <v>-2407.6248629514048</v>
      </c>
      <c r="V44" s="29"/>
      <c r="W44" s="365"/>
    </row>
    <row r="45" spans="2:23" x14ac:dyDescent="0.35">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35">
      <c r="B46" s="302"/>
      <c r="C46" s="5" t="s">
        <v>125</v>
      </c>
      <c r="E46" s="357">
        <v>374.52610151207136</v>
      </c>
      <c r="F46" s="233"/>
      <c r="G46" s="363"/>
      <c r="H46" s="197"/>
      <c r="I46" s="230"/>
      <c r="J46" s="237"/>
      <c r="K46" s="197"/>
      <c r="L46" s="197"/>
      <c r="M46" s="357">
        <v>352.88180143381874</v>
      </c>
      <c r="N46" s="233"/>
      <c r="O46" s="363"/>
      <c r="P46" s="197"/>
      <c r="Q46" s="197"/>
      <c r="R46" s="197"/>
      <c r="S46" s="197"/>
      <c r="T46" s="197"/>
      <c r="U46" s="357">
        <f>Data!$C35</f>
        <v>380.43073496515291</v>
      </c>
      <c r="V46" s="29"/>
      <c r="W46" s="365"/>
    </row>
    <row r="47" spans="2:23" x14ac:dyDescent="0.35">
      <c r="B47" s="302"/>
      <c r="C47" s="20" t="s">
        <v>126</v>
      </c>
      <c r="D47" s="20"/>
      <c r="E47" s="233">
        <f>IF(ISBLANK(E46),"",E46/(1-SUM(E49:E50)))</f>
        <v>496.1205704473133</v>
      </c>
      <c r="F47" s="233"/>
      <c r="G47" s="241"/>
      <c r="H47" s="241"/>
      <c r="I47" s="242"/>
      <c r="J47" s="242"/>
      <c r="K47" s="241"/>
      <c r="L47" s="241"/>
      <c r="M47" s="233">
        <f>IF(ISBLANK(M46),"",M46/(1-SUM(M49:M50)))</f>
        <v>466.84926741086099</v>
      </c>
      <c r="N47" s="233"/>
      <c r="O47" s="241"/>
      <c r="P47" s="241"/>
      <c r="Q47" s="241"/>
      <c r="R47" s="241"/>
      <c r="S47" s="241"/>
      <c r="T47" s="241"/>
      <c r="U47" s="233">
        <f>IF(ISBLANK(U46),"",U46/(1-SUM(U49:U50)))</f>
        <v>504.10861636911068</v>
      </c>
      <c r="V47" s="29"/>
    </row>
    <row r="48" spans="2:23" ht="0.75" customHeight="1" x14ac:dyDescent="0.4">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35">
      <c r="B49" s="302"/>
      <c r="C49" s="5" t="s">
        <v>83</v>
      </c>
      <c r="E49" s="358">
        <v>0.15000000000000002</v>
      </c>
      <c r="F49" s="239"/>
      <c r="G49" s="363"/>
      <c r="H49" s="197"/>
      <c r="I49" s="197"/>
      <c r="J49" s="198"/>
      <c r="K49" s="197"/>
      <c r="L49" s="197"/>
      <c r="M49" s="358">
        <v>0.15000000000000002</v>
      </c>
      <c r="N49" s="239"/>
      <c r="O49" s="363"/>
      <c r="P49" s="197"/>
      <c r="Q49" s="197"/>
      <c r="R49" s="197"/>
      <c r="S49" s="197"/>
      <c r="T49" s="197"/>
      <c r="U49" s="358">
        <f>Data!$C38</f>
        <v>0.15000000000000002</v>
      </c>
      <c r="V49" s="179"/>
      <c r="W49" s="365"/>
    </row>
    <row r="50" spans="2:23" x14ac:dyDescent="0.35">
      <c r="B50" s="302"/>
      <c r="C50" s="5" t="s">
        <v>84</v>
      </c>
      <c r="E50" s="358">
        <v>9.5090561001350327E-2</v>
      </c>
      <c r="F50" s="239"/>
      <c r="G50" s="363"/>
      <c r="H50" s="197"/>
      <c r="I50" s="197"/>
      <c r="J50" s="198"/>
      <c r="K50" s="197"/>
      <c r="L50" s="197"/>
      <c r="M50" s="358">
        <v>9.4120477277610651E-2</v>
      </c>
      <c r="N50" s="239"/>
      <c r="O50" s="363"/>
      <c r="P50" s="197"/>
      <c r="Q50" s="197"/>
      <c r="R50" s="197"/>
      <c r="S50" s="197"/>
      <c r="T50" s="197"/>
      <c r="U50" s="358">
        <f>Data!$C39</f>
        <v>9.5339748990523623E-2</v>
      </c>
      <c r="V50" s="179"/>
      <c r="W50" s="365"/>
    </row>
    <row r="51" spans="2:23" x14ac:dyDescent="0.35">
      <c r="B51" s="302"/>
      <c r="C51" s="31" t="s">
        <v>116</v>
      </c>
      <c r="D51" s="31"/>
      <c r="E51" s="357">
        <v>-56.333333333333336</v>
      </c>
      <c r="F51" s="233"/>
      <c r="G51" s="363"/>
      <c r="H51" s="197"/>
      <c r="I51" s="197"/>
      <c r="J51" s="198"/>
      <c r="K51" s="197"/>
      <c r="L51" s="197"/>
      <c r="M51" s="357">
        <v>-56.333333333333336</v>
      </c>
      <c r="N51" s="233"/>
      <c r="O51" s="363"/>
      <c r="P51" s="197"/>
      <c r="Q51" s="197"/>
      <c r="R51" s="197"/>
      <c r="S51" s="197"/>
      <c r="T51" s="197"/>
      <c r="U51" s="357">
        <f>Data!$C40</f>
        <v>-56.333333333333336</v>
      </c>
      <c r="V51" s="29"/>
      <c r="W51" s="365"/>
    </row>
    <row r="52" spans="2:23" ht="10.5" customHeight="1" x14ac:dyDescent="0.35">
      <c r="B52" s="302"/>
      <c r="C52" s="5" t="s">
        <v>60</v>
      </c>
      <c r="E52" s="197"/>
      <c r="F52" s="198"/>
      <c r="G52" s="197"/>
      <c r="H52" s="197"/>
      <c r="I52" s="197"/>
      <c r="J52" s="198"/>
      <c r="K52" s="197"/>
      <c r="L52" s="197"/>
      <c r="M52" s="197"/>
      <c r="N52" s="198"/>
      <c r="O52" s="197"/>
      <c r="P52" s="197"/>
      <c r="Q52" s="197"/>
      <c r="R52" s="197"/>
      <c r="S52" s="197"/>
      <c r="T52" s="197"/>
      <c r="U52" s="197"/>
      <c r="V52" s="26"/>
    </row>
    <row r="53" spans="2:23" ht="13.15" x14ac:dyDescent="0.4">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35">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35">
      <c r="C55" s="5" t="s">
        <v>74</v>
      </c>
      <c r="E55" s="359">
        <v>0.56000000000000005</v>
      </c>
      <c r="F55" s="244"/>
      <c r="G55" s="363"/>
      <c r="H55" s="197"/>
      <c r="I55" s="197"/>
      <c r="J55" s="198"/>
      <c r="K55" s="197"/>
      <c r="L55" s="197"/>
      <c r="M55" s="359">
        <v>0.56000000000000005</v>
      </c>
      <c r="N55" s="244"/>
      <c r="O55" s="363"/>
      <c r="P55" s="197"/>
      <c r="Q55" s="197"/>
      <c r="R55" s="197"/>
      <c r="S55" s="197"/>
      <c r="T55" s="197"/>
      <c r="U55" s="359">
        <f>Data!$C44</f>
        <v>0.56000000000000005</v>
      </c>
      <c r="V55" s="182"/>
      <c r="W55" s="365"/>
    </row>
    <row r="56" spans="2:23" ht="13.15" x14ac:dyDescent="0.4">
      <c r="C56" s="5" t="s">
        <v>75</v>
      </c>
      <c r="E56" s="359">
        <v>0.04</v>
      </c>
      <c r="F56" s="244"/>
      <c r="G56" s="11" t="s">
        <v>244</v>
      </c>
      <c r="H56" s="11"/>
      <c r="I56" s="197"/>
      <c r="J56" s="198"/>
      <c r="K56" s="197"/>
      <c r="L56" s="197"/>
      <c r="M56" s="359">
        <v>0.04</v>
      </c>
      <c r="N56" s="244"/>
      <c r="O56" s="11" t="s">
        <v>244</v>
      </c>
      <c r="P56" s="197"/>
      <c r="Q56" s="197"/>
      <c r="R56" s="197"/>
      <c r="S56" s="197"/>
      <c r="T56" s="197"/>
      <c r="U56" s="359">
        <f>Data!$C45</f>
        <v>0.04</v>
      </c>
      <c r="V56" s="182"/>
      <c r="W56" s="18" t="s">
        <v>244</v>
      </c>
    </row>
    <row r="57" spans="2:23" x14ac:dyDescent="0.35">
      <c r="C57" s="5" t="s">
        <v>76</v>
      </c>
      <c r="E57" s="359">
        <v>0.39999999999999991</v>
      </c>
      <c r="F57" s="244"/>
      <c r="G57" s="390"/>
      <c r="H57" s="197"/>
      <c r="I57" s="197"/>
      <c r="J57" s="198"/>
      <c r="K57" s="197"/>
      <c r="L57" s="197"/>
      <c r="M57" s="360">
        <v>0.39999999999999991</v>
      </c>
      <c r="N57" s="244"/>
      <c r="O57" s="363"/>
      <c r="P57" s="197"/>
      <c r="Q57" s="197"/>
      <c r="R57" s="197"/>
      <c r="S57" s="197"/>
      <c r="T57" s="197"/>
      <c r="U57" s="359">
        <f>Data!$C46</f>
        <v>0.39999999999999991</v>
      </c>
      <c r="V57" s="182"/>
      <c r="W57" s="365"/>
    </row>
    <row r="58" spans="2:23" ht="13.15" thickBot="1" x14ac:dyDescent="0.4">
      <c r="C58" s="5" t="s">
        <v>77</v>
      </c>
      <c r="E58" s="360">
        <v>0</v>
      </c>
      <c r="F58" s="244"/>
      <c r="G58" s="363"/>
      <c r="H58" s="197"/>
      <c r="I58" s="197"/>
      <c r="J58" s="198"/>
      <c r="K58" s="197"/>
      <c r="L58" s="197"/>
      <c r="M58" s="360"/>
      <c r="N58" s="244"/>
      <c r="O58" s="363"/>
      <c r="P58" s="197"/>
      <c r="Q58" s="197"/>
      <c r="R58" s="197"/>
      <c r="S58" s="197"/>
      <c r="T58" s="197"/>
      <c r="U58" s="360">
        <f>Data!$C47</f>
        <v>0</v>
      </c>
      <c r="V58" s="182"/>
      <c r="W58" s="365"/>
    </row>
    <row r="59" spans="2:23" ht="13.15" thickTop="1" x14ac:dyDescent="0.35">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35">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35">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35">
      <c r="C62" s="5" t="s">
        <v>78</v>
      </c>
      <c r="E62" s="361">
        <v>4.0257509989259838E-2</v>
      </c>
      <c r="F62" s="248"/>
      <c r="G62" s="363"/>
      <c r="H62" s="197"/>
      <c r="I62" s="197"/>
      <c r="J62" s="198"/>
      <c r="K62" s="197"/>
      <c r="L62" s="197"/>
      <c r="M62" s="361">
        <v>3.4764162645532698E-2</v>
      </c>
      <c r="N62" s="248"/>
      <c r="O62" s="363"/>
      <c r="P62" s="197"/>
      <c r="Q62" s="197"/>
      <c r="R62" s="197"/>
      <c r="S62" s="197"/>
      <c r="T62" s="197"/>
      <c r="U62" s="361">
        <f>Data!$C51</f>
        <v>3.7716281874955307E-2</v>
      </c>
      <c r="V62" s="183"/>
      <c r="W62" s="365"/>
    </row>
    <row r="63" spans="2:23" x14ac:dyDescent="0.35">
      <c r="C63" s="5" t="s">
        <v>79</v>
      </c>
      <c r="E63" s="361">
        <v>1.6500000000000001E-2</v>
      </c>
      <c r="F63" s="248"/>
      <c r="G63" s="363"/>
      <c r="H63" s="197"/>
      <c r="I63" s="197"/>
      <c r="J63" s="198"/>
      <c r="K63" s="197"/>
      <c r="L63" s="197"/>
      <c r="M63" s="361">
        <v>1.7600000000000001E-2</v>
      </c>
      <c r="N63" s="248"/>
      <c r="O63" s="363"/>
      <c r="P63" s="197"/>
      <c r="Q63" s="197"/>
      <c r="R63" s="197"/>
      <c r="S63" s="197"/>
      <c r="T63" s="197"/>
      <c r="U63" s="361">
        <f>Data!$C52</f>
        <v>2.29E-2</v>
      </c>
      <c r="V63" s="183"/>
      <c r="W63" s="365"/>
    </row>
    <row r="64" spans="2:23" x14ac:dyDescent="0.35">
      <c r="C64" s="5" t="s">
        <v>80</v>
      </c>
      <c r="E64" s="361">
        <v>9.1899999999999996E-2</v>
      </c>
      <c r="F64" s="248"/>
      <c r="G64" s="363"/>
      <c r="H64" s="197"/>
      <c r="I64" s="197"/>
      <c r="J64" s="198"/>
      <c r="K64" s="197"/>
      <c r="L64" s="197"/>
      <c r="M64" s="361">
        <v>8.7800000000000003E-2</v>
      </c>
      <c r="N64" s="248"/>
      <c r="O64" s="363"/>
      <c r="P64" s="197"/>
      <c r="Q64" s="197"/>
      <c r="R64" s="197"/>
      <c r="S64" s="197"/>
      <c r="T64" s="197"/>
      <c r="U64" s="361">
        <f>Data!$C53</f>
        <v>0.09</v>
      </c>
      <c r="V64" s="183"/>
      <c r="W64" s="365"/>
    </row>
    <row r="65" spans="1:24" x14ac:dyDescent="0.35">
      <c r="C65" s="5" t="s">
        <v>81</v>
      </c>
      <c r="E65" s="361">
        <v>0</v>
      </c>
      <c r="F65" s="248"/>
      <c r="G65" s="363"/>
      <c r="H65" s="197"/>
      <c r="I65" s="197"/>
      <c r="J65" s="198"/>
      <c r="K65" s="197"/>
      <c r="L65" s="197"/>
      <c r="M65" s="361">
        <v>0</v>
      </c>
      <c r="N65" s="248"/>
      <c r="O65" s="363"/>
      <c r="P65" s="197"/>
      <c r="Q65" s="197"/>
      <c r="R65" s="197"/>
      <c r="S65" s="197"/>
      <c r="T65" s="197"/>
      <c r="U65" s="361">
        <f>Data!$C54</f>
        <v>0</v>
      </c>
      <c r="V65" s="183"/>
      <c r="W65" s="365"/>
    </row>
    <row r="66" spans="1:24" x14ac:dyDescent="0.35">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35"/>
    <row r="68" spans="1:24" ht="13.15" x14ac:dyDescent="0.4">
      <c r="A68" s="4" t="s">
        <v>42</v>
      </c>
      <c r="B68" s="4"/>
      <c r="C68" s="4"/>
      <c r="D68" s="4"/>
    </row>
    <row r="69" spans="1:24" ht="39" customHeight="1" x14ac:dyDescent="0.35">
      <c r="B69" s="352" t="s">
        <v>243</v>
      </c>
      <c r="C69" s="544" t="s">
        <v>248</v>
      </c>
      <c r="D69" s="544"/>
      <c r="E69" s="544"/>
      <c r="F69" s="544"/>
      <c r="G69" s="544"/>
      <c r="H69" s="544"/>
      <c r="I69" s="544"/>
      <c r="J69" s="544"/>
      <c r="K69" s="549"/>
      <c r="L69" s="549"/>
      <c r="M69" s="549"/>
      <c r="N69" s="549"/>
      <c r="O69" s="549"/>
      <c r="P69" s="549"/>
      <c r="Q69" s="549"/>
      <c r="R69" s="549"/>
      <c r="S69" s="549"/>
      <c r="T69" s="549"/>
      <c r="U69" s="549"/>
      <c r="V69" s="28"/>
    </row>
    <row r="70" spans="1:24" ht="13.15" x14ac:dyDescent="0.4">
      <c r="B70" s="303" t="s">
        <v>2</v>
      </c>
      <c r="C70" s="540" t="s">
        <v>90</v>
      </c>
      <c r="D70" s="540"/>
      <c r="E70" s="540"/>
      <c r="F70" s="540"/>
      <c r="G70" s="540"/>
      <c r="H70" s="540"/>
      <c r="I70" s="540"/>
      <c r="J70" s="540"/>
      <c r="K70" s="540"/>
      <c r="L70" s="540"/>
      <c r="M70" s="540"/>
      <c r="N70" s="540"/>
      <c r="O70" s="540"/>
      <c r="P70" s="540"/>
      <c r="Q70" s="540"/>
      <c r="R70" s="540"/>
      <c r="S70" s="540"/>
      <c r="T70" s="540"/>
      <c r="U70" s="540"/>
      <c r="V70" s="43"/>
    </row>
    <row r="71" spans="1:24" ht="27" customHeight="1" x14ac:dyDescent="0.4">
      <c r="B71" s="303" t="s">
        <v>3</v>
      </c>
      <c r="C71" s="538" t="s">
        <v>245</v>
      </c>
      <c r="D71" s="538"/>
      <c r="E71" s="538"/>
      <c r="F71" s="538"/>
      <c r="G71" s="538"/>
      <c r="H71" s="538"/>
      <c r="I71" s="538"/>
      <c r="J71" s="538"/>
      <c r="K71" s="538"/>
      <c r="L71" s="538"/>
      <c r="M71" s="538"/>
      <c r="N71" s="538"/>
      <c r="O71" s="538"/>
      <c r="P71" s="538"/>
      <c r="Q71" s="538"/>
      <c r="R71" s="538"/>
      <c r="S71" s="538"/>
      <c r="T71" s="538"/>
      <c r="U71" s="538"/>
      <c r="V71" s="15"/>
    </row>
    <row r="72" spans="1:24" ht="13.15" x14ac:dyDescent="0.4">
      <c r="B72" s="303" t="s">
        <v>98</v>
      </c>
      <c r="C72" s="539" t="s">
        <v>99</v>
      </c>
      <c r="D72" s="539"/>
      <c r="E72" s="539"/>
      <c r="F72" s="539"/>
      <c r="G72" s="539"/>
      <c r="H72" s="539"/>
      <c r="I72" s="539"/>
      <c r="J72" s="539"/>
      <c r="K72" s="539"/>
      <c r="L72" s="539"/>
      <c r="M72" s="539"/>
      <c r="N72" s="539"/>
      <c r="O72" s="539"/>
      <c r="P72" s="539"/>
      <c r="Q72" s="539"/>
      <c r="R72" s="539"/>
      <c r="S72" s="539"/>
      <c r="T72" s="539"/>
      <c r="U72" s="539"/>
      <c r="V72" s="15"/>
    </row>
    <row r="73" spans="1:24" ht="13.15" x14ac:dyDescent="0.4">
      <c r="B73" s="303" t="s">
        <v>122</v>
      </c>
      <c r="C73" s="543" t="s">
        <v>124</v>
      </c>
      <c r="D73" s="543"/>
      <c r="E73" s="543"/>
      <c r="F73" s="543"/>
      <c r="G73" s="543"/>
      <c r="H73" s="543"/>
      <c r="I73" s="543"/>
      <c r="J73" s="543"/>
      <c r="K73" s="543"/>
      <c r="L73" s="543"/>
      <c r="M73" s="543"/>
      <c r="N73" s="543"/>
      <c r="O73" s="543"/>
      <c r="P73" s="543"/>
      <c r="Q73" s="543"/>
      <c r="R73" s="543"/>
      <c r="S73" s="543"/>
      <c r="T73" s="543"/>
      <c r="U73" s="543"/>
      <c r="V73" s="28"/>
    </row>
    <row r="74" spans="1:24" ht="13.15" x14ac:dyDescent="0.4">
      <c r="B74" s="303" t="s">
        <v>123</v>
      </c>
      <c r="C74" s="539" t="s">
        <v>135</v>
      </c>
      <c r="D74" s="539"/>
      <c r="E74" s="539"/>
      <c r="F74" s="539"/>
      <c r="G74" s="539"/>
      <c r="H74" s="539"/>
      <c r="I74" s="539"/>
      <c r="J74" s="539"/>
      <c r="K74" s="539"/>
      <c r="L74" s="539"/>
      <c r="M74" s="539"/>
      <c r="N74" s="539"/>
      <c r="O74" s="539"/>
      <c r="P74" s="539"/>
      <c r="Q74" s="539"/>
      <c r="R74" s="539"/>
      <c r="S74" s="539"/>
      <c r="T74" s="539"/>
      <c r="U74" s="539"/>
      <c r="V74" s="15"/>
    </row>
    <row r="75" spans="1:24" ht="26.25" customHeight="1" x14ac:dyDescent="0.35">
      <c r="B75" s="304" t="s">
        <v>147</v>
      </c>
      <c r="C75" s="542" t="s">
        <v>229</v>
      </c>
      <c r="D75" s="542"/>
      <c r="E75" s="542"/>
      <c r="F75" s="542"/>
      <c r="G75" s="542"/>
      <c r="H75" s="542"/>
      <c r="I75" s="542"/>
      <c r="J75" s="542"/>
      <c r="K75" s="542"/>
      <c r="L75" s="542"/>
      <c r="M75" s="542"/>
      <c r="N75" s="542"/>
      <c r="O75" s="542"/>
      <c r="P75" s="542"/>
      <c r="Q75" s="542"/>
      <c r="R75" s="542"/>
      <c r="S75" s="542"/>
      <c r="T75" s="542"/>
      <c r="U75" s="542"/>
      <c r="V75" s="184"/>
    </row>
    <row r="76" spans="1:24" ht="13.15" x14ac:dyDescent="0.35">
      <c r="B76" s="304" t="s">
        <v>238</v>
      </c>
      <c r="C76" s="544" t="s">
        <v>239</v>
      </c>
      <c r="D76" s="544"/>
      <c r="E76" s="544"/>
      <c r="F76" s="544"/>
      <c r="G76" s="544"/>
      <c r="H76" s="544"/>
      <c r="I76" s="544"/>
      <c r="J76" s="544"/>
      <c r="K76" s="544"/>
      <c r="L76" s="544"/>
      <c r="M76" s="544"/>
      <c r="N76" s="544"/>
      <c r="O76" s="544"/>
      <c r="P76" s="544"/>
      <c r="Q76" s="544"/>
      <c r="R76" s="544"/>
      <c r="S76" s="544"/>
      <c r="T76" s="544"/>
      <c r="U76" s="544"/>
      <c r="V76" s="184"/>
    </row>
    <row r="77" spans="1:24" ht="13.15" x14ac:dyDescent="0.35">
      <c r="B77" s="304" t="s">
        <v>244</v>
      </c>
      <c r="C77" s="539" t="s">
        <v>92</v>
      </c>
      <c r="D77" s="539"/>
      <c r="E77" s="539"/>
      <c r="F77" s="539"/>
      <c r="G77" s="539"/>
      <c r="H77" s="539"/>
      <c r="I77" s="539"/>
      <c r="J77" s="539"/>
      <c r="K77" s="539"/>
      <c r="L77" s="539"/>
      <c r="M77" s="539"/>
      <c r="N77" s="539"/>
      <c r="O77" s="539"/>
      <c r="P77" s="539"/>
      <c r="Q77" s="539"/>
      <c r="R77" s="539"/>
      <c r="S77" s="539"/>
      <c r="T77" s="539"/>
      <c r="U77" s="539"/>
      <c r="V77" s="184"/>
    </row>
    <row r="78" spans="1:24" ht="13.15" x14ac:dyDescent="0.35">
      <c r="B78" s="304" t="s">
        <v>246</v>
      </c>
      <c r="C78" s="545" t="s">
        <v>247</v>
      </c>
      <c r="D78" s="545"/>
      <c r="E78" s="545"/>
      <c r="F78" s="545"/>
      <c r="G78" s="545"/>
      <c r="H78" s="545"/>
      <c r="I78" s="545"/>
      <c r="J78" s="545"/>
      <c r="K78" s="545"/>
      <c r="L78" s="545"/>
      <c r="M78" s="545"/>
      <c r="N78" s="545"/>
      <c r="O78" s="545"/>
      <c r="P78" s="545"/>
      <c r="Q78" s="545"/>
      <c r="R78" s="545"/>
      <c r="S78" s="545"/>
      <c r="T78" s="545"/>
      <c r="U78" s="545"/>
      <c r="V78" s="184"/>
    </row>
    <row r="79" spans="1:24" x14ac:dyDescent="0.35">
      <c r="B79" s="353"/>
      <c r="C79" s="545"/>
      <c r="D79" s="545"/>
      <c r="E79" s="545"/>
      <c r="F79" s="545"/>
      <c r="G79" s="545"/>
      <c r="H79" s="545"/>
      <c r="I79" s="545"/>
      <c r="J79" s="545"/>
      <c r="K79" s="545"/>
      <c r="L79" s="545"/>
      <c r="M79" s="545"/>
      <c r="N79" s="545"/>
      <c r="O79" s="545"/>
      <c r="P79" s="545"/>
      <c r="Q79" s="545"/>
      <c r="R79" s="545"/>
      <c r="S79" s="545"/>
      <c r="T79" s="545"/>
      <c r="U79" s="545"/>
      <c r="V79" s="184"/>
    </row>
    <row r="80" spans="1:24" x14ac:dyDescent="0.35">
      <c r="B80" s="366"/>
      <c r="C80" s="541"/>
      <c r="D80" s="541"/>
      <c r="E80" s="541"/>
      <c r="F80" s="541"/>
      <c r="G80" s="541"/>
      <c r="H80" s="541"/>
      <c r="I80" s="541"/>
      <c r="J80" s="541"/>
      <c r="K80" s="541"/>
      <c r="L80" s="541"/>
      <c r="M80" s="541"/>
      <c r="N80" s="541"/>
      <c r="O80" s="541"/>
      <c r="P80" s="541"/>
      <c r="Q80" s="541"/>
      <c r="R80" s="541"/>
      <c r="S80" s="541"/>
      <c r="T80" s="541"/>
      <c r="U80" s="541"/>
      <c r="V80" s="184"/>
    </row>
    <row r="81" spans="2:22" x14ac:dyDescent="0.35">
      <c r="B81" s="366"/>
      <c r="C81" s="541"/>
      <c r="D81" s="541"/>
      <c r="E81" s="541"/>
      <c r="F81" s="541"/>
      <c r="G81" s="541"/>
      <c r="H81" s="541"/>
      <c r="I81" s="541"/>
      <c r="J81" s="541"/>
      <c r="K81" s="541"/>
      <c r="L81" s="541"/>
      <c r="M81" s="541"/>
      <c r="N81" s="541"/>
      <c r="O81" s="541"/>
      <c r="P81" s="541"/>
      <c r="Q81" s="541"/>
      <c r="R81" s="541"/>
      <c r="S81" s="541"/>
      <c r="T81" s="541"/>
      <c r="U81" s="541"/>
      <c r="V81" s="184"/>
    </row>
    <row r="82" spans="2:22" x14ac:dyDescent="0.35">
      <c r="B82" s="366"/>
      <c r="C82" s="541"/>
      <c r="D82" s="541"/>
      <c r="E82" s="541"/>
      <c r="F82" s="541"/>
      <c r="G82" s="541"/>
      <c r="H82" s="541"/>
      <c r="I82" s="541"/>
      <c r="J82" s="541"/>
      <c r="K82" s="541"/>
      <c r="L82" s="541"/>
      <c r="M82" s="541"/>
      <c r="N82" s="541"/>
      <c r="O82" s="541"/>
      <c r="P82" s="541"/>
      <c r="Q82" s="541"/>
      <c r="R82" s="541"/>
      <c r="S82" s="541"/>
      <c r="T82" s="541"/>
      <c r="U82" s="541"/>
      <c r="V82" s="184"/>
    </row>
    <row r="83" spans="2:22" x14ac:dyDescent="0.35">
      <c r="B83" s="366"/>
      <c r="C83" s="541"/>
      <c r="D83" s="541"/>
      <c r="E83" s="541"/>
      <c r="F83" s="541"/>
      <c r="G83" s="541"/>
      <c r="H83" s="541"/>
      <c r="I83" s="541"/>
      <c r="J83" s="541"/>
      <c r="K83" s="541"/>
      <c r="L83" s="541"/>
      <c r="M83" s="541"/>
      <c r="N83" s="541"/>
      <c r="O83" s="541"/>
      <c r="P83" s="541"/>
      <c r="Q83" s="541"/>
      <c r="R83" s="541"/>
      <c r="S83" s="541"/>
      <c r="T83" s="541"/>
      <c r="U83" s="541"/>
      <c r="V83" s="184"/>
    </row>
    <row r="84" spans="2:22" x14ac:dyDescent="0.35">
      <c r="B84" s="366"/>
      <c r="C84" s="541"/>
      <c r="D84" s="541"/>
      <c r="E84" s="541"/>
      <c r="F84" s="541"/>
      <c r="G84" s="541"/>
      <c r="H84" s="541"/>
      <c r="I84" s="541"/>
      <c r="J84" s="541"/>
      <c r="K84" s="541"/>
      <c r="L84" s="541"/>
      <c r="M84" s="541"/>
      <c r="N84" s="541"/>
      <c r="O84" s="541"/>
      <c r="P84" s="541"/>
      <c r="Q84" s="541"/>
      <c r="R84" s="541"/>
      <c r="S84" s="541"/>
      <c r="T84" s="541"/>
      <c r="U84" s="541"/>
      <c r="V84" s="184"/>
    </row>
    <row r="85" spans="2:22" x14ac:dyDescent="0.35">
      <c r="B85" s="366"/>
      <c r="C85" s="541"/>
      <c r="D85" s="541"/>
      <c r="E85" s="541"/>
      <c r="F85" s="541"/>
      <c r="G85" s="541"/>
      <c r="H85" s="541"/>
      <c r="I85" s="541"/>
      <c r="J85" s="541"/>
      <c r="K85" s="541"/>
      <c r="L85" s="541"/>
      <c r="M85" s="541"/>
      <c r="N85" s="541"/>
      <c r="O85" s="541"/>
      <c r="P85" s="541"/>
      <c r="Q85" s="541"/>
      <c r="R85" s="541"/>
      <c r="S85" s="541"/>
      <c r="T85" s="541"/>
      <c r="U85" s="541"/>
      <c r="V85" s="184"/>
    </row>
    <row r="86" spans="2:22" x14ac:dyDescent="0.35">
      <c r="B86" s="366"/>
      <c r="C86" s="541"/>
      <c r="D86" s="541"/>
      <c r="E86" s="541"/>
      <c r="F86" s="541"/>
      <c r="G86" s="541"/>
      <c r="H86" s="541"/>
      <c r="I86" s="541"/>
      <c r="J86" s="541"/>
      <c r="K86" s="541"/>
      <c r="L86" s="541"/>
      <c r="M86" s="541"/>
      <c r="N86" s="541"/>
      <c r="O86" s="541"/>
      <c r="P86" s="541"/>
      <c r="Q86" s="541"/>
      <c r="R86" s="541"/>
      <c r="S86" s="541"/>
      <c r="T86" s="541"/>
      <c r="U86" s="541"/>
      <c r="V86" s="184"/>
    </row>
    <row r="87" spans="2:22" x14ac:dyDescent="0.35">
      <c r="B87" s="366"/>
      <c r="C87" s="541"/>
      <c r="D87" s="541"/>
      <c r="E87" s="541"/>
      <c r="F87" s="541"/>
      <c r="G87" s="541"/>
      <c r="H87" s="541"/>
      <c r="I87" s="541"/>
      <c r="J87" s="541"/>
      <c r="K87" s="541"/>
      <c r="L87" s="541"/>
      <c r="M87" s="541"/>
      <c r="N87" s="541"/>
      <c r="O87" s="541"/>
      <c r="P87" s="541"/>
      <c r="Q87" s="541"/>
      <c r="R87" s="541"/>
      <c r="S87" s="541"/>
      <c r="T87" s="541"/>
      <c r="U87" s="541"/>
      <c r="V87" s="184"/>
    </row>
    <row r="88" spans="2:22" x14ac:dyDescent="0.35">
      <c r="C88" s="536"/>
      <c r="D88" s="536"/>
      <c r="E88" s="537"/>
      <c r="F88" s="537"/>
      <c r="G88" s="537"/>
      <c r="H88" s="537"/>
      <c r="I88" s="537"/>
      <c r="J88" s="537"/>
      <c r="K88" s="537"/>
      <c r="L88" s="537"/>
      <c r="M88" s="537"/>
      <c r="N88" s="537"/>
      <c r="O88" s="537"/>
      <c r="P88" s="537"/>
      <c r="Q88" s="537"/>
      <c r="R88" s="537"/>
      <c r="S88" s="537"/>
      <c r="T88" s="537"/>
      <c r="U88" s="537"/>
      <c r="V88" s="28"/>
    </row>
    <row r="89" spans="2:22" x14ac:dyDescent="0.35">
      <c r="C89" s="537"/>
      <c r="D89" s="537"/>
      <c r="E89" s="537"/>
      <c r="F89" s="537"/>
      <c r="G89" s="537"/>
      <c r="H89" s="537"/>
      <c r="I89" s="537"/>
      <c r="J89" s="537"/>
      <c r="K89" s="537"/>
      <c r="L89" s="537"/>
      <c r="M89" s="537"/>
      <c r="N89" s="537"/>
      <c r="O89" s="537"/>
      <c r="P89" s="537"/>
      <c r="Q89" s="537"/>
      <c r="R89" s="537"/>
      <c r="S89" s="537"/>
      <c r="T89" s="537"/>
      <c r="U89" s="537"/>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3" priority="1" stopIfTrue="1" operator="equal">
      <formula>0</formula>
    </cfRule>
  </conditionalFormatting>
  <conditionalFormatting sqref="M21 U21">
    <cfRule type="cellIs" dxfId="12" priority="2" stopIfTrue="1" operator="equal">
      <formula>0</formula>
    </cfRule>
  </conditionalFormatting>
  <conditionalFormatting sqref="M19:M20 M16">
    <cfRule type="cellIs" dxfId="11" priority="3" stopIfTrue="1" operator="equal">
      <formula>0</formula>
    </cfRule>
  </conditionalFormatting>
  <conditionalFormatting sqref="I12:I13 M12:M13 Q12:Q13">
    <cfRule type="cellIs" dxfId="10"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S30" sqref="S30"/>
    </sheetView>
  </sheetViews>
  <sheetFormatPr defaultColWidth="9.1328125" defaultRowHeight="12.75" x14ac:dyDescent="0.35"/>
  <cols>
    <col min="1" max="1" width="2.73046875" style="5" customWidth="1"/>
    <col min="2" max="2" width="5.265625" style="5" customWidth="1"/>
    <col min="3" max="3" width="5.73046875" style="5" customWidth="1"/>
    <col min="4" max="4" width="31.1328125" style="5" customWidth="1"/>
    <col min="5" max="5" width="3.73046875" style="5" customWidth="1"/>
    <col min="6" max="6" width="1.265625" style="5" customWidth="1"/>
    <col min="7" max="7" width="14.3984375" style="5" customWidth="1"/>
    <col min="8" max="8" width="1.1328125" style="5" customWidth="1"/>
    <col min="9" max="9" width="3.3984375" style="5" customWidth="1"/>
    <col min="10" max="10" width="1.1328125" style="5" customWidth="1"/>
    <col min="11" max="11" width="12.1328125" style="5" customWidth="1"/>
    <col min="12" max="12" width="1.1328125" style="5" customWidth="1"/>
    <col min="13" max="13" width="3.3984375" style="5" customWidth="1"/>
    <col min="14" max="14" width="1.1328125" style="5" customWidth="1"/>
    <col min="15" max="15" width="14.59765625" style="5" customWidth="1"/>
    <col min="16" max="16" width="1.3984375" style="5" customWidth="1"/>
    <col min="17" max="17" width="3.3984375" style="5" customWidth="1"/>
    <col min="18" max="18" width="1.1328125" style="5" customWidth="1"/>
    <col min="19" max="19" width="12" style="5" customWidth="1"/>
    <col min="20" max="20" width="1.1328125" style="5" customWidth="1"/>
    <col min="21" max="21" width="3.3984375" style="5" customWidth="1"/>
    <col min="22" max="22" width="1.1328125" style="5" customWidth="1"/>
    <col min="23" max="23" width="14.73046875" style="5" customWidth="1"/>
    <col min="24" max="24" width="2.86328125" style="5" customWidth="1"/>
    <col min="25" max="16384" width="9.1328125" style="5"/>
  </cols>
  <sheetData>
    <row r="1" spans="2:28" s="2" customFormat="1" ht="36.75" customHeight="1" x14ac:dyDescent="0.35">
      <c r="C1" s="557"/>
      <c r="D1" s="557"/>
      <c r="E1" s="557"/>
      <c r="F1" s="557"/>
      <c r="G1" s="557"/>
      <c r="H1" s="557"/>
      <c r="I1" s="557"/>
      <c r="J1" s="557"/>
      <c r="K1" s="557"/>
      <c r="L1" s="141"/>
      <c r="W1" s="147"/>
    </row>
    <row r="2" spans="2:28" s="2" customFormat="1" ht="36.75" customHeight="1" x14ac:dyDescent="0.45">
      <c r="C2" s="550"/>
      <c r="D2" s="550"/>
      <c r="E2" s="550"/>
      <c r="F2" s="550"/>
      <c r="G2" s="550"/>
      <c r="H2" s="550"/>
      <c r="I2" s="550"/>
      <c r="J2" s="550"/>
      <c r="K2" s="550"/>
      <c r="L2" s="550"/>
      <c r="M2" s="550"/>
      <c r="N2" s="550"/>
      <c r="O2" s="550"/>
      <c r="P2" s="550"/>
      <c r="Q2" s="550"/>
      <c r="R2" s="550"/>
      <c r="S2" s="550"/>
      <c r="T2" s="550"/>
      <c r="U2" s="550"/>
      <c r="V2" s="550"/>
      <c r="W2" s="550"/>
    </row>
    <row r="3" spans="2:28" s="2" customFormat="1" ht="36.75" customHeight="1" x14ac:dyDescent="0.45">
      <c r="C3" s="550"/>
      <c r="D3" s="550"/>
      <c r="E3" s="550"/>
      <c r="F3" s="550"/>
      <c r="G3" s="550"/>
      <c r="H3" s="36"/>
      <c r="I3" s="33"/>
      <c r="J3" s="33"/>
      <c r="K3" s="33"/>
      <c r="L3" s="33"/>
    </row>
    <row r="4" spans="2:28" s="2" customFormat="1" ht="36.75" customHeight="1" x14ac:dyDescent="0.45">
      <c r="C4" s="550"/>
      <c r="D4" s="550"/>
      <c r="E4" s="550"/>
      <c r="F4" s="550"/>
      <c r="G4" s="550"/>
      <c r="H4" s="36"/>
      <c r="I4" s="33"/>
      <c r="J4" s="33"/>
      <c r="K4" s="33"/>
      <c r="L4" s="33"/>
    </row>
    <row r="5" spans="2:28" s="2" customFormat="1" ht="15" x14ac:dyDescent="0.4">
      <c r="E5" s="3"/>
      <c r="F5" s="3"/>
    </row>
    <row r="6" spans="2:28" s="2" customFormat="1" ht="17.649999999999999" x14ac:dyDescent="0.5">
      <c r="B6" s="385" t="s">
        <v>252</v>
      </c>
    </row>
    <row r="9" spans="2:28" ht="15" x14ac:dyDescent="0.4">
      <c r="G9" s="58"/>
      <c r="H9" s="58"/>
      <c r="I9" s="58"/>
      <c r="J9" s="58"/>
      <c r="K9" s="58"/>
      <c r="L9" s="58"/>
      <c r="M9" s="58"/>
      <c r="N9" s="58"/>
      <c r="O9" s="58"/>
      <c r="P9" s="58"/>
      <c r="Q9" s="58"/>
      <c r="R9" s="58"/>
      <c r="S9" s="58"/>
      <c r="T9" s="58"/>
      <c r="U9" s="58"/>
      <c r="V9" s="58"/>
      <c r="W9" s="58"/>
    </row>
    <row r="10" spans="2:28" ht="17.649999999999999" x14ac:dyDescent="0.5">
      <c r="D10" s="382" t="s">
        <v>7</v>
      </c>
      <c r="F10" s="127"/>
      <c r="G10" s="127"/>
      <c r="H10" s="127"/>
      <c r="I10" s="127"/>
      <c r="J10" s="127"/>
      <c r="K10" s="127"/>
      <c r="L10" s="127"/>
      <c r="M10" s="127"/>
      <c r="N10" s="127"/>
      <c r="O10" s="127"/>
      <c r="P10" s="127"/>
      <c r="Q10" s="127"/>
      <c r="R10" s="127"/>
      <c r="S10" s="127"/>
      <c r="T10" s="127"/>
      <c r="U10" s="127"/>
      <c r="V10" s="127"/>
      <c r="W10" s="127"/>
    </row>
    <row r="11" spans="2:28" ht="26.25" x14ac:dyDescent="0.4">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Application Update</v>
      </c>
      <c r="P11" s="305"/>
      <c r="Q11" s="305"/>
      <c r="R11" s="305"/>
      <c r="S11" s="69" t="str">
        <f>IF(ISBLANK('3. Data_Input_Sheet'!Q12),"",'3. Data_Input_Sheet'!Q12)</f>
        <v>Adjustments</v>
      </c>
      <c r="T11" s="305"/>
      <c r="U11" s="305"/>
      <c r="V11" s="305"/>
      <c r="W11" s="300" t="str">
        <f>'3. Data_Input_Sheet'!U12</f>
        <v>Per Board Decision</v>
      </c>
    </row>
    <row r="12" spans="2:28" x14ac:dyDescent="0.35">
      <c r="F12" s="34"/>
      <c r="G12" s="34"/>
      <c r="H12" s="34"/>
      <c r="I12" s="34"/>
      <c r="J12" s="34"/>
      <c r="K12" s="34"/>
      <c r="L12" s="34"/>
      <c r="M12" s="34"/>
      <c r="N12" s="34"/>
      <c r="O12" s="34"/>
      <c r="P12" s="34"/>
      <c r="Q12" s="34"/>
      <c r="R12" s="34"/>
      <c r="S12" s="34"/>
      <c r="T12" s="34"/>
      <c r="U12" s="34"/>
      <c r="V12" s="34"/>
      <c r="W12" s="34"/>
    </row>
    <row r="13" spans="2:28" ht="13.15" x14ac:dyDescent="0.4">
      <c r="B13" s="4">
        <v>1</v>
      </c>
      <c r="D13" s="5" t="s">
        <v>102</v>
      </c>
      <c r="E13" s="18" t="s">
        <v>98</v>
      </c>
      <c r="F13" s="34"/>
      <c r="G13" s="100">
        <f>'3. Data_Input_Sheet'!E16</f>
        <v>206001.29629018123</v>
      </c>
      <c r="H13" s="100"/>
      <c r="I13" s="365"/>
      <c r="J13" s="180"/>
      <c r="K13" s="100">
        <f>'3. Data_Input_Sheet'!I16</f>
        <v>-7345</v>
      </c>
      <c r="L13" s="100"/>
      <c r="M13" s="365"/>
      <c r="N13" s="180"/>
      <c r="O13" s="100">
        <f>G13+K13</f>
        <v>198656.29629018123</v>
      </c>
      <c r="P13" s="180"/>
      <c r="Q13" s="365"/>
      <c r="R13" s="180"/>
      <c r="S13" s="100">
        <f>'3. Data_Input_Sheet'!Q16</f>
        <v>-867.5</v>
      </c>
      <c r="T13" s="180"/>
      <c r="U13" s="365"/>
      <c r="V13" s="180"/>
      <c r="W13" s="100">
        <f>G13+K13+S13</f>
        <v>197788.79629018123</v>
      </c>
      <c r="Z13" s="53"/>
      <c r="AA13" s="53"/>
      <c r="AB13" s="53"/>
    </row>
    <row r="14" spans="2:28" ht="13.15" x14ac:dyDescent="0.4">
      <c r="B14" s="4">
        <v>2</v>
      </c>
      <c r="D14" s="5" t="s">
        <v>103</v>
      </c>
      <c r="E14" s="18" t="s">
        <v>98</v>
      </c>
      <c r="F14" s="34"/>
      <c r="G14" s="102">
        <f>'3. Data_Input_Sheet'!E17</f>
        <v>-94891.654203667364</v>
      </c>
      <c r="H14" s="100"/>
      <c r="I14" s="365"/>
      <c r="J14" s="180"/>
      <c r="K14" s="102">
        <f>'3. Data_Input_Sheet'!I17</f>
        <v>88.381944444437977</v>
      </c>
      <c r="L14" s="100"/>
      <c r="M14" s="365"/>
      <c r="N14" s="180"/>
      <c r="O14" s="102">
        <f>G14+K14</f>
        <v>-94803.272259222926</v>
      </c>
      <c r="P14" s="180"/>
      <c r="Q14" s="365"/>
      <c r="R14" s="180"/>
      <c r="S14" s="102">
        <f>'3. Data_Input_Sheet'!Q17</f>
        <v>27.5</v>
      </c>
      <c r="T14" s="180"/>
      <c r="U14" s="365"/>
      <c r="V14" s="180"/>
      <c r="W14" s="102">
        <f>G14+K14+S14</f>
        <v>-94775.772259222926</v>
      </c>
    </row>
    <row r="15" spans="2:28" ht="13.15" x14ac:dyDescent="0.4">
      <c r="B15" s="4">
        <v>3</v>
      </c>
      <c r="D15" s="60" t="s">
        <v>104</v>
      </c>
      <c r="E15" s="18" t="s">
        <v>98</v>
      </c>
      <c r="F15" s="34"/>
      <c r="G15" s="47">
        <f>SUM(G13:G14)</f>
        <v>111109.64208651386</v>
      </c>
      <c r="H15" s="47"/>
      <c r="I15" s="128"/>
      <c r="J15" s="128"/>
      <c r="K15" s="47">
        <f>SUM(K13:K14)</f>
        <v>-7256.618055555562</v>
      </c>
      <c r="L15" s="47"/>
      <c r="M15" s="128"/>
      <c r="N15" s="128"/>
      <c r="O15" s="47">
        <f>SUM(O13:O14)</f>
        <v>103853.0240309583</v>
      </c>
      <c r="P15" s="128"/>
      <c r="Q15" s="128"/>
      <c r="R15" s="128"/>
      <c r="S15" s="47">
        <f>SUM(S13:S14)</f>
        <v>-840</v>
      </c>
      <c r="T15" s="128"/>
      <c r="U15" s="128"/>
      <c r="V15" s="128"/>
      <c r="W15" s="47">
        <f>SUM(W13:W14)</f>
        <v>103013.0240309583</v>
      </c>
    </row>
    <row r="16" spans="2:28" ht="13.15" x14ac:dyDescent="0.4">
      <c r="B16" s="4"/>
      <c r="E16" s="4"/>
      <c r="F16" s="34"/>
      <c r="G16" s="47"/>
      <c r="H16" s="47"/>
      <c r="I16" s="128"/>
      <c r="J16" s="128"/>
      <c r="K16" s="47"/>
      <c r="L16" s="47"/>
      <c r="M16" s="128"/>
      <c r="N16" s="128"/>
      <c r="O16" s="47"/>
      <c r="P16" s="128"/>
      <c r="Q16" s="128"/>
      <c r="R16" s="128"/>
      <c r="S16" s="47"/>
      <c r="T16" s="128"/>
      <c r="U16" s="128"/>
      <c r="V16" s="128"/>
      <c r="W16" s="47"/>
    </row>
    <row r="17" spans="2:26" ht="13.15" x14ac:dyDescent="0.4">
      <c r="B17" s="4">
        <v>4</v>
      </c>
      <c r="D17" s="126" t="s">
        <v>58</v>
      </c>
      <c r="E17" s="168" t="s">
        <v>2</v>
      </c>
      <c r="F17" s="34"/>
      <c r="G17" s="54">
        <f>G30</f>
        <v>12786.470687006538</v>
      </c>
      <c r="H17" s="47"/>
      <c r="I17" s="128"/>
      <c r="J17" s="128"/>
      <c r="K17" s="54">
        <f>K30</f>
        <v>-981.51093736629991</v>
      </c>
      <c r="L17" s="47"/>
      <c r="M17" s="128"/>
      <c r="N17" s="128"/>
      <c r="O17" s="54">
        <f>O30</f>
        <v>11804.959749640238</v>
      </c>
      <c r="P17" s="128"/>
      <c r="Q17" s="128"/>
      <c r="R17" s="128"/>
      <c r="S17" s="54">
        <f>S30</f>
        <v>1511.6448337210331</v>
      </c>
      <c r="T17" s="128"/>
      <c r="U17" s="128"/>
      <c r="V17" s="128"/>
      <c r="W17" s="54">
        <f>W30</f>
        <v>13316.604583361272</v>
      </c>
    </row>
    <row r="18" spans="2:26" ht="13.15" x14ac:dyDescent="0.4">
      <c r="B18" s="4"/>
      <c r="D18" s="561" t="s">
        <v>1</v>
      </c>
      <c r="E18" s="37"/>
      <c r="F18" s="70"/>
      <c r="G18" s="559">
        <f>G17+G15</f>
        <v>123896.11277352041</v>
      </c>
      <c r="H18" s="49"/>
      <c r="I18" s="128"/>
      <c r="J18" s="128"/>
      <c r="K18" s="559">
        <f>K17+K15</f>
        <v>-8238.1289929218619</v>
      </c>
      <c r="L18" s="49"/>
      <c r="M18" s="128"/>
      <c r="N18" s="128"/>
      <c r="O18" s="559">
        <f>O17+O15</f>
        <v>115657.98378059854</v>
      </c>
      <c r="P18" s="128"/>
      <c r="Q18" s="128"/>
      <c r="R18" s="128"/>
      <c r="S18" s="559">
        <f>S17+S15</f>
        <v>671.64483372103314</v>
      </c>
      <c r="T18" s="128"/>
      <c r="U18" s="128"/>
      <c r="V18" s="128"/>
      <c r="W18" s="559">
        <f>W15+W17</f>
        <v>116329.62861431958</v>
      </c>
    </row>
    <row r="19" spans="2:26" ht="13.5" thickBot="1" x14ac:dyDescent="0.45">
      <c r="B19" s="4">
        <v>5</v>
      </c>
      <c r="D19" s="562"/>
      <c r="E19" s="37"/>
      <c r="F19" s="70"/>
      <c r="G19" s="560"/>
      <c r="H19" s="49"/>
      <c r="I19" s="101"/>
      <c r="J19" s="101"/>
      <c r="K19" s="560"/>
      <c r="L19" s="49"/>
      <c r="M19" s="101"/>
      <c r="N19" s="101"/>
      <c r="O19" s="560"/>
      <c r="P19" s="101"/>
      <c r="Q19" s="101"/>
      <c r="R19" s="101"/>
      <c r="S19" s="560"/>
      <c r="T19" s="101"/>
      <c r="U19" s="101"/>
      <c r="V19" s="101"/>
      <c r="W19" s="560"/>
    </row>
    <row r="20" spans="2:26" ht="56.25" customHeight="1" thickTop="1" x14ac:dyDescent="0.5">
      <c r="B20" s="4"/>
      <c r="C20" s="299" t="s">
        <v>2</v>
      </c>
      <c r="D20" s="384" t="s">
        <v>279</v>
      </c>
    </row>
    <row r="21" spans="2:26" ht="13.15" x14ac:dyDescent="0.4">
      <c r="B21" s="66"/>
      <c r="C21" s="34"/>
      <c r="D21" s="34"/>
      <c r="E21" s="34"/>
      <c r="F21" s="34"/>
      <c r="G21" s="34"/>
      <c r="H21" s="34"/>
      <c r="I21" s="34"/>
      <c r="J21" s="34"/>
      <c r="K21" s="34"/>
      <c r="L21" s="34"/>
      <c r="M21" s="34"/>
      <c r="N21" s="34"/>
      <c r="O21" s="34"/>
      <c r="P21" s="34"/>
      <c r="Q21" s="34"/>
      <c r="R21" s="34"/>
      <c r="S21" s="34"/>
      <c r="T21" s="34"/>
      <c r="U21" s="34"/>
      <c r="V21" s="34"/>
      <c r="W21" s="34"/>
      <c r="X21" s="34"/>
    </row>
    <row r="22" spans="2:26" ht="13.15" x14ac:dyDescent="0.4">
      <c r="B22" s="70"/>
      <c r="C22" s="299"/>
      <c r="D22" s="563"/>
      <c r="E22" s="564"/>
      <c r="F22" s="564"/>
      <c r="G22" s="564"/>
      <c r="H22" s="564"/>
      <c r="I22" s="564"/>
      <c r="J22" s="564"/>
      <c r="K22" s="564"/>
      <c r="L22" s="564"/>
      <c r="M22" s="564"/>
      <c r="N22" s="564"/>
      <c r="O22" s="564"/>
      <c r="P22" s="564"/>
      <c r="Q22" s="564"/>
      <c r="R22" s="564"/>
      <c r="S22" s="564"/>
      <c r="T22" s="564"/>
      <c r="U22" s="564"/>
      <c r="V22" s="564"/>
      <c r="W22" s="564"/>
      <c r="X22" s="129"/>
      <c r="Y22" s="15"/>
      <c r="Z22" s="15"/>
    </row>
    <row r="23" spans="2:26" ht="13.15" x14ac:dyDescent="0.4">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ht="13.15" x14ac:dyDescent="0.4">
      <c r="B24" s="66">
        <v>6</v>
      </c>
      <c r="C24" s="34"/>
      <c r="D24" s="65" t="s">
        <v>9</v>
      </c>
      <c r="E24" s="34"/>
      <c r="F24" s="34"/>
      <c r="G24" s="100">
        <f>'3. Data_Input_Sheet'!E19</f>
        <v>13233.831952052396</v>
      </c>
      <c r="H24" s="100"/>
      <c r="I24" s="365"/>
      <c r="J24" s="180"/>
      <c r="K24" s="100">
        <f>'3. Data_Input_Sheet'!I19</f>
        <v>0</v>
      </c>
      <c r="L24" s="100"/>
      <c r="M24" s="365"/>
      <c r="N24" s="180"/>
      <c r="O24" s="100">
        <f>G24+K24</f>
        <v>13233.831952052396</v>
      </c>
      <c r="P24" s="180"/>
      <c r="Q24" s="365"/>
      <c r="R24" s="180"/>
      <c r="S24" s="100">
        <f>'3. Data_Input_Sheet'!Q19</f>
        <v>0</v>
      </c>
      <c r="T24" s="180"/>
      <c r="U24" s="365"/>
      <c r="V24" s="180"/>
      <c r="W24" s="124">
        <f>G24+K24+S24</f>
        <v>13233.831952052396</v>
      </c>
      <c r="X24" s="34"/>
    </row>
    <row r="25" spans="2:26" ht="13.15" x14ac:dyDescent="0.4">
      <c r="B25" s="66">
        <v>7</v>
      </c>
      <c r="C25" s="34"/>
      <c r="D25" s="125" t="s">
        <v>5</v>
      </c>
      <c r="E25" s="34"/>
      <c r="F25" s="34"/>
      <c r="G25" s="102">
        <f>'3. Data_Input_Sheet'!E20</f>
        <v>123227.96833617106</v>
      </c>
      <c r="H25" s="100"/>
      <c r="I25" s="365"/>
      <c r="J25" s="180"/>
      <c r="K25" s="102">
        <f>'3. Data_Input_Sheet'!I20</f>
        <v>-10475.03668480576</v>
      </c>
      <c r="L25" s="100"/>
      <c r="M25" s="365"/>
      <c r="N25" s="180"/>
      <c r="O25" s="102">
        <f>G25+K25</f>
        <v>112752.9316513653</v>
      </c>
      <c r="P25" s="180"/>
      <c r="Q25" s="365"/>
      <c r="R25" s="180"/>
      <c r="S25" s="102">
        <f>'3. Data_Input_Sheet'!Q20</f>
        <v>16132.815728079324</v>
      </c>
      <c r="T25" s="180"/>
      <c r="U25" s="365"/>
      <c r="V25" s="180"/>
      <c r="W25" s="132">
        <f>G25+K25+S25</f>
        <v>128885.74737944463</v>
      </c>
      <c r="X25" s="34"/>
    </row>
    <row r="26" spans="2:26" ht="13.15" x14ac:dyDescent="0.4">
      <c r="B26" s="66">
        <v>8</v>
      </c>
      <c r="C26" s="34"/>
      <c r="D26" s="65" t="s">
        <v>10</v>
      </c>
      <c r="E26" s="34"/>
      <c r="F26" s="34"/>
      <c r="G26" s="47">
        <f>SUM(G24:G25)</f>
        <v>136461.80028822346</v>
      </c>
      <c r="H26" s="47"/>
      <c r="I26" s="128"/>
      <c r="J26" s="156"/>
      <c r="K26" s="47">
        <f>K24+K25</f>
        <v>-10475.03668480576</v>
      </c>
      <c r="L26" s="47"/>
      <c r="M26" s="128"/>
      <c r="N26" s="128"/>
      <c r="O26" s="47">
        <f>SUM(O24:O25)</f>
        <v>125986.7636034177</v>
      </c>
      <c r="P26" s="128"/>
      <c r="Q26" s="128"/>
      <c r="R26" s="128"/>
      <c r="S26" s="47">
        <f>S24+S25</f>
        <v>16132.815728079324</v>
      </c>
      <c r="T26" s="128"/>
      <c r="U26" s="128"/>
      <c r="V26" s="128"/>
      <c r="W26" s="68">
        <f>SUM(W24:W25)</f>
        <v>142119.57933149702</v>
      </c>
      <c r="X26" s="34"/>
    </row>
    <row r="27" spans="2:26" ht="13.15" x14ac:dyDescent="0.4">
      <c r="B27" s="66"/>
      <c r="C27" s="34"/>
      <c r="D27" s="65"/>
      <c r="E27" s="34"/>
      <c r="F27" s="34"/>
      <c r="G27" s="34"/>
      <c r="H27" s="34"/>
      <c r="I27" s="34"/>
      <c r="J27" s="30"/>
      <c r="K27" s="34"/>
      <c r="L27" s="34"/>
      <c r="M27" s="34"/>
      <c r="N27" s="34"/>
      <c r="O27" s="34"/>
      <c r="P27" s="34"/>
      <c r="Q27" s="34"/>
      <c r="R27" s="34"/>
      <c r="S27" s="34"/>
      <c r="T27" s="34"/>
      <c r="U27" s="34"/>
      <c r="V27" s="34"/>
      <c r="W27" s="35"/>
      <c r="X27" s="34"/>
    </row>
    <row r="28" spans="2:26" ht="13.15" x14ac:dyDescent="0.4">
      <c r="B28" s="73">
        <v>9</v>
      </c>
      <c r="C28" s="30"/>
      <c r="D28" s="65" t="s">
        <v>82</v>
      </c>
      <c r="E28" s="133" t="s">
        <v>3</v>
      </c>
      <c r="F28" s="34"/>
      <c r="G28" s="80">
        <f>'3. Data_Input_Sheet'!E21</f>
        <v>9.3700000000000006E-2</v>
      </c>
      <c r="H28" s="80"/>
      <c r="I28" s="365"/>
      <c r="J28" s="180"/>
      <c r="K28" s="88">
        <f>O28-G28</f>
        <v>0</v>
      </c>
      <c r="L28" s="88"/>
      <c r="M28" s="365"/>
      <c r="N28" s="88"/>
      <c r="O28" s="80">
        <f>'3. Data_Input_Sheet'!M21</f>
        <v>9.3700000000000006E-2</v>
      </c>
      <c r="P28" s="88"/>
      <c r="Q28" s="365"/>
      <c r="R28" s="88"/>
      <c r="S28" s="88">
        <f>W28-O28</f>
        <v>0</v>
      </c>
      <c r="T28" s="88"/>
      <c r="U28" s="365"/>
      <c r="V28" s="88"/>
      <c r="W28" s="134">
        <f>'3. Data_Input_Sheet'!U21</f>
        <v>9.3700000000000006E-2</v>
      </c>
      <c r="X28" s="34"/>
    </row>
    <row r="29" spans="2:26" ht="13.5" thickBot="1" x14ac:dyDescent="0.4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4">
      <c r="B30" s="73">
        <v>10</v>
      </c>
      <c r="C30" s="30"/>
      <c r="D30" s="125" t="s">
        <v>0</v>
      </c>
      <c r="E30" s="126"/>
      <c r="F30" s="126"/>
      <c r="G30" s="102">
        <f>G26*G28</f>
        <v>12786.470687006538</v>
      </c>
      <c r="H30" s="102"/>
      <c r="I30" s="102"/>
      <c r="J30" s="102"/>
      <c r="K30" s="102">
        <f>O30-G30</f>
        <v>-981.51093736629991</v>
      </c>
      <c r="L30" s="102"/>
      <c r="M30" s="102"/>
      <c r="N30" s="102"/>
      <c r="O30" s="102">
        <f>O26*O28</f>
        <v>11804.959749640238</v>
      </c>
      <c r="P30" s="102"/>
      <c r="Q30" s="102"/>
      <c r="R30" s="102"/>
      <c r="S30" s="102">
        <f>W30-O30</f>
        <v>1511.6448337210331</v>
      </c>
      <c r="T30" s="102"/>
      <c r="U30" s="102"/>
      <c r="V30" s="102"/>
      <c r="W30" s="132">
        <f>W26*W28</f>
        <v>13316.604583361272</v>
      </c>
      <c r="X30" s="34"/>
    </row>
    <row r="31" spans="2:26" ht="5.25" customHeight="1" x14ac:dyDescent="0.35">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35"/>
    <row r="33" spans="2:23" ht="13.15" x14ac:dyDescent="0.4">
      <c r="B33" s="558" t="s">
        <v>38</v>
      </c>
      <c r="C33" s="558"/>
      <c r="D33" s="558"/>
      <c r="E33" s="558"/>
      <c r="F33" s="558"/>
      <c r="G33" s="558"/>
      <c r="H33" s="558"/>
      <c r="I33" s="558"/>
      <c r="J33" s="558"/>
      <c r="K33" s="558"/>
      <c r="L33" s="558"/>
      <c r="M33" s="558"/>
      <c r="N33" s="558"/>
      <c r="O33" s="558"/>
      <c r="P33" s="558"/>
      <c r="Q33" s="558"/>
      <c r="R33" s="558"/>
      <c r="S33" s="558"/>
      <c r="T33" s="558"/>
      <c r="U33" s="558"/>
      <c r="V33" s="558"/>
      <c r="W33" s="558"/>
    </row>
    <row r="34" spans="2:23" ht="13.15" x14ac:dyDescent="0.4">
      <c r="B34" s="137" t="s">
        <v>3</v>
      </c>
      <c r="D34" s="565" t="s">
        <v>283</v>
      </c>
      <c r="E34" s="543"/>
      <c r="F34" s="543"/>
      <c r="G34" s="543"/>
      <c r="H34" s="543"/>
      <c r="I34" s="543"/>
      <c r="J34" s="543"/>
      <c r="K34" s="543"/>
      <c r="L34" s="543"/>
      <c r="M34" s="543"/>
      <c r="N34" s="543"/>
      <c r="O34" s="543"/>
      <c r="P34" s="543"/>
      <c r="Q34" s="543"/>
      <c r="R34" s="543"/>
      <c r="S34" s="543"/>
      <c r="T34" s="543"/>
      <c r="U34" s="543"/>
      <c r="V34" s="543"/>
      <c r="W34" s="543"/>
    </row>
    <row r="35" spans="2:23" ht="13.15" x14ac:dyDescent="0.4">
      <c r="B35" s="138" t="s">
        <v>98</v>
      </c>
      <c r="C35" s="26"/>
      <c r="D35" s="549" t="s">
        <v>133</v>
      </c>
      <c r="E35" s="549"/>
      <c r="F35" s="549"/>
      <c r="G35" s="549"/>
      <c r="H35" s="549"/>
      <c r="I35" s="549"/>
      <c r="J35" s="549"/>
      <c r="K35" s="549"/>
      <c r="L35" s="549"/>
      <c r="M35" s="549"/>
      <c r="N35" s="549"/>
      <c r="O35" s="549"/>
      <c r="P35" s="549"/>
      <c r="Q35" s="549"/>
      <c r="R35" s="549"/>
      <c r="S35" s="549"/>
      <c r="T35" s="549"/>
      <c r="U35" s="549"/>
      <c r="V35" s="549"/>
      <c r="W35" s="549"/>
    </row>
    <row r="36" spans="2:23" x14ac:dyDescent="0.35">
      <c r="B36" s="365"/>
      <c r="D36" s="566"/>
      <c r="E36" s="566"/>
      <c r="F36" s="566"/>
      <c r="G36" s="566"/>
      <c r="H36" s="566"/>
      <c r="I36" s="566"/>
      <c r="J36" s="566"/>
      <c r="K36" s="566"/>
      <c r="L36" s="566"/>
      <c r="M36" s="566"/>
      <c r="N36" s="566"/>
      <c r="O36" s="566"/>
      <c r="P36" s="566"/>
      <c r="Q36" s="566"/>
      <c r="R36" s="566"/>
      <c r="S36" s="566"/>
      <c r="T36" s="566"/>
      <c r="U36" s="566"/>
      <c r="V36" s="566"/>
      <c r="W36" s="566"/>
    </row>
    <row r="37" spans="2:23" x14ac:dyDescent="0.35">
      <c r="B37" s="365"/>
      <c r="D37" s="566"/>
      <c r="E37" s="566"/>
      <c r="F37" s="566"/>
      <c r="G37" s="566"/>
      <c r="H37" s="566"/>
      <c r="I37" s="566"/>
      <c r="J37" s="566"/>
      <c r="K37" s="566"/>
      <c r="L37" s="566"/>
      <c r="M37" s="566"/>
      <c r="N37" s="566"/>
      <c r="O37" s="566"/>
      <c r="P37" s="566"/>
      <c r="Q37" s="566"/>
      <c r="R37" s="566"/>
      <c r="S37" s="566"/>
      <c r="T37" s="566"/>
      <c r="U37" s="566"/>
      <c r="V37" s="566"/>
      <c r="W37" s="566"/>
    </row>
    <row r="38" spans="2:23" x14ac:dyDescent="0.35">
      <c r="B38" s="365"/>
      <c r="D38" s="566"/>
      <c r="E38" s="566"/>
      <c r="F38" s="566"/>
      <c r="G38" s="566"/>
      <c r="H38" s="566"/>
      <c r="I38" s="566"/>
      <c r="J38" s="566"/>
      <c r="K38" s="566"/>
      <c r="L38" s="566"/>
      <c r="M38" s="566"/>
      <c r="N38" s="566"/>
      <c r="O38" s="566"/>
      <c r="P38" s="566"/>
      <c r="Q38" s="566"/>
      <c r="R38" s="566"/>
      <c r="S38" s="566"/>
      <c r="T38" s="566"/>
      <c r="U38" s="566"/>
      <c r="V38" s="566"/>
      <c r="W38" s="566"/>
    </row>
    <row r="39" spans="2:23" x14ac:dyDescent="0.35">
      <c r="B39" s="365"/>
      <c r="D39" s="566"/>
      <c r="E39" s="566"/>
      <c r="F39" s="566"/>
      <c r="G39" s="566"/>
      <c r="H39" s="566"/>
      <c r="I39" s="566"/>
      <c r="J39" s="566"/>
      <c r="K39" s="566"/>
      <c r="L39" s="566"/>
      <c r="M39" s="566"/>
      <c r="N39" s="566"/>
      <c r="O39" s="566"/>
      <c r="P39" s="566"/>
      <c r="Q39" s="566"/>
      <c r="R39" s="566"/>
      <c r="S39" s="566"/>
      <c r="T39" s="566"/>
      <c r="U39" s="566"/>
      <c r="V39" s="566"/>
      <c r="W39" s="566"/>
    </row>
    <row r="40" spans="2:23" x14ac:dyDescent="0.35">
      <c r="B40" s="365"/>
      <c r="D40" s="566"/>
      <c r="E40" s="566"/>
      <c r="F40" s="566"/>
      <c r="G40" s="566"/>
      <c r="H40" s="566"/>
      <c r="I40" s="566"/>
      <c r="J40" s="566"/>
      <c r="K40" s="566"/>
      <c r="L40" s="566"/>
      <c r="M40" s="566"/>
      <c r="N40" s="566"/>
      <c r="O40" s="566"/>
      <c r="P40" s="566"/>
      <c r="Q40" s="566"/>
      <c r="R40" s="566"/>
      <c r="S40" s="566"/>
      <c r="T40" s="566"/>
      <c r="U40" s="566"/>
      <c r="V40" s="566"/>
      <c r="W40" s="566"/>
    </row>
    <row r="41" spans="2:23" x14ac:dyDescent="0.35">
      <c r="B41" s="365"/>
      <c r="D41" s="566"/>
      <c r="E41" s="566"/>
      <c r="F41" s="566"/>
      <c r="G41" s="566"/>
      <c r="H41" s="566"/>
      <c r="I41" s="566"/>
      <c r="J41" s="566"/>
      <c r="K41" s="566"/>
      <c r="L41" s="566"/>
      <c r="M41" s="566"/>
      <c r="N41" s="566"/>
      <c r="O41" s="566"/>
      <c r="P41" s="566"/>
      <c r="Q41" s="566"/>
      <c r="R41" s="566"/>
      <c r="S41" s="566"/>
      <c r="T41" s="566"/>
      <c r="U41" s="566"/>
      <c r="V41" s="566"/>
      <c r="W41" s="566"/>
    </row>
    <row r="42" spans="2:23" x14ac:dyDescent="0.35">
      <c r="B42" s="365"/>
      <c r="D42" s="566"/>
      <c r="E42" s="566"/>
      <c r="F42" s="566"/>
      <c r="G42" s="566"/>
      <c r="H42" s="566"/>
      <c r="I42" s="566"/>
      <c r="J42" s="566"/>
      <c r="K42" s="566"/>
      <c r="L42" s="566"/>
      <c r="M42" s="566"/>
      <c r="N42" s="566"/>
      <c r="O42" s="566"/>
      <c r="P42" s="566"/>
      <c r="Q42" s="566"/>
      <c r="R42" s="566"/>
      <c r="S42" s="566"/>
      <c r="T42" s="566"/>
      <c r="U42" s="566"/>
      <c r="V42" s="566"/>
      <c r="W42" s="56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9"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zoomScaleNormal="100" zoomScaleSheetLayoutView="100" workbookViewId="0">
      <selection activeCell="L16" sqref="L16"/>
    </sheetView>
  </sheetViews>
  <sheetFormatPr defaultColWidth="9.1328125" defaultRowHeight="12.75" x14ac:dyDescent="0.35"/>
  <cols>
    <col min="1" max="1" width="1.3984375" style="5" customWidth="1"/>
    <col min="2" max="2" width="5.265625" style="5" customWidth="1"/>
    <col min="3" max="3" width="6.73046875" style="5" customWidth="1"/>
    <col min="4" max="4" width="26.1328125" style="5" customWidth="1"/>
    <col min="5" max="5" width="2.73046875" style="5" customWidth="1"/>
    <col min="6" max="6" width="15.3984375" style="5" customWidth="1"/>
    <col min="7" max="7" width="1.73046875" style="5" customWidth="1"/>
    <col min="8" max="8" width="2.86328125" style="5" customWidth="1"/>
    <col min="9" max="9" width="1.73046875" style="5" customWidth="1"/>
    <col min="10" max="10" width="15.1328125" style="5" customWidth="1"/>
    <col min="11" max="11" width="1.73046875" style="5" customWidth="1"/>
    <col min="12" max="12" width="2.86328125" style="5" customWidth="1"/>
    <col min="13" max="13" width="1.73046875" style="5" customWidth="1"/>
    <col min="14" max="14" width="15.73046875" style="5" customWidth="1"/>
    <col min="15" max="15" width="1.86328125" style="5" customWidth="1"/>
    <col min="16" max="16" width="2.86328125" style="5" customWidth="1"/>
    <col min="17" max="17" width="1.73046875" style="5" customWidth="1"/>
    <col min="18" max="18" width="14.86328125" style="5" customWidth="1"/>
    <col min="19" max="19" width="1.73046875" style="5" customWidth="1"/>
    <col min="20" max="20" width="2.86328125" style="5" customWidth="1"/>
    <col min="21" max="21" width="1.73046875" style="5" customWidth="1"/>
    <col min="22" max="22" width="15.59765625" style="5" customWidth="1"/>
    <col min="23" max="23" width="1.3984375" style="5" customWidth="1"/>
    <col min="24" max="24" width="11.73046875" style="5" bestFit="1" customWidth="1"/>
    <col min="25" max="16384" width="9.1328125" style="5"/>
  </cols>
  <sheetData>
    <row r="1" spans="2:23" s="2" customFormat="1" ht="23.25" x14ac:dyDescent="0.35">
      <c r="C1" s="557"/>
      <c r="D1" s="557"/>
      <c r="E1" s="557"/>
      <c r="F1" s="557"/>
      <c r="G1" s="557"/>
      <c r="H1" s="557"/>
      <c r="I1" s="557"/>
      <c r="J1" s="557"/>
      <c r="K1" s="557"/>
      <c r="L1" s="557"/>
      <c r="M1" s="141"/>
      <c r="N1" s="141"/>
      <c r="O1" s="141"/>
      <c r="P1" s="141"/>
      <c r="Q1" s="141"/>
      <c r="R1" s="141"/>
      <c r="S1" s="141"/>
      <c r="T1" s="141"/>
      <c r="U1" s="141"/>
      <c r="V1" s="147"/>
    </row>
    <row r="2" spans="2:23" s="2" customFormat="1" ht="17.25" x14ac:dyDescent="0.45">
      <c r="C2" s="550"/>
      <c r="D2" s="550"/>
      <c r="E2" s="550"/>
      <c r="F2" s="550"/>
      <c r="G2" s="550"/>
      <c r="H2" s="550"/>
      <c r="I2" s="550"/>
      <c r="J2" s="550"/>
      <c r="K2" s="550"/>
      <c r="L2" s="550"/>
      <c r="M2" s="550"/>
      <c r="N2" s="550"/>
      <c r="O2" s="550"/>
      <c r="P2" s="550"/>
      <c r="Q2" s="550"/>
      <c r="R2" s="550"/>
      <c r="S2" s="550"/>
      <c r="T2" s="550"/>
      <c r="U2" s="550"/>
      <c r="V2" s="550"/>
    </row>
    <row r="3" spans="2:23" s="2" customFormat="1" ht="17.25" x14ac:dyDescent="0.45">
      <c r="C3" s="550"/>
      <c r="D3" s="550"/>
      <c r="E3" s="550"/>
      <c r="F3" s="550"/>
      <c r="G3" s="550"/>
      <c r="H3" s="550"/>
      <c r="I3" s="36"/>
      <c r="J3" s="33"/>
      <c r="K3" s="33"/>
      <c r="L3" s="33"/>
      <c r="M3" s="33"/>
      <c r="N3" s="33"/>
      <c r="O3" s="33"/>
      <c r="P3" s="33"/>
      <c r="Q3" s="33"/>
      <c r="R3" s="33"/>
      <c r="S3" s="33"/>
      <c r="T3" s="33"/>
      <c r="U3" s="33"/>
    </row>
    <row r="4" spans="2:23" s="2" customFormat="1" ht="17.25" x14ac:dyDescent="0.45">
      <c r="C4" s="550"/>
      <c r="D4" s="550"/>
      <c r="E4" s="550"/>
      <c r="F4" s="550"/>
      <c r="G4" s="550"/>
      <c r="H4" s="550"/>
      <c r="I4" s="36"/>
      <c r="J4" s="33"/>
      <c r="K4" s="33"/>
      <c r="L4" s="33"/>
      <c r="M4" s="33"/>
      <c r="N4" s="33"/>
      <c r="O4" s="33"/>
      <c r="P4" s="33"/>
      <c r="Q4" s="33"/>
      <c r="R4" s="33"/>
      <c r="S4" s="33"/>
      <c r="T4" s="33"/>
      <c r="U4" s="33"/>
    </row>
    <row r="5" spans="2:23" s="2" customFormat="1" ht="15" x14ac:dyDescent="0.4">
      <c r="E5" s="3"/>
      <c r="F5" s="3"/>
      <c r="G5" s="3"/>
    </row>
    <row r="6" spans="2:23" s="2" customFormat="1" x14ac:dyDescent="0.35"/>
    <row r="8" spans="2:23" ht="15" x14ac:dyDescent="0.4">
      <c r="E8" s="58"/>
      <c r="F8" s="579"/>
      <c r="G8" s="579"/>
      <c r="H8" s="579"/>
      <c r="I8" s="579"/>
      <c r="J8" s="579"/>
      <c r="K8" s="579"/>
      <c r="L8" s="579"/>
      <c r="M8" s="579"/>
      <c r="N8" s="579"/>
      <c r="O8" s="579"/>
      <c r="P8" s="579"/>
      <c r="Q8" s="579"/>
      <c r="R8" s="579"/>
      <c r="S8" s="579"/>
      <c r="T8" s="579"/>
      <c r="U8" s="579"/>
      <c r="V8" s="579"/>
      <c r="W8" s="58"/>
    </row>
    <row r="11" spans="2:23" ht="33.75" customHeight="1" x14ac:dyDescent="0.35">
      <c r="B11" s="383" t="s">
        <v>47</v>
      </c>
    </row>
    <row r="13" spans="2:23" ht="26.25" x14ac:dyDescent="0.4">
      <c r="B13" s="41" t="s">
        <v>37</v>
      </c>
      <c r="D13" s="42" t="s">
        <v>41</v>
      </c>
      <c r="E13" s="119"/>
      <c r="F13" s="300" t="s">
        <v>156</v>
      </c>
      <c r="G13" s="145"/>
      <c r="H13" s="26"/>
      <c r="I13" s="26"/>
      <c r="J13" s="300" t="str">
        <f>IF(N13="","","Adjustments")</f>
        <v>Adjustments</v>
      </c>
      <c r="K13" s="145"/>
      <c r="L13" s="26"/>
      <c r="M13" s="26"/>
      <c r="N13" s="300" t="str">
        <f>IF(ISBLANK('3. Data_Input_Sheet'!M12),"",'3. Data_Input_Sheet'!M12)</f>
        <v>Application Update</v>
      </c>
      <c r="O13" s="26"/>
      <c r="P13" s="26"/>
      <c r="Q13" s="26"/>
      <c r="R13" s="300" t="str">
        <f>IF(N13="","","Adjustments")</f>
        <v>Adjustments</v>
      </c>
      <c r="S13" s="26"/>
      <c r="T13" s="26"/>
      <c r="U13" s="26"/>
      <c r="V13" s="300" t="str">
        <f>'3. Data_Input_Sheet'!U12</f>
        <v>Per Board Decision</v>
      </c>
    </row>
    <row r="15" spans="2:23" ht="13.15" x14ac:dyDescent="0.4">
      <c r="D15" s="27" t="s">
        <v>24</v>
      </c>
    </row>
    <row r="16" spans="2:23" ht="25.5" x14ac:dyDescent="0.35">
      <c r="B16" s="171">
        <v>1</v>
      </c>
      <c r="D16" s="28" t="s">
        <v>129</v>
      </c>
      <c r="E16" s="120"/>
      <c r="F16" s="233">
        <f>'3. Data_Input_Sheet'!E26</f>
        <v>24975.153694580666</v>
      </c>
      <c r="G16" s="233"/>
      <c r="H16" s="363"/>
      <c r="I16" s="240"/>
      <c r="J16" s="233">
        <f>N16-F16</f>
        <v>-1234.6233006325674</v>
      </c>
      <c r="K16" s="233"/>
      <c r="L16" s="363"/>
      <c r="M16" s="240"/>
      <c r="N16" s="233">
        <f>'3. Data_Input_Sheet'!M26</f>
        <v>23740.530393948098</v>
      </c>
      <c r="O16" s="240"/>
      <c r="P16" s="363"/>
      <c r="Q16" s="240"/>
      <c r="R16" s="233">
        <f>V16-N16</f>
        <v>376.6642677501768</v>
      </c>
      <c r="S16" s="240"/>
      <c r="T16" s="363"/>
      <c r="U16" s="240"/>
      <c r="V16" s="233">
        <f>IF(ISBLANK('3. Data_Input_Sheet'!U26),'5. Utility Income'!N16,'3. Data_Input_Sheet'!U26)</f>
        <v>24117.194661698275</v>
      </c>
    </row>
    <row r="17" spans="2:26" ht="13.15" x14ac:dyDescent="0.4">
      <c r="B17" s="171">
        <v>2</v>
      </c>
      <c r="D17" s="5" t="s">
        <v>64</v>
      </c>
      <c r="E17" s="18" t="s">
        <v>2</v>
      </c>
      <c r="F17" s="249">
        <f>F48</f>
        <v>1395.4404881099958</v>
      </c>
      <c r="G17" s="250"/>
      <c r="H17" s="363"/>
      <c r="I17" s="240"/>
      <c r="J17" s="249">
        <f>N17-F17</f>
        <v>-5.7906017178618185</v>
      </c>
      <c r="K17" s="250"/>
      <c r="L17" s="363"/>
      <c r="M17" s="240"/>
      <c r="N17" s="249">
        <f>N48</f>
        <v>1389.649886392134</v>
      </c>
      <c r="O17" s="240"/>
      <c r="P17" s="363"/>
      <c r="Q17" s="240"/>
      <c r="R17" s="249">
        <f>V17-N17</f>
        <v>-4.9218216807473709</v>
      </c>
      <c r="S17" s="240"/>
      <c r="T17" s="363"/>
      <c r="U17" s="240"/>
      <c r="V17" s="249">
        <f>V48</f>
        <v>1384.7280647113867</v>
      </c>
    </row>
    <row r="18" spans="2:26" ht="13.15" x14ac:dyDescent="0.35">
      <c r="B18" s="171"/>
      <c r="F18" s="577">
        <f>SUM(F16:F17)</f>
        <v>26370.59418269066</v>
      </c>
      <c r="G18" s="48"/>
      <c r="H18" s="268"/>
      <c r="I18" s="268"/>
      <c r="J18" s="577">
        <f>SUM(J16:J17)</f>
        <v>-1240.4139023504292</v>
      </c>
      <c r="K18" s="48"/>
      <c r="L18" s="268"/>
      <c r="M18" s="269"/>
      <c r="N18" s="577">
        <f>SUM(N16:N17)</f>
        <v>25130.180280340232</v>
      </c>
      <c r="O18" s="269"/>
      <c r="P18" s="268"/>
      <c r="Q18" s="269"/>
      <c r="R18" s="577">
        <f>SUM(R16:R17)</f>
        <v>371.74244606942943</v>
      </c>
      <c r="S18" s="269"/>
      <c r="T18" s="268"/>
      <c r="U18" s="269"/>
      <c r="V18" s="577">
        <f>SUM(V16:V17)</f>
        <v>25501.922726409663</v>
      </c>
    </row>
    <row r="19" spans="2:26" ht="13.15" x14ac:dyDescent="0.35">
      <c r="B19" s="171">
        <v>3</v>
      </c>
      <c r="D19" s="5" t="s">
        <v>114</v>
      </c>
      <c r="F19" s="578"/>
      <c r="G19" s="48"/>
      <c r="H19" s="268"/>
      <c r="I19" s="268"/>
      <c r="J19" s="578"/>
      <c r="K19" s="48"/>
      <c r="L19" s="268"/>
      <c r="M19" s="269"/>
      <c r="N19" s="578"/>
      <c r="O19" s="269"/>
      <c r="P19" s="268"/>
      <c r="Q19" s="269"/>
      <c r="R19" s="578"/>
      <c r="S19" s="269"/>
      <c r="T19" s="268"/>
      <c r="U19" s="269"/>
      <c r="V19" s="578"/>
    </row>
    <row r="20" spans="2:26" ht="13.15" x14ac:dyDescent="0.35">
      <c r="B20" s="171"/>
      <c r="F20" s="253"/>
      <c r="G20" s="253"/>
      <c r="H20" s="252"/>
      <c r="I20" s="252"/>
      <c r="J20" s="253"/>
      <c r="K20" s="253"/>
      <c r="L20" s="252"/>
      <c r="M20" s="235"/>
      <c r="N20" s="253"/>
      <c r="O20" s="235"/>
      <c r="P20" s="252"/>
      <c r="Q20" s="235"/>
      <c r="R20" s="253"/>
      <c r="S20" s="235"/>
      <c r="T20" s="252"/>
      <c r="U20" s="235"/>
      <c r="V20" s="253"/>
    </row>
    <row r="21" spans="2:26" ht="13.15" x14ac:dyDescent="0.4">
      <c r="B21" s="171"/>
      <c r="D21" s="27" t="s">
        <v>25</v>
      </c>
      <c r="F21" s="253"/>
      <c r="G21" s="253"/>
      <c r="H21" s="252"/>
      <c r="I21" s="252"/>
      <c r="J21" s="253"/>
      <c r="K21" s="253"/>
      <c r="L21" s="252"/>
      <c r="M21" s="235"/>
      <c r="N21" s="253"/>
      <c r="O21" s="235"/>
      <c r="P21" s="252"/>
      <c r="Q21" s="235"/>
      <c r="R21" s="253"/>
      <c r="S21" s="235"/>
      <c r="T21" s="252"/>
      <c r="U21" s="235"/>
      <c r="V21" s="253"/>
    </row>
    <row r="22" spans="2:26" ht="13.15" x14ac:dyDescent="0.35">
      <c r="B22" s="171">
        <v>4</v>
      </c>
      <c r="D22" s="5" t="s">
        <v>39</v>
      </c>
      <c r="F22" s="233">
        <f>'3. Data_Input_Sheet'!E36</f>
        <v>13032.88066833308</v>
      </c>
      <c r="G22" s="233"/>
      <c r="H22" s="363"/>
      <c r="I22" s="240"/>
      <c r="J22" s="233">
        <f>'3. Data_Input_Sheet'!I36</f>
        <v>0</v>
      </c>
      <c r="K22" s="233"/>
      <c r="L22" s="363"/>
      <c r="M22" s="240"/>
      <c r="N22" s="233">
        <f>'3. Data_Input_Sheet'!M36</f>
        <v>13032.88066833308</v>
      </c>
      <c r="O22" s="240"/>
      <c r="P22" s="363"/>
      <c r="Q22" s="240"/>
      <c r="R22" s="233">
        <f>'3. Data_Input_Sheet'!Q36</f>
        <v>0</v>
      </c>
      <c r="S22" s="240"/>
      <c r="T22" s="363"/>
      <c r="U22" s="240"/>
      <c r="V22" s="233">
        <f>'3. Data_Input_Sheet'!U36</f>
        <v>13032.88066833308</v>
      </c>
    </row>
    <row r="23" spans="2:26" ht="13.15" x14ac:dyDescent="0.35">
      <c r="B23" s="171">
        <v>5</v>
      </c>
      <c r="D23" s="5" t="s">
        <v>26</v>
      </c>
      <c r="F23" s="233">
        <f>'3. Data_Input_Sheet'!E37</f>
        <v>5211.3096815439585</v>
      </c>
      <c r="G23" s="233"/>
      <c r="H23" s="363"/>
      <c r="I23" s="240"/>
      <c r="J23" s="233">
        <f>'3. Data_Input_Sheet'!I37</f>
        <v>-176.76388888888869</v>
      </c>
      <c r="K23" s="233"/>
      <c r="L23" s="363"/>
      <c r="M23" s="240"/>
      <c r="N23" s="233">
        <f>'3. Data_Input_Sheet'!M37</f>
        <v>5034.5457926550698</v>
      </c>
      <c r="O23" s="240"/>
      <c r="P23" s="363"/>
      <c r="Q23" s="240"/>
      <c r="R23" s="233">
        <f>'3. Data_Input_Sheet'!Q37</f>
        <v>-22</v>
      </c>
      <c r="S23" s="240"/>
      <c r="T23" s="363"/>
      <c r="U23" s="240"/>
      <c r="V23" s="233">
        <f>'3. Data_Input_Sheet'!U37</f>
        <v>5012.5457926550698</v>
      </c>
    </row>
    <row r="24" spans="2:26" ht="13.15" x14ac:dyDescent="0.35">
      <c r="B24" s="171">
        <v>6</v>
      </c>
      <c r="C24" s="15"/>
      <c r="D24" s="15" t="s">
        <v>44</v>
      </c>
      <c r="E24" s="15"/>
      <c r="F24" s="233">
        <f>'3. Data_Input_Sheet'!E38</f>
        <v>168.47252681144457</v>
      </c>
      <c r="G24" s="233"/>
      <c r="H24" s="363"/>
      <c r="I24" s="240"/>
      <c r="J24" s="233">
        <f>'3. Data_Input_Sheet'!I38</f>
        <v>0</v>
      </c>
      <c r="K24" s="233"/>
      <c r="L24" s="363"/>
      <c r="M24" s="240"/>
      <c r="N24" s="233">
        <f>'3. Data_Input_Sheet'!M38</f>
        <v>168.47252681144457</v>
      </c>
      <c r="O24" s="240"/>
      <c r="P24" s="363"/>
      <c r="Q24" s="240"/>
      <c r="R24" s="233">
        <f>'3. Data_Input_Sheet'!Q38</f>
        <v>0</v>
      </c>
      <c r="S24" s="240"/>
      <c r="T24" s="363"/>
      <c r="U24" s="240"/>
      <c r="V24" s="233">
        <f>'3. Data_Input_Sheet'!U38</f>
        <v>168.47252681144457</v>
      </c>
      <c r="W24" s="15"/>
      <c r="X24" s="15"/>
      <c r="Y24" s="15"/>
      <c r="Z24" s="15"/>
    </row>
    <row r="25" spans="2:26" ht="13.15" x14ac:dyDescent="0.35">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ht="13.15" x14ac:dyDescent="0.35">
      <c r="B26" s="171">
        <v>8</v>
      </c>
      <c r="D26" s="5" t="s">
        <v>94</v>
      </c>
      <c r="F26" s="249">
        <f>'3. Data_Input_Sheet'!E40</f>
        <v>32.478756907871151</v>
      </c>
      <c r="G26" s="250"/>
      <c r="H26" s="363"/>
      <c r="I26" s="240"/>
      <c r="J26" s="249">
        <f>'3. Data_Input_Sheet'!I40</f>
        <v>0</v>
      </c>
      <c r="K26" s="250"/>
      <c r="L26" s="363"/>
      <c r="M26" s="240"/>
      <c r="N26" s="249">
        <f>'3. Data_Input_Sheet'!M40</f>
        <v>32.478756907871151</v>
      </c>
      <c r="O26" s="240"/>
      <c r="P26" s="363"/>
      <c r="Q26" s="240"/>
      <c r="R26" s="249">
        <f>'3. Data_Input_Sheet'!Q40</f>
        <v>0</v>
      </c>
      <c r="S26" s="240"/>
      <c r="T26" s="363"/>
      <c r="U26" s="240"/>
      <c r="V26" s="249">
        <f>'3. Data_Input_Sheet'!U40</f>
        <v>32.478756907871151</v>
      </c>
    </row>
    <row r="27" spans="2:26" ht="13.15" x14ac:dyDescent="0.35">
      <c r="B27" s="171"/>
      <c r="D27" s="25"/>
      <c r="F27" s="559">
        <f>SUM(F22:F26)</f>
        <v>18445.141633596359</v>
      </c>
      <c r="G27" s="49"/>
      <c r="H27" s="268"/>
      <c r="I27" s="268"/>
      <c r="J27" s="559">
        <f>SUM(J22:J26)</f>
        <v>-176.76388888888869</v>
      </c>
      <c r="K27" s="49"/>
      <c r="L27" s="268"/>
      <c r="M27" s="268"/>
      <c r="N27" s="559">
        <f>SUM(N22:N26)</f>
        <v>18268.377744707468</v>
      </c>
      <c r="O27" s="268"/>
      <c r="P27" s="268"/>
      <c r="Q27" s="268"/>
      <c r="R27" s="559">
        <f>SUM(R22:R26)</f>
        <v>-22</v>
      </c>
      <c r="S27" s="268"/>
      <c r="T27" s="268"/>
      <c r="U27" s="268"/>
      <c r="V27" s="559">
        <f>SUM(V22:V26)</f>
        <v>18246.377744707468</v>
      </c>
    </row>
    <row r="28" spans="2:26" ht="13.15" x14ac:dyDescent="0.35">
      <c r="B28" s="171">
        <v>9</v>
      </c>
      <c r="D28" s="121" t="s">
        <v>157</v>
      </c>
      <c r="F28" s="568"/>
      <c r="G28" s="49"/>
      <c r="H28" s="268"/>
      <c r="I28" s="268"/>
      <c r="J28" s="568"/>
      <c r="K28" s="49"/>
      <c r="L28" s="268"/>
      <c r="M28" s="268"/>
      <c r="N28" s="568"/>
      <c r="O28" s="268"/>
      <c r="P28" s="268"/>
      <c r="Q28" s="268"/>
      <c r="R28" s="568"/>
      <c r="S28" s="268"/>
      <c r="T28" s="268"/>
      <c r="U28" s="268"/>
      <c r="V28" s="568"/>
    </row>
    <row r="29" spans="2:26" ht="13.15" x14ac:dyDescent="0.35">
      <c r="B29" s="171"/>
      <c r="F29" s="254"/>
      <c r="G29" s="254"/>
      <c r="H29" s="252"/>
      <c r="I29" s="252"/>
      <c r="J29" s="254"/>
      <c r="K29" s="254"/>
      <c r="L29" s="252"/>
      <c r="M29" s="252"/>
      <c r="N29" s="254"/>
      <c r="O29" s="252"/>
      <c r="P29" s="252"/>
      <c r="Q29" s="252"/>
      <c r="R29" s="254"/>
      <c r="S29" s="252"/>
      <c r="T29" s="252"/>
      <c r="U29" s="252"/>
      <c r="V29" s="254"/>
    </row>
    <row r="30" spans="2:26" ht="13.15" x14ac:dyDescent="0.35">
      <c r="B30" s="171">
        <v>10</v>
      </c>
      <c r="D30" s="25" t="s">
        <v>95</v>
      </c>
      <c r="F30" s="255">
        <f>'7. Cost_of_Capital'!P19</f>
        <v>2874.9108730923822</v>
      </c>
      <c r="G30" s="254"/>
      <c r="H30" s="252"/>
      <c r="I30" s="252"/>
      <c r="J30" s="255">
        <f>N30-F30</f>
        <v>-541.86599524509847</v>
      </c>
      <c r="K30" s="254"/>
      <c r="L30" s="252"/>
      <c r="M30" s="252"/>
      <c r="N30" s="255">
        <f>'7. Cost_of_Capital'!P35</f>
        <v>2333.0448778472837</v>
      </c>
      <c r="O30" s="252"/>
      <c r="P30" s="252"/>
      <c r="Q30" s="252"/>
      <c r="R30" s="255">
        <f>V30-N30</f>
        <v>230.52485737029747</v>
      </c>
      <c r="S30" s="252"/>
      <c r="T30" s="252"/>
      <c r="U30" s="252"/>
      <c r="V30" s="255">
        <f>'7. Cost_of_Capital'!P51</f>
        <v>2563.5697352175812</v>
      </c>
    </row>
    <row r="31" spans="2:26" ht="13.15" x14ac:dyDescent="0.35">
      <c r="B31" s="171"/>
      <c r="F31" s="254"/>
      <c r="G31" s="254"/>
      <c r="H31" s="252"/>
      <c r="I31" s="252"/>
      <c r="J31" s="254"/>
      <c r="K31" s="254"/>
      <c r="L31" s="252"/>
      <c r="M31" s="252"/>
      <c r="N31" s="254"/>
      <c r="O31" s="252"/>
      <c r="P31" s="252"/>
      <c r="Q31" s="252"/>
      <c r="R31" s="254"/>
      <c r="S31" s="252"/>
      <c r="T31" s="252"/>
      <c r="U31" s="252"/>
      <c r="V31" s="254"/>
    </row>
    <row r="32" spans="2:26" ht="13.15" x14ac:dyDescent="0.35">
      <c r="B32" s="171">
        <v>11</v>
      </c>
      <c r="D32" s="121" t="s">
        <v>158</v>
      </c>
      <c r="F32" s="254">
        <f>F27+F30</f>
        <v>21320.052506688742</v>
      </c>
      <c r="G32" s="254"/>
      <c r="H32" s="252"/>
      <c r="I32" s="252"/>
      <c r="J32" s="254">
        <f>J30+J27</f>
        <v>-718.62988413398716</v>
      </c>
      <c r="K32" s="254"/>
      <c r="L32" s="252"/>
      <c r="M32" s="252"/>
      <c r="N32" s="254">
        <f>N30+N27</f>
        <v>20601.422622554754</v>
      </c>
      <c r="O32" s="252"/>
      <c r="P32" s="252"/>
      <c r="Q32" s="252"/>
      <c r="R32" s="254">
        <f>R30+R27</f>
        <v>208.52485737029747</v>
      </c>
      <c r="S32" s="252"/>
      <c r="T32" s="252"/>
      <c r="U32" s="252"/>
      <c r="V32" s="254">
        <f>V27+V30</f>
        <v>20809.947479925049</v>
      </c>
    </row>
    <row r="33" spans="2:24" ht="13.15" x14ac:dyDescent="0.35">
      <c r="B33" s="171"/>
      <c r="F33" s="387"/>
      <c r="G33" s="48"/>
      <c r="H33" s="268"/>
      <c r="I33" s="268"/>
      <c r="J33" s="387"/>
      <c r="K33" s="48"/>
      <c r="L33" s="268"/>
      <c r="M33" s="268"/>
      <c r="N33" s="387"/>
      <c r="O33" s="268"/>
      <c r="P33" s="268"/>
      <c r="Q33" s="268"/>
      <c r="R33" s="387"/>
      <c r="S33" s="268"/>
      <c r="T33" s="268"/>
      <c r="U33" s="268"/>
      <c r="V33" s="387"/>
    </row>
    <row r="34" spans="2:24" ht="26.65" thickBot="1" x14ac:dyDescent="0.45">
      <c r="B34" s="171">
        <v>12</v>
      </c>
      <c r="D34" s="56" t="s">
        <v>97</v>
      </c>
      <c r="E34" s="120"/>
      <c r="F34" s="388">
        <f>F18-(F32)</f>
        <v>5050.5416760019179</v>
      </c>
      <c r="G34" s="48"/>
      <c r="H34" s="122"/>
      <c r="I34" s="122"/>
      <c r="J34" s="388">
        <f>J18-(J32)</f>
        <v>-521.78401821644206</v>
      </c>
      <c r="K34" s="48"/>
      <c r="L34" s="123"/>
      <c r="M34" s="123"/>
      <c r="N34" s="388">
        <f>N18-(N32)</f>
        <v>4528.7576577854779</v>
      </c>
      <c r="O34" s="123"/>
      <c r="P34" s="123"/>
      <c r="Q34" s="123"/>
      <c r="R34" s="388">
        <f>R18-(R32)</f>
        <v>163.21758869913197</v>
      </c>
      <c r="S34" s="123"/>
      <c r="T34" s="123"/>
      <c r="U34" s="123"/>
      <c r="V34" s="388">
        <f>V18-(V32)</f>
        <v>4691.9752464846133</v>
      </c>
      <c r="X34" s="22"/>
    </row>
    <row r="35" spans="2:24" ht="13.5" thickTop="1" x14ac:dyDescent="0.35">
      <c r="B35" s="171"/>
      <c r="F35" s="575">
        <f>'6. Taxes_PILs'!G31</f>
        <v>496.1205704473133</v>
      </c>
      <c r="G35" s="49"/>
      <c r="H35" s="268"/>
      <c r="I35" s="268"/>
      <c r="J35" s="575">
        <f>N35-F35</f>
        <v>-29.271303036452309</v>
      </c>
      <c r="K35" s="49"/>
      <c r="L35" s="268"/>
      <c r="M35" s="268"/>
      <c r="N35" s="575">
        <f>'6. Taxes_PILs'!K31</f>
        <v>466.84926741086099</v>
      </c>
      <c r="O35" s="268"/>
      <c r="P35" s="268"/>
      <c r="Q35" s="268"/>
      <c r="R35" s="575">
        <f>V35-N35</f>
        <v>37.259348958249689</v>
      </c>
      <c r="S35" s="268"/>
      <c r="T35" s="268"/>
      <c r="U35" s="268"/>
      <c r="V35" s="575">
        <f>IF('6. Taxes_PILs'!O31=0,N35,'6. Taxes_PILs'!O31)</f>
        <v>504.10861636911068</v>
      </c>
    </row>
    <row r="36" spans="2:24" ht="13.15" x14ac:dyDescent="0.35">
      <c r="B36" s="171">
        <v>13</v>
      </c>
      <c r="D36" s="25" t="s">
        <v>108</v>
      </c>
      <c r="F36" s="576"/>
      <c r="G36" s="49"/>
      <c r="H36" s="268"/>
      <c r="I36" s="268"/>
      <c r="J36" s="576"/>
      <c r="K36" s="49"/>
      <c r="L36" s="268"/>
      <c r="M36" s="268"/>
      <c r="N36" s="576"/>
      <c r="O36" s="268"/>
      <c r="P36" s="268"/>
      <c r="Q36" s="268"/>
      <c r="R36" s="576"/>
      <c r="S36" s="268"/>
      <c r="T36" s="268"/>
      <c r="U36" s="268"/>
      <c r="V36" s="576"/>
    </row>
    <row r="37" spans="2:24" ht="13.15" x14ac:dyDescent="0.35">
      <c r="B37" s="171"/>
      <c r="F37" s="573">
        <f>F34-F35</f>
        <v>4554.4211055546048</v>
      </c>
      <c r="G37" s="149"/>
      <c r="H37" s="268"/>
      <c r="I37" s="268"/>
      <c r="J37" s="573">
        <f>J34-J35</f>
        <v>-492.51271517998975</v>
      </c>
      <c r="K37" s="149"/>
      <c r="L37" s="268"/>
      <c r="M37" s="268"/>
      <c r="N37" s="573">
        <f>N34-N35</f>
        <v>4061.9083903746168</v>
      </c>
      <c r="O37" s="268"/>
      <c r="P37" s="268"/>
      <c r="Q37" s="268"/>
      <c r="R37" s="573">
        <f>R34-R35</f>
        <v>125.95823974088228</v>
      </c>
      <c r="S37" s="268"/>
      <c r="T37" s="268"/>
      <c r="U37" s="268"/>
      <c r="V37" s="573">
        <f>V34-V35</f>
        <v>4187.8666301155026</v>
      </c>
    </row>
    <row r="38" spans="2:24" ht="13.5" thickBot="1" x14ac:dyDescent="0.45">
      <c r="B38" s="171">
        <v>14</v>
      </c>
      <c r="D38" s="16" t="s">
        <v>105</v>
      </c>
      <c r="F38" s="574"/>
      <c r="G38" s="149"/>
      <c r="H38" s="122"/>
      <c r="I38" s="122"/>
      <c r="J38" s="574"/>
      <c r="K38" s="149"/>
      <c r="L38" s="122"/>
      <c r="M38" s="122"/>
      <c r="N38" s="574"/>
      <c r="O38" s="122"/>
      <c r="P38" s="122"/>
      <c r="Q38" s="122"/>
      <c r="R38" s="574"/>
      <c r="S38" s="122"/>
      <c r="T38" s="122"/>
      <c r="U38" s="122"/>
      <c r="V38" s="574"/>
    </row>
    <row r="39" spans="2:24" ht="13.15" thickTop="1" x14ac:dyDescent="0.35"/>
    <row r="40" spans="2:24" ht="7.5" customHeight="1" x14ac:dyDescent="0.35"/>
    <row r="42" spans="2:24" ht="13.15" x14ac:dyDescent="0.4">
      <c r="B42" s="572" t="s">
        <v>38</v>
      </c>
      <c r="C42" s="572"/>
      <c r="D42" s="572"/>
      <c r="E42" s="572"/>
      <c r="F42" s="572"/>
      <c r="G42" s="572"/>
      <c r="H42" s="572"/>
      <c r="I42" s="572"/>
      <c r="J42" s="572"/>
      <c r="K42" s="572"/>
      <c r="L42" s="572"/>
      <c r="M42" s="572"/>
      <c r="N42" s="572"/>
      <c r="O42" s="572"/>
      <c r="P42" s="572"/>
      <c r="Q42" s="572"/>
      <c r="R42" s="572"/>
      <c r="S42" s="572"/>
      <c r="T42" s="572"/>
      <c r="U42" s="572"/>
      <c r="V42" s="572"/>
    </row>
    <row r="43" spans="2:24" ht="13.15" x14ac:dyDescent="0.4">
      <c r="D43" s="82"/>
      <c r="E43" s="34"/>
      <c r="F43" s="34"/>
      <c r="G43" s="34"/>
      <c r="H43" s="34"/>
      <c r="I43" s="34"/>
      <c r="J43" s="34"/>
      <c r="K43" s="34"/>
      <c r="L43" s="34"/>
      <c r="M43" s="34"/>
      <c r="N43" s="34"/>
      <c r="O43" s="34"/>
      <c r="P43" s="34"/>
      <c r="Q43" s="34"/>
      <c r="R43" s="34"/>
      <c r="S43" s="34"/>
      <c r="T43" s="34"/>
      <c r="U43" s="34"/>
      <c r="V43" s="34"/>
    </row>
    <row r="44" spans="2:24" ht="13.15" x14ac:dyDescent="0.4">
      <c r="B44" s="18" t="s">
        <v>2</v>
      </c>
      <c r="D44" s="78" t="s">
        <v>53</v>
      </c>
      <c r="E44" s="34"/>
      <c r="F44" s="100">
        <f>'3. Data_Input_Sheet'!E28</f>
        <v>789.58496277779284</v>
      </c>
      <c r="G44" s="100"/>
      <c r="H44" s="367"/>
      <c r="I44" s="186"/>
      <c r="J44" s="100">
        <f>'3. Data_Input_Sheet'!I28</f>
        <v>-3.3695694501335538</v>
      </c>
      <c r="K44" s="100"/>
      <c r="L44" s="367"/>
      <c r="M44" s="34"/>
      <c r="N44" s="100">
        <f>'3. Data_Input_Sheet'!M28</f>
        <v>786.21539332765929</v>
      </c>
      <c r="O44" s="100"/>
      <c r="P44" s="367"/>
      <c r="Q44" s="34"/>
      <c r="R44" s="100">
        <f>'3. Data_Input_Sheet'!Q28</f>
        <v>-2.8755402624959743</v>
      </c>
      <c r="S44" s="100"/>
      <c r="T44" s="367"/>
      <c r="U44" s="34"/>
      <c r="V44" s="100">
        <f>IF(ISBLANK('3. Data_Input_Sheet'!U28),N44,'3. Data_Input_Sheet'!U28)</f>
        <v>783.33985306516331</v>
      </c>
    </row>
    <row r="45" spans="2:24" x14ac:dyDescent="0.35">
      <c r="D45" s="78" t="s">
        <v>54</v>
      </c>
      <c r="E45" s="34"/>
      <c r="F45" s="100">
        <f>'3. Data_Input_Sheet'!E29</f>
        <v>305.94343299250335</v>
      </c>
      <c r="G45" s="100"/>
      <c r="H45" s="367"/>
      <c r="I45" s="186"/>
      <c r="J45" s="100">
        <f>'3. Data_Input_Sheet'!I29</f>
        <v>-1.3825047621622844</v>
      </c>
      <c r="K45" s="100"/>
      <c r="L45" s="367"/>
      <c r="M45" s="34"/>
      <c r="N45" s="100">
        <f>'3. Data_Input_Sheet'!M29</f>
        <v>304.56092823034106</v>
      </c>
      <c r="O45" s="100"/>
      <c r="P45" s="367"/>
      <c r="Q45" s="34"/>
      <c r="R45" s="100">
        <f>'3. Data_Input_Sheet'!Q29</f>
        <v>-1.179808923817518</v>
      </c>
      <c r="S45" s="100"/>
      <c r="T45" s="367"/>
      <c r="U45" s="34"/>
      <c r="V45" s="100">
        <f>IF(ISBLANK('3. Data_Input_Sheet'!U29),N45,'3. Data_Input_Sheet'!U29)</f>
        <v>303.38111930652354</v>
      </c>
    </row>
    <row r="46" spans="2:24" x14ac:dyDescent="0.35">
      <c r="D46" s="78" t="s">
        <v>55</v>
      </c>
      <c r="E46" s="34"/>
      <c r="F46" s="100">
        <f>'3. Data_Input_Sheet'!E30</f>
        <v>171.91209233969965</v>
      </c>
      <c r="G46" s="100"/>
      <c r="H46" s="367"/>
      <c r="I46" s="186"/>
      <c r="J46" s="100">
        <f>'3. Data_Input_Sheet'!I30</f>
        <v>-1.0385275055659804</v>
      </c>
      <c r="K46" s="100"/>
      <c r="L46" s="367"/>
      <c r="M46" s="34"/>
      <c r="N46" s="100">
        <f>'3. Data_Input_Sheet'!M30</f>
        <v>170.87356483413367</v>
      </c>
      <c r="O46" s="100"/>
      <c r="P46" s="367"/>
      <c r="Q46" s="34"/>
      <c r="R46" s="100">
        <f>'3. Data_Input_Sheet'!Q30</f>
        <v>-0.86647249443402075</v>
      </c>
      <c r="S46" s="100"/>
      <c r="T46" s="367"/>
      <c r="U46" s="34"/>
      <c r="V46" s="100">
        <f>IF(ISBLANK('3. Data_Input_Sheet'!U30),N46,'3. Data_Input_Sheet'!U30)</f>
        <v>170.00709233969965</v>
      </c>
    </row>
    <row r="47" spans="2:24" x14ac:dyDescent="0.35">
      <c r="D47" s="78" t="s">
        <v>56</v>
      </c>
      <c r="E47" s="34"/>
      <c r="F47" s="100">
        <f>'3. Data_Input_Sheet'!E31</f>
        <v>128</v>
      </c>
      <c r="G47" s="100"/>
      <c r="H47" s="367"/>
      <c r="I47" s="186"/>
      <c r="J47" s="100">
        <f>'3. Data_Input_Sheet'!I31</f>
        <v>0</v>
      </c>
      <c r="K47" s="100"/>
      <c r="L47" s="367"/>
      <c r="M47" s="34"/>
      <c r="N47" s="100">
        <f>'3. Data_Input_Sheet'!M31</f>
        <v>128</v>
      </c>
      <c r="O47" s="100"/>
      <c r="P47" s="367"/>
      <c r="Q47" s="34"/>
      <c r="R47" s="100">
        <f>'3. Data_Input_Sheet'!Q31</f>
        <v>0</v>
      </c>
      <c r="S47" s="100"/>
      <c r="T47" s="367"/>
      <c r="U47" s="34"/>
      <c r="V47" s="100">
        <f>IF(ISBLANK('3. Data_Input_Sheet'!U31),N47,'3. Data_Input_Sheet'!U31)</f>
        <v>128</v>
      </c>
    </row>
    <row r="48" spans="2:24" x14ac:dyDescent="0.35">
      <c r="D48" s="78"/>
      <c r="E48" s="34"/>
      <c r="F48" s="570">
        <f>SUM(F44:F47)</f>
        <v>1395.4404881099958</v>
      </c>
      <c r="G48" s="159"/>
      <c r="H48" s="34"/>
      <c r="I48" s="34"/>
      <c r="J48" s="570">
        <f>SUM(J44:J47)</f>
        <v>-5.7906017178618185</v>
      </c>
      <c r="K48" s="34"/>
      <c r="L48" s="34"/>
      <c r="M48" s="34"/>
      <c r="N48" s="570">
        <f>SUM(N44:N47)</f>
        <v>1389.649886392134</v>
      </c>
      <c r="O48" s="34"/>
      <c r="P48" s="34"/>
      <c r="Q48" s="34"/>
      <c r="R48" s="570">
        <f>SUM(R44:R47)</f>
        <v>-4.921821680747513</v>
      </c>
      <c r="S48" s="34"/>
      <c r="T48" s="34"/>
      <c r="U48" s="34"/>
      <c r="V48" s="570">
        <f>SUM(V44:V47)</f>
        <v>1384.7280647113867</v>
      </c>
    </row>
    <row r="49" spans="2:22" ht="13.15" thickBot="1" x14ac:dyDescent="0.4">
      <c r="D49" s="314" t="s">
        <v>57</v>
      </c>
      <c r="E49" s="34"/>
      <c r="F49" s="571"/>
      <c r="G49" s="159"/>
      <c r="H49" s="34"/>
      <c r="I49" s="34"/>
      <c r="J49" s="571"/>
      <c r="K49" s="34"/>
      <c r="L49" s="34"/>
      <c r="M49" s="34"/>
      <c r="N49" s="571"/>
      <c r="O49" s="34"/>
      <c r="P49" s="34"/>
      <c r="Q49" s="34"/>
      <c r="R49" s="571"/>
      <c r="S49" s="34"/>
      <c r="T49" s="34"/>
      <c r="U49" s="34"/>
      <c r="V49" s="571"/>
    </row>
    <row r="50" spans="2:22" ht="13.15" thickTop="1" x14ac:dyDescent="0.35">
      <c r="D50" s="34"/>
      <c r="E50" s="34"/>
      <c r="F50" s="34"/>
      <c r="G50" s="34"/>
      <c r="H50" s="34"/>
      <c r="I50" s="34"/>
      <c r="J50" s="34"/>
      <c r="K50" s="34"/>
      <c r="L50" s="34"/>
      <c r="M50" s="34"/>
      <c r="N50" s="34"/>
      <c r="O50" s="34"/>
      <c r="P50" s="34"/>
      <c r="Q50" s="34"/>
      <c r="R50" s="34"/>
      <c r="S50" s="34"/>
      <c r="T50" s="34"/>
      <c r="U50" s="34"/>
      <c r="V50" s="34"/>
    </row>
    <row r="51" spans="2:22" x14ac:dyDescent="0.35">
      <c r="D51" s="34"/>
      <c r="E51" s="34"/>
      <c r="F51" s="34"/>
      <c r="G51" s="34"/>
      <c r="H51" s="34"/>
      <c r="I51" s="34"/>
      <c r="J51" s="34"/>
      <c r="K51" s="34"/>
      <c r="L51" s="34"/>
      <c r="M51" s="34"/>
      <c r="N51" s="34"/>
      <c r="O51" s="34"/>
      <c r="P51" s="34"/>
      <c r="Q51" s="34"/>
      <c r="R51" s="34"/>
      <c r="S51" s="34"/>
      <c r="T51" s="34"/>
      <c r="U51" s="34"/>
      <c r="V51" s="34"/>
    </row>
    <row r="52" spans="2:22" ht="13.15" x14ac:dyDescent="0.35">
      <c r="B52" s="368"/>
      <c r="D52" s="567"/>
      <c r="E52" s="567"/>
      <c r="F52" s="567"/>
      <c r="G52" s="567"/>
      <c r="H52" s="567"/>
      <c r="I52" s="567"/>
      <c r="J52" s="567"/>
      <c r="K52" s="567"/>
      <c r="L52" s="567"/>
      <c r="M52" s="567"/>
      <c r="N52" s="567"/>
      <c r="O52" s="567"/>
      <c r="P52" s="567"/>
      <c r="Q52" s="567"/>
      <c r="R52" s="567"/>
      <c r="S52" s="567"/>
      <c r="T52" s="567"/>
      <c r="U52" s="567"/>
      <c r="V52" s="567"/>
    </row>
    <row r="53" spans="2:22" ht="13.15" x14ac:dyDescent="0.35">
      <c r="B53" s="368"/>
      <c r="D53" s="567"/>
      <c r="E53" s="567"/>
      <c r="F53" s="567"/>
      <c r="G53" s="567"/>
      <c r="H53" s="567"/>
      <c r="I53" s="567"/>
      <c r="J53" s="567"/>
      <c r="K53" s="567"/>
      <c r="L53" s="567"/>
      <c r="M53" s="567"/>
      <c r="N53" s="567"/>
      <c r="O53" s="567"/>
      <c r="P53" s="567"/>
      <c r="Q53" s="567"/>
      <c r="R53" s="567"/>
      <c r="S53" s="567"/>
      <c r="T53" s="567"/>
      <c r="U53" s="567"/>
      <c r="V53" s="567"/>
    </row>
    <row r="54" spans="2:22" ht="13.15" x14ac:dyDescent="0.35">
      <c r="B54" s="368"/>
      <c r="D54" s="569"/>
      <c r="E54" s="567"/>
      <c r="F54" s="567"/>
      <c r="G54" s="567"/>
      <c r="H54" s="567"/>
      <c r="I54" s="567"/>
      <c r="J54" s="567"/>
      <c r="K54" s="567"/>
      <c r="L54" s="567"/>
      <c r="M54" s="567"/>
      <c r="N54" s="567"/>
      <c r="O54" s="567"/>
      <c r="P54" s="567"/>
      <c r="Q54" s="567"/>
      <c r="R54" s="567"/>
      <c r="S54" s="567"/>
      <c r="T54" s="567"/>
      <c r="U54" s="567"/>
      <c r="V54" s="567"/>
    </row>
    <row r="55" spans="2:22" ht="13.15" x14ac:dyDescent="0.35">
      <c r="B55" s="368"/>
      <c r="D55" s="567"/>
      <c r="E55" s="567"/>
      <c r="F55" s="567"/>
      <c r="G55" s="567"/>
      <c r="H55" s="567"/>
      <c r="I55" s="567"/>
      <c r="J55" s="567"/>
      <c r="K55" s="567"/>
      <c r="L55" s="567"/>
      <c r="M55" s="567"/>
      <c r="N55" s="567"/>
      <c r="O55" s="567"/>
      <c r="P55" s="567"/>
      <c r="Q55" s="567"/>
      <c r="R55" s="567"/>
      <c r="S55" s="567"/>
      <c r="T55" s="567"/>
      <c r="U55" s="567"/>
      <c r="V55" s="567"/>
    </row>
    <row r="56" spans="2:22" ht="13.15" x14ac:dyDescent="0.35">
      <c r="B56" s="368"/>
      <c r="D56" s="567"/>
      <c r="E56" s="567"/>
      <c r="F56" s="567"/>
      <c r="G56" s="567"/>
      <c r="H56" s="567"/>
      <c r="I56" s="567"/>
      <c r="J56" s="567"/>
      <c r="K56" s="567"/>
      <c r="L56" s="567"/>
      <c r="M56" s="567"/>
      <c r="N56" s="567"/>
      <c r="O56" s="567"/>
      <c r="P56" s="567"/>
      <c r="Q56" s="567"/>
      <c r="R56" s="567"/>
      <c r="S56" s="567"/>
      <c r="T56" s="567"/>
      <c r="U56" s="567"/>
      <c r="V56" s="567"/>
    </row>
    <row r="57" spans="2:22" ht="13.15" x14ac:dyDescent="0.35">
      <c r="B57" s="368"/>
      <c r="D57" s="567"/>
      <c r="E57" s="567"/>
      <c r="F57" s="567"/>
      <c r="G57" s="567"/>
      <c r="H57" s="567"/>
      <c r="I57" s="567"/>
      <c r="J57" s="567"/>
      <c r="K57" s="567"/>
      <c r="L57" s="567"/>
      <c r="M57" s="567"/>
      <c r="N57" s="567"/>
      <c r="O57" s="567"/>
      <c r="P57" s="567"/>
      <c r="Q57" s="567"/>
      <c r="R57" s="567"/>
      <c r="S57" s="567"/>
      <c r="T57" s="567"/>
      <c r="U57" s="567"/>
      <c r="V57" s="567"/>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8" priority="1" stopIfTrue="1" operator="equal">
      <formula>""</formula>
    </cfRule>
  </conditionalFormatting>
  <conditionalFormatting sqref="N13 R13">
    <cfRule type="cellIs" dxfId="7"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K16" sqref="K16"/>
    </sheetView>
  </sheetViews>
  <sheetFormatPr defaultColWidth="9.1328125" defaultRowHeight="12.75" x14ac:dyDescent="0.35"/>
  <cols>
    <col min="1" max="1" width="1.73046875" style="5" customWidth="1"/>
    <col min="2" max="2" width="5.86328125" style="5" customWidth="1"/>
    <col min="3" max="3" width="5.73046875" style="5" customWidth="1"/>
    <col min="4" max="4" width="22.265625" style="5" customWidth="1"/>
    <col min="5" max="5" width="15.265625" style="5" customWidth="1"/>
    <col min="6" max="6" width="1.73046875" style="5" customWidth="1"/>
    <col min="7" max="7" width="15.73046875" style="5" customWidth="1"/>
    <col min="8" max="8" width="1.73046875" style="5" customWidth="1"/>
    <col min="9" max="9" width="3.3984375" style="5" customWidth="1"/>
    <col min="10" max="10" width="1.73046875" style="5" customWidth="1"/>
    <col min="11" max="11" width="15.73046875" style="5" customWidth="1"/>
    <col min="12" max="12" width="1.73046875" style="5" customWidth="1"/>
    <col min="13" max="13" width="3.3984375" style="5" customWidth="1"/>
    <col min="14" max="14" width="1.73046875" style="5" customWidth="1"/>
    <col min="15" max="15" width="15.73046875" style="5" customWidth="1"/>
    <col min="16" max="16" width="1.265625" style="5" customWidth="1"/>
    <col min="17" max="17" width="5.73046875" style="5" customWidth="1"/>
    <col min="18" max="18" width="8.265625" style="5" customWidth="1"/>
    <col min="19" max="16384" width="9.1328125" style="5"/>
  </cols>
  <sheetData>
    <row r="1" spans="2:16" s="2" customFormat="1" ht="23.25" x14ac:dyDescent="0.35">
      <c r="D1" s="546"/>
      <c r="E1" s="546"/>
      <c r="F1" s="546"/>
      <c r="G1" s="546"/>
      <c r="H1" s="546"/>
      <c r="I1" s="546"/>
      <c r="J1" s="546"/>
      <c r="K1" s="546"/>
      <c r="L1" s="546"/>
      <c r="M1" s="546"/>
      <c r="N1" s="1"/>
      <c r="O1" s="147"/>
      <c r="P1" s="147"/>
    </row>
    <row r="2" spans="2:16" s="2" customFormat="1" ht="17.25" x14ac:dyDescent="0.45">
      <c r="C2" s="550"/>
      <c r="D2" s="550"/>
      <c r="E2" s="550"/>
      <c r="F2" s="550"/>
      <c r="G2" s="550"/>
      <c r="H2" s="550"/>
      <c r="I2" s="550"/>
      <c r="J2" s="550"/>
      <c r="K2" s="550"/>
      <c r="L2" s="550"/>
      <c r="M2" s="550"/>
      <c r="N2" s="550"/>
      <c r="O2" s="550"/>
      <c r="P2" s="36"/>
    </row>
    <row r="3" spans="2:16" s="2" customFormat="1" ht="17.25" x14ac:dyDescent="0.45">
      <c r="C3" s="550"/>
      <c r="D3" s="550"/>
      <c r="E3" s="550"/>
      <c r="F3" s="550"/>
      <c r="G3" s="550"/>
      <c r="H3" s="36"/>
      <c r="I3" s="36"/>
      <c r="J3" s="36"/>
      <c r="K3" s="36"/>
      <c r="L3" s="33"/>
      <c r="M3" s="33"/>
      <c r="N3" s="33"/>
      <c r="O3" s="33"/>
      <c r="P3" s="33"/>
    </row>
    <row r="4" spans="2:16" s="2" customFormat="1" ht="17.25" x14ac:dyDescent="0.45">
      <c r="C4" s="550"/>
      <c r="D4" s="550"/>
      <c r="E4" s="550"/>
      <c r="F4" s="550"/>
      <c r="G4" s="550"/>
      <c r="H4" s="36"/>
      <c r="I4" s="36"/>
      <c r="J4" s="36"/>
      <c r="K4" s="36"/>
      <c r="L4" s="33"/>
      <c r="M4" s="33"/>
      <c r="N4" s="33"/>
      <c r="O4" s="33"/>
      <c r="P4" s="33"/>
    </row>
    <row r="5" spans="2:16" s="2" customFormat="1" ht="15" x14ac:dyDescent="0.4">
      <c r="C5" s="33"/>
      <c r="D5" s="33"/>
      <c r="E5" s="97"/>
      <c r="F5" s="97"/>
      <c r="G5" s="33"/>
      <c r="H5" s="33"/>
      <c r="I5" s="33"/>
      <c r="J5" s="33"/>
      <c r="K5" s="33"/>
      <c r="L5" s="33"/>
      <c r="M5" s="33"/>
      <c r="N5" s="33"/>
      <c r="O5" s="33"/>
      <c r="P5" s="33"/>
    </row>
    <row r="6" spans="2:16" s="2" customFormat="1" ht="36.75" customHeight="1" x14ac:dyDescent="0.35"/>
    <row r="8" spans="2:16" ht="15" x14ac:dyDescent="0.4">
      <c r="P8" s="59"/>
    </row>
    <row r="9" spans="2:16" ht="15" x14ac:dyDescent="0.4">
      <c r="B9" s="581" t="s">
        <v>6</v>
      </c>
      <c r="C9" s="581"/>
      <c r="D9" s="581"/>
      <c r="E9" s="581"/>
      <c r="F9" s="581"/>
      <c r="G9" s="581"/>
      <c r="H9" s="581"/>
      <c r="I9" s="581"/>
      <c r="J9" s="581"/>
      <c r="K9" s="581"/>
      <c r="L9" s="581"/>
      <c r="M9" s="581"/>
      <c r="P9" s="59"/>
    </row>
    <row r="10" spans="2:16" ht="15" x14ac:dyDescent="0.4">
      <c r="P10" s="59"/>
    </row>
    <row r="11" spans="2:16" ht="15" x14ac:dyDescent="0.4">
      <c r="P11" s="59"/>
    </row>
    <row r="12" spans="2:16" ht="26.25" x14ac:dyDescent="0.4">
      <c r="B12" s="389" t="s">
        <v>37</v>
      </c>
      <c r="D12" s="42" t="s">
        <v>59</v>
      </c>
      <c r="E12" s="44"/>
      <c r="F12" s="44"/>
      <c r="G12" s="307" t="s">
        <v>4</v>
      </c>
      <c r="H12" s="308"/>
      <c r="I12" s="308"/>
      <c r="J12" s="308"/>
      <c r="K12" s="309" t="str">
        <f>IF(ISBLANK('3. Data_Input_Sheet'!M12),"",'3. Data_Input_Sheet'!M12)</f>
        <v>Application Update</v>
      </c>
      <c r="L12" s="308"/>
      <c r="M12" s="308"/>
      <c r="N12" s="308"/>
      <c r="O12" s="309" t="str">
        <f>'3. Data_Input_Sheet'!U12</f>
        <v>Per Board Decision</v>
      </c>
      <c r="P12" s="145"/>
    </row>
    <row r="13" spans="2:16" x14ac:dyDescent="0.35">
      <c r="B13" s="302"/>
      <c r="F13" s="34"/>
      <c r="L13" s="34"/>
      <c r="M13" s="34"/>
      <c r="N13" s="34"/>
    </row>
    <row r="14" spans="2:16" ht="13.15" x14ac:dyDescent="0.4">
      <c r="B14" s="302"/>
      <c r="D14" s="23" t="s">
        <v>28</v>
      </c>
      <c r="E14" s="98"/>
      <c r="F14" s="99"/>
      <c r="G14" s="98"/>
      <c r="H14" s="98"/>
      <c r="I14" s="98"/>
      <c r="J14" s="98"/>
      <c r="K14" s="98"/>
      <c r="L14" s="99"/>
      <c r="M14" s="99"/>
      <c r="N14" s="99"/>
      <c r="O14" s="98"/>
      <c r="P14" s="98"/>
    </row>
    <row r="15" spans="2:16" x14ac:dyDescent="0.35">
      <c r="B15" s="302"/>
      <c r="F15" s="34"/>
      <c r="L15" s="34"/>
      <c r="M15" s="34"/>
      <c r="N15" s="34"/>
    </row>
    <row r="16" spans="2:16" ht="13.15" x14ac:dyDescent="0.35">
      <c r="B16" s="352">
        <v>1</v>
      </c>
      <c r="D16" s="540" t="s">
        <v>145</v>
      </c>
      <c r="E16" s="540"/>
      <c r="F16" s="34"/>
      <c r="G16" s="250">
        <f>'7. Cost_of_Capital'!P22</f>
        <v>4554.4211055546093</v>
      </c>
      <c r="H16" s="250"/>
      <c r="I16" s="250"/>
      <c r="J16" s="250"/>
      <c r="K16" s="250">
        <f>'7. Cost_of_Capital'!P38</f>
        <v>4061.90839037462</v>
      </c>
      <c r="L16" s="256"/>
      <c r="M16" s="256"/>
      <c r="N16" s="256"/>
      <c r="O16" s="250">
        <f>'7. Cost_of_Capital'!P54</f>
        <v>4187.8666301155035</v>
      </c>
      <c r="P16" s="100"/>
    </row>
    <row r="17" spans="2:21" ht="13.15" x14ac:dyDescent="0.35">
      <c r="B17" s="352"/>
      <c r="F17" s="34"/>
      <c r="G17" s="257"/>
      <c r="H17" s="257"/>
      <c r="I17" s="257"/>
      <c r="J17" s="257"/>
      <c r="K17" s="257"/>
      <c r="L17" s="256"/>
      <c r="M17" s="256"/>
      <c r="N17" s="256"/>
      <c r="O17" s="257"/>
      <c r="P17" s="53"/>
    </row>
    <row r="18" spans="2:21" ht="24.75" customHeight="1" x14ac:dyDescent="0.35">
      <c r="B18" s="352">
        <v>2</v>
      </c>
      <c r="D18" s="582" t="s">
        <v>29</v>
      </c>
      <c r="E18" s="582"/>
      <c r="F18" s="34"/>
      <c r="G18" s="249">
        <f>'3. Data_Input_Sheet'!E44</f>
        <v>-2796.4609740625165</v>
      </c>
      <c r="H18" s="250"/>
      <c r="I18" s="363"/>
      <c r="J18" s="250"/>
      <c r="K18" s="249">
        <f>'3. Data_Input_Sheet'!M44</f>
        <v>-2385.6248629514048</v>
      </c>
      <c r="L18" s="240"/>
      <c r="M18" s="363"/>
      <c r="N18" s="240"/>
      <c r="O18" s="249">
        <f>IF(ISBLANK('3. Data_Input_Sheet'!U44),G18,'3. Data_Input_Sheet'!U44)</f>
        <v>-2407.6248629514048</v>
      </c>
      <c r="P18" s="100"/>
      <c r="Q18" s="363"/>
    </row>
    <row r="19" spans="2:21" ht="13.15" x14ac:dyDescent="0.35">
      <c r="B19" s="352"/>
      <c r="F19" s="34"/>
      <c r="G19" s="257"/>
      <c r="H19" s="257"/>
      <c r="I19" s="257"/>
      <c r="J19" s="257"/>
      <c r="K19" s="257"/>
      <c r="L19" s="256"/>
      <c r="M19" s="256"/>
      <c r="N19" s="256"/>
      <c r="O19" s="257"/>
      <c r="P19" s="53"/>
    </row>
    <row r="20" spans="2:21" ht="13.5" thickBot="1" x14ac:dyDescent="0.4">
      <c r="B20" s="352">
        <v>3</v>
      </c>
      <c r="D20" s="540" t="s">
        <v>30</v>
      </c>
      <c r="E20" s="540"/>
      <c r="F20" s="34"/>
      <c r="G20" s="258">
        <f>G16+G18</f>
        <v>1757.9601314920928</v>
      </c>
      <c r="H20" s="259"/>
      <c r="I20" s="259"/>
      <c r="J20" s="259"/>
      <c r="K20" s="258">
        <f>K16+K18</f>
        <v>1676.2835274232152</v>
      </c>
      <c r="L20" s="256"/>
      <c r="M20" s="256"/>
      <c r="N20" s="256"/>
      <c r="O20" s="258">
        <f>O16+O18</f>
        <v>1780.2417671640987</v>
      </c>
      <c r="P20" s="161"/>
    </row>
    <row r="21" spans="2:21" ht="13.5" thickTop="1" x14ac:dyDescent="0.35">
      <c r="B21" s="352"/>
      <c r="F21" s="34"/>
      <c r="G21" s="257"/>
      <c r="H21" s="257"/>
      <c r="I21" s="257"/>
      <c r="J21" s="257"/>
      <c r="K21" s="257"/>
      <c r="L21" s="256"/>
      <c r="M21" s="256"/>
      <c r="N21" s="256"/>
      <c r="O21" s="257"/>
      <c r="P21" s="53"/>
    </row>
    <row r="22" spans="2:21" ht="13.15" x14ac:dyDescent="0.4">
      <c r="B22" s="352"/>
      <c r="D22" s="27" t="s">
        <v>31</v>
      </c>
      <c r="E22" s="103"/>
      <c r="F22" s="104"/>
      <c r="G22" s="260"/>
      <c r="H22" s="260"/>
      <c r="I22" s="260"/>
      <c r="J22" s="260"/>
      <c r="K22" s="260"/>
      <c r="L22" s="261"/>
      <c r="M22" s="261"/>
      <c r="N22" s="261"/>
      <c r="O22" s="260"/>
      <c r="P22" s="105"/>
    </row>
    <row r="23" spans="2:21" ht="13.15" x14ac:dyDescent="0.35">
      <c r="B23" s="352"/>
      <c r="C23" s="15"/>
      <c r="D23" s="15"/>
      <c r="E23" s="15"/>
      <c r="F23" s="89"/>
      <c r="G23" s="262"/>
      <c r="H23" s="262"/>
      <c r="I23" s="262"/>
      <c r="J23" s="262"/>
      <c r="K23" s="262"/>
      <c r="L23" s="256"/>
      <c r="M23" s="256"/>
      <c r="N23" s="256"/>
      <c r="O23" s="262"/>
      <c r="P23" s="106"/>
      <c r="Q23" s="15"/>
      <c r="R23" s="15"/>
      <c r="S23" s="15"/>
      <c r="T23" s="15"/>
      <c r="U23" s="15"/>
    </row>
    <row r="24" spans="2:21" ht="13.15" x14ac:dyDescent="0.35">
      <c r="B24" s="352">
        <v>4</v>
      </c>
      <c r="C24" s="15"/>
      <c r="D24" s="15" t="s">
        <v>27</v>
      </c>
      <c r="E24" s="15"/>
      <c r="F24" s="89"/>
      <c r="G24" s="250">
        <f>'3. Data_Input_Sheet'!E46</f>
        <v>374.52610151207136</v>
      </c>
      <c r="H24" s="250"/>
      <c r="I24" s="363"/>
      <c r="J24" s="250"/>
      <c r="K24" s="250">
        <f>IF(ISBLANK('3. Data_Input_Sheet'!M46),'6. Taxes_PILs'!G24,'3. Data_Input_Sheet'!M46)</f>
        <v>352.88180143381874</v>
      </c>
      <c r="L24" s="240"/>
      <c r="M24" s="363"/>
      <c r="N24" s="240"/>
      <c r="O24" s="250">
        <f>IF(ISBLANK('3. Data_Input_Sheet'!U46),'6. Taxes_PILs'!K24,'3. Data_Input_Sheet'!U46)</f>
        <v>380.43073496515291</v>
      </c>
      <c r="P24" s="107"/>
      <c r="Q24" s="363"/>
      <c r="R24" s="15"/>
      <c r="S24" s="15"/>
      <c r="T24" s="15"/>
      <c r="U24" s="15"/>
    </row>
    <row r="25" spans="2:21" ht="3" customHeight="1" x14ac:dyDescent="0.35">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ht="13.15" x14ac:dyDescent="0.35">
      <c r="B26" s="352"/>
      <c r="F26" s="34"/>
      <c r="G26" s="559">
        <f>SUM(G24:G25)</f>
        <v>374.52610151207136</v>
      </c>
      <c r="H26" s="49"/>
      <c r="I26" s="49"/>
      <c r="J26" s="49"/>
      <c r="K26" s="559">
        <f>SUM(K24:K25)</f>
        <v>352.88180143381874</v>
      </c>
      <c r="L26" s="108"/>
      <c r="M26" s="108"/>
      <c r="N26" s="163"/>
      <c r="O26" s="559">
        <f>SUM(O24:O25)</f>
        <v>380.43073496515291</v>
      </c>
      <c r="P26" s="49"/>
    </row>
    <row r="27" spans="2:21" ht="13.5" thickBot="1" x14ac:dyDescent="0.4">
      <c r="B27" s="352">
        <v>6</v>
      </c>
      <c r="D27" s="5" t="s">
        <v>32</v>
      </c>
      <c r="F27" s="34"/>
      <c r="G27" s="560"/>
      <c r="H27" s="49"/>
      <c r="I27" s="49"/>
      <c r="J27" s="49"/>
      <c r="K27" s="560"/>
      <c r="L27" s="108"/>
      <c r="M27" s="108"/>
      <c r="N27" s="163"/>
      <c r="O27" s="560"/>
      <c r="P27" s="49"/>
    </row>
    <row r="28" spans="2:21" ht="13.5" thickTop="1" x14ac:dyDescent="0.35">
      <c r="B28" s="352"/>
      <c r="F28" s="34"/>
      <c r="G28" s="265"/>
      <c r="H28" s="265"/>
      <c r="I28" s="265"/>
      <c r="J28" s="265"/>
      <c r="K28" s="265"/>
      <c r="L28" s="256"/>
      <c r="M28" s="256"/>
      <c r="N28" s="242"/>
      <c r="O28" s="265"/>
      <c r="P28" s="109"/>
    </row>
    <row r="29" spans="2:21" ht="13.15" x14ac:dyDescent="0.35">
      <c r="B29" s="352">
        <v>7</v>
      </c>
      <c r="D29" s="5" t="s">
        <v>96</v>
      </c>
      <c r="F29" s="34"/>
      <c r="G29" s="255">
        <f>(G24/(1-G41))-G24</f>
        <v>121.59446893524193</v>
      </c>
      <c r="H29" s="254"/>
      <c r="I29" s="254"/>
      <c r="J29" s="254"/>
      <c r="K29" s="255">
        <f>(K24/(1-K41))-K24</f>
        <v>113.96746597704225</v>
      </c>
      <c r="L29" s="263"/>
      <c r="M29" s="263"/>
      <c r="N29" s="264"/>
      <c r="O29" s="255">
        <f>(O24/(1-O41))-O24</f>
        <v>123.67788140395777</v>
      </c>
      <c r="P29" s="49"/>
    </row>
    <row r="30" spans="2:21" ht="13.15" x14ac:dyDescent="0.35">
      <c r="B30" s="352"/>
      <c r="F30" s="34"/>
      <c r="G30" s="254"/>
      <c r="H30" s="254"/>
      <c r="I30" s="254"/>
      <c r="J30" s="254"/>
      <c r="K30" s="254"/>
      <c r="L30" s="263"/>
      <c r="M30" s="263"/>
      <c r="N30" s="264"/>
      <c r="O30" s="254"/>
      <c r="P30" s="49"/>
    </row>
    <row r="31" spans="2:21" ht="13.5" thickBot="1" x14ac:dyDescent="0.4">
      <c r="B31" s="352">
        <v>8</v>
      </c>
      <c r="D31" s="5" t="s">
        <v>106</v>
      </c>
      <c r="F31" s="34"/>
      <c r="G31" s="266">
        <f>G24+G29</f>
        <v>496.1205704473133</v>
      </c>
      <c r="H31" s="254"/>
      <c r="I31" s="254"/>
      <c r="J31" s="254"/>
      <c r="K31" s="266">
        <f>K24+K29</f>
        <v>466.84926741086099</v>
      </c>
      <c r="L31" s="263"/>
      <c r="M31" s="263"/>
      <c r="N31" s="264"/>
      <c r="O31" s="266">
        <f>O24+O29</f>
        <v>504.10861636911068</v>
      </c>
      <c r="P31" s="49"/>
    </row>
    <row r="32" spans="2:21" ht="13.5" thickTop="1" x14ac:dyDescent="0.35">
      <c r="B32" s="352"/>
      <c r="F32" s="34"/>
      <c r="G32" s="254"/>
      <c r="H32" s="254"/>
      <c r="I32" s="254"/>
      <c r="J32" s="254"/>
      <c r="K32" s="254"/>
      <c r="L32" s="263"/>
      <c r="M32" s="263"/>
      <c r="N32" s="264"/>
      <c r="O32" s="254"/>
      <c r="P32" s="49"/>
    </row>
    <row r="33" spans="2:17" ht="25.5" customHeight="1" thickBot="1" x14ac:dyDescent="0.4">
      <c r="B33" s="352">
        <v>9</v>
      </c>
      <c r="D33" s="543" t="s">
        <v>107</v>
      </c>
      <c r="E33" s="543"/>
      <c r="F33" s="34"/>
      <c r="G33" s="142">
        <f>G26+G29</f>
        <v>496.1205704473133</v>
      </c>
      <c r="H33" s="49"/>
      <c r="I33" s="49"/>
      <c r="J33" s="49"/>
      <c r="K33" s="142">
        <f>K29+K26</f>
        <v>466.84926741086099</v>
      </c>
      <c r="L33" s="108"/>
      <c r="M33" s="108"/>
      <c r="N33" s="163"/>
      <c r="O33" s="142">
        <f>O29+O26</f>
        <v>504.10861636911068</v>
      </c>
      <c r="P33" s="49"/>
    </row>
    <row r="34" spans="2:17" ht="12.75" customHeight="1" thickTop="1" x14ac:dyDescent="0.35">
      <c r="B34" s="352"/>
      <c r="D34" s="28"/>
      <c r="E34" s="28"/>
      <c r="F34" s="34"/>
      <c r="G34" s="254"/>
      <c r="H34" s="254"/>
      <c r="I34" s="254"/>
      <c r="J34" s="254"/>
      <c r="K34" s="254"/>
      <c r="L34" s="263"/>
      <c r="M34" s="263"/>
      <c r="N34" s="264"/>
      <c r="O34" s="254"/>
      <c r="P34" s="49"/>
    </row>
    <row r="35" spans="2:17" ht="14.25" customHeight="1" x14ac:dyDescent="0.35">
      <c r="B35" s="352">
        <v>10</v>
      </c>
      <c r="D35" s="28" t="s">
        <v>131</v>
      </c>
      <c r="E35" s="28"/>
      <c r="F35" s="34"/>
      <c r="G35" s="254">
        <f>'3. Data_Input_Sheet'!E51</f>
        <v>-56.333333333333336</v>
      </c>
      <c r="H35" s="254"/>
      <c r="I35" s="363"/>
      <c r="J35" s="254"/>
      <c r="K35" s="254">
        <f>IF(ISBLANK('3. Data_Input_Sheet'!M51),G35,'3. Data_Input_Sheet'!M51)</f>
        <v>-56.333333333333336</v>
      </c>
      <c r="L35" s="240"/>
      <c r="M35" s="363"/>
      <c r="N35" s="267"/>
      <c r="O35" s="254">
        <f>IF(ISBLANK('3. Data_Input_Sheet'!U51),K35,'3. Data_Input_Sheet'!U51)</f>
        <v>-56.333333333333336</v>
      </c>
      <c r="P35" s="49"/>
      <c r="Q35" s="363"/>
    </row>
    <row r="36" spans="2:17" ht="13.15" x14ac:dyDescent="0.35">
      <c r="B36" s="352"/>
      <c r="F36" s="34"/>
      <c r="L36" s="30"/>
      <c r="M36" s="34"/>
      <c r="N36" s="30"/>
    </row>
    <row r="37" spans="2:17" ht="13.15" x14ac:dyDescent="0.4">
      <c r="B37" s="352"/>
      <c r="D37" s="27" t="s">
        <v>33</v>
      </c>
      <c r="E37" s="110"/>
      <c r="F37" s="111"/>
      <c r="G37" s="110"/>
      <c r="H37" s="110"/>
      <c r="I37" s="110"/>
      <c r="J37" s="110"/>
      <c r="L37" s="164"/>
      <c r="M37" s="111"/>
      <c r="N37" s="164"/>
    </row>
    <row r="38" spans="2:17" ht="13.15" x14ac:dyDescent="0.35">
      <c r="B38" s="352"/>
      <c r="F38" s="34"/>
      <c r="G38" s="112"/>
      <c r="H38" s="112"/>
      <c r="I38" s="112"/>
      <c r="J38" s="112"/>
      <c r="K38" s="114"/>
      <c r="L38" s="165"/>
      <c r="M38" s="113"/>
      <c r="N38" s="165"/>
      <c r="O38" s="114"/>
      <c r="P38" s="114"/>
    </row>
    <row r="39" spans="2:17" ht="13.15" x14ac:dyDescent="0.35">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ht="13.15" x14ac:dyDescent="0.35">
      <c r="B40" s="352">
        <v>12</v>
      </c>
      <c r="D40" s="5" t="s">
        <v>137</v>
      </c>
      <c r="F40" s="34"/>
      <c r="G40" s="81">
        <f>'3. Data_Input_Sheet'!E50</f>
        <v>9.5090561001350327E-2</v>
      </c>
      <c r="H40" s="80"/>
      <c r="I40" s="363"/>
      <c r="J40" s="80"/>
      <c r="K40" s="93">
        <f>IF(ISBLANK('3. Data_Input_Sheet'!M50),G40,'3. Data_Input_Sheet'!M50)</f>
        <v>9.4120477277610651E-2</v>
      </c>
      <c r="L40" s="180"/>
      <c r="M40" s="363"/>
      <c r="N40" s="180"/>
      <c r="O40" s="93">
        <f>IF(ISBLANK('3. Data_Input_Sheet'!U50),K40,'3. Data_Input_Sheet'!U50)</f>
        <v>9.5339748990523623E-2</v>
      </c>
      <c r="P40" s="92"/>
      <c r="Q40" s="363"/>
    </row>
    <row r="41" spans="2:17" ht="13.5" thickBot="1" x14ac:dyDescent="0.4">
      <c r="B41" s="352">
        <v>13</v>
      </c>
      <c r="D41" s="5" t="s">
        <v>138</v>
      </c>
      <c r="F41" s="34"/>
      <c r="G41" s="116">
        <f>G39+G40</f>
        <v>0.24509056100135035</v>
      </c>
      <c r="H41" s="162"/>
      <c r="I41" s="162"/>
      <c r="J41" s="162"/>
      <c r="K41" s="118">
        <f>K39+K40</f>
        <v>0.24412047727761066</v>
      </c>
      <c r="L41" s="117"/>
      <c r="M41" s="117"/>
      <c r="N41" s="117"/>
      <c r="O41" s="118">
        <f>O39+O40</f>
        <v>0.24533974899052363</v>
      </c>
      <c r="P41" s="91"/>
    </row>
    <row r="42" spans="2:17" ht="13.15" thickTop="1" x14ac:dyDescent="0.35">
      <c r="F42" s="34"/>
      <c r="L42" s="34"/>
      <c r="M42" s="34"/>
      <c r="N42" s="34"/>
    </row>
    <row r="43" spans="2:17" x14ac:dyDescent="0.35">
      <c r="L43" s="34"/>
      <c r="M43" s="34"/>
      <c r="N43" s="34"/>
    </row>
    <row r="44" spans="2:17" ht="13.15" x14ac:dyDescent="0.4">
      <c r="B44" s="580" t="s">
        <v>38</v>
      </c>
      <c r="C44" s="580"/>
      <c r="D44" s="580"/>
      <c r="E44" s="580"/>
      <c r="F44" s="580"/>
      <c r="G44" s="580"/>
      <c r="H44" s="580"/>
      <c r="I44" s="580"/>
      <c r="J44" s="580"/>
      <c r="K44" s="580"/>
      <c r="L44" s="580"/>
      <c r="M44" s="580"/>
      <c r="N44" s="580"/>
      <c r="O44" s="580"/>
      <c r="P44" s="157"/>
    </row>
    <row r="45" spans="2:17" ht="12.75" customHeight="1" x14ac:dyDescent="0.4">
      <c r="B45" s="324"/>
      <c r="C45" s="325"/>
      <c r="D45" s="583" t="s">
        <v>148</v>
      </c>
      <c r="E45" s="583"/>
      <c r="F45" s="583"/>
      <c r="G45" s="583"/>
      <c r="H45" s="583"/>
      <c r="I45" s="583"/>
      <c r="J45" s="583"/>
      <c r="K45" s="583"/>
      <c r="L45" s="583"/>
      <c r="M45" s="583"/>
      <c r="N45" s="583"/>
      <c r="O45" s="583"/>
      <c r="P45" s="177"/>
    </row>
    <row r="46" spans="2:17" ht="13.15" x14ac:dyDescent="0.4">
      <c r="B46" s="370"/>
      <c r="D46" s="566"/>
      <c r="E46" s="566"/>
      <c r="F46" s="566"/>
      <c r="G46" s="566"/>
      <c r="H46" s="566"/>
      <c r="I46" s="566"/>
      <c r="J46" s="566"/>
      <c r="K46" s="566"/>
      <c r="L46" s="566"/>
      <c r="M46" s="566"/>
      <c r="N46" s="566"/>
      <c r="O46" s="566"/>
      <c r="P46" s="177"/>
    </row>
    <row r="47" spans="2:17" ht="13.15" x14ac:dyDescent="0.4">
      <c r="B47" s="370"/>
      <c r="D47" s="369"/>
      <c r="E47" s="369"/>
      <c r="F47" s="369"/>
      <c r="G47" s="369"/>
      <c r="H47" s="369"/>
      <c r="I47" s="369"/>
      <c r="J47" s="369"/>
      <c r="K47" s="369"/>
      <c r="L47" s="369"/>
      <c r="M47" s="369"/>
      <c r="N47" s="369"/>
      <c r="O47" s="369"/>
      <c r="P47" s="177"/>
    </row>
    <row r="48" spans="2:17" ht="13.15" x14ac:dyDescent="0.4">
      <c r="B48" s="370"/>
      <c r="D48" s="369"/>
      <c r="E48" s="369"/>
      <c r="F48" s="369"/>
      <c r="G48" s="369"/>
      <c r="H48" s="369"/>
      <c r="I48" s="369"/>
      <c r="J48" s="369"/>
      <c r="K48" s="369"/>
      <c r="L48" s="369"/>
      <c r="M48" s="369"/>
      <c r="N48" s="369"/>
      <c r="O48" s="369"/>
      <c r="P48" s="177"/>
    </row>
    <row r="49" spans="2:16" ht="13.15" x14ac:dyDescent="0.4">
      <c r="B49" s="370"/>
      <c r="D49" s="369"/>
      <c r="E49" s="369"/>
      <c r="F49" s="369"/>
      <c r="G49" s="369"/>
      <c r="H49" s="369"/>
      <c r="I49" s="369"/>
      <c r="J49" s="369"/>
      <c r="K49" s="369"/>
      <c r="L49" s="369"/>
      <c r="M49" s="369"/>
      <c r="N49" s="369"/>
      <c r="O49" s="369"/>
      <c r="P49" s="177"/>
    </row>
    <row r="50" spans="2:16" ht="13.15" x14ac:dyDescent="0.4">
      <c r="B50" s="370"/>
      <c r="D50" s="566"/>
      <c r="E50" s="566"/>
      <c r="F50" s="566"/>
      <c r="G50" s="566"/>
      <c r="H50" s="566"/>
      <c r="I50" s="566"/>
      <c r="J50" s="566"/>
      <c r="K50" s="566"/>
      <c r="L50" s="566"/>
      <c r="M50" s="566"/>
      <c r="N50" s="566"/>
      <c r="O50" s="566"/>
      <c r="P50" s="177"/>
    </row>
    <row r="51" spans="2:16" ht="13.15" x14ac:dyDescent="0.4">
      <c r="B51" s="370"/>
      <c r="D51" s="566"/>
      <c r="E51" s="566"/>
      <c r="F51" s="566"/>
      <c r="G51" s="566"/>
      <c r="H51" s="566"/>
      <c r="I51" s="566"/>
      <c r="J51" s="566"/>
      <c r="K51" s="566"/>
      <c r="L51" s="566"/>
      <c r="M51" s="566"/>
      <c r="N51" s="566"/>
      <c r="O51" s="566"/>
      <c r="P51" s="177"/>
    </row>
    <row r="52" spans="2:16" ht="13.15" x14ac:dyDescent="0.4">
      <c r="B52" s="370"/>
      <c r="D52" s="566"/>
      <c r="E52" s="566"/>
      <c r="F52" s="566"/>
      <c r="G52" s="566"/>
      <c r="H52" s="566"/>
      <c r="I52" s="566"/>
      <c r="J52" s="566"/>
      <c r="K52" s="566"/>
      <c r="L52" s="566"/>
      <c r="M52" s="566"/>
      <c r="N52" s="566"/>
      <c r="O52" s="566"/>
      <c r="P52" s="177"/>
    </row>
    <row r="53" spans="2:16" ht="13.15" x14ac:dyDescent="0.4">
      <c r="B53" s="370"/>
      <c r="D53" s="566"/>
      <c r="E53" s="566"/>
      <c r="F53" s="566"/>
      <c r="G53" s="566"/>
      <c r="H53" s="566"/>
      <c r="I53" s="566"/>
      <c r="J53" s="566"/>
      <c r="K53" s="566"/>
      <c r="L53" s="566"/>
      <c r="M53" s="566"/>
      <c r="N53" s="566"/>
      <c r="O53" s="56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6"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3" zoomScaleNormal="100" zoomScaleSheetLayoutView="100" workbookViewId="0">
      <selection activeCell="J58" sqref="J58"/>
    </sheetView>
  </sheetViews>
  <sheetFormatPr defaultColWidth="9.1328125" defaultRowHeight="12.75" x14ac:dyDescent="0.35"/>
  <cols>
    <col min="1" max="1" width="2.73046875" style="5" customWidth="1"/>
    <col min="2" max="2" width="5" style="5" customWidth="1"/>
    <col min="3" max="3" width="6.73046875" style="5" customWidth="1"/>
    <col min="4" max="4" width="17.265625" style="5" customWidth="1"/>
    <col min="5" max="5" width="3.73046875" style="5" customWidth="1"/>
    <col min="6" max="6" width="9.265625" style="5" customWidth="1"/>
    <col min="7" max="7" width="2.73046875" style="5" customWidth="1"/>
    <col min="8" max="8" width="3.73046875" style="5" customWidth="1"/>
    <col min="9" max="9" width="2.73046875" style="5" customWidth="1"/>
    <col min="10" max="10" width="18.73046875" style="5" customWidth="1"/>
    <col min="11" max="11" width="2.73046875" style="5" customWidth="1"/>
    <col min="12" max="12" width="9" style="5" customWidth="1"/>
    <col min="13" max="13" width="2.73046875" style="5" customWidth="1"/>
    <col min="14" max="14" width="3.86328125" style="5" customWidth="1"/>
    <col min="15" max="15" width="2.73046875" style="5" customWidth="1"/>
    <col min="16" max="16" width="16.73046875" style="5" customWidth="1"/>
    <col min="17" max="17" width="2.73046875" style="5" customWidth="1"/>
    <col min="18" max="18" width="2.86328125" style="5" customWidth="1"/>
    <col min="19" max="19" width="3" style="5" customWidth="1"/>
    <col min="20" max="20" width="4.1328125" style="5" customWidth="1"/>
    <col min="21" max="16384" width="9.1328125" style="5"/>
  </cols>
  <sheetData>
    <row r="1" spans="1:18" s="2" customFormat="1" ht="36.75" customHeight="1" x14ac:dyDescent="0.35">
      <c r="C1" s="584"/>
      <c r="D1" s="584"/>
      <c r="E1" s="584"/>
      <c r="F1" s="584"/>
      <c r="G1" s="584"/>
      <c r="H1" s="584"/>
      <c r="I1" s="584"/>
      <c r="J1" s="584"/>
      <c r="K1" s="584"/>
      <c r="L1" s="584"/>
      <c r="M1" s="584"/>
      <c r="N1" s="584"/>
      <c r="O1" s="154"/>
      <c r="P1" s="147"/>
    </row>
    <row r="2" spans="1:18" s="2" customFormat="1" ht="36.75" customHeight="1" x14ac:dyDescent="0.45">
      <c r="C2" s="585"/>
      <c r="D2" s="585"/>
      <c r="E2" s="585"/>
      <c r="F2" s="585"/>
      <c r="G2" s="585"/>
      <c r="H2" s="585"/>
      <c r="I2" s="585"/>
      <c r="J2" s="585"/>
      <c r="K2" s="585"/>
      <c r="L2" s="585"/>
      <c r="M2" s="585"/>
      <c r="N2" s="585"/>
      <c r="O2" s="585"/>
      <c r="P2" s="585"/>
      <c r="Q2" s="585"/>
      <c r="R2" s="585"/>
    </row>
    <row r="3" spans="1:18" s="2" customFormat="1" ht="36.75" customHeight="1" x14ac:dyDescent="0.45">
      <c r="C3" s="585"/>
      <c r="D3" s="585"/>
      <c r="E3" s="585"/>
      <c r="F3" s="585"/>
      <c r="G3" s="585"/>
      <c r="H3" s="585"/>
      <c r="I3" s="585"/>
      <c r="J3" s="585"/>
      <c r="K3" s="585"/>
      <c r="L3" s="585"/>
      <c r="M3" s="585"/>
      <c r="N3" s="585"/>
      <c r="O3" s="155"/>
    </row>
    <row r="4" spans="1:18" s="2" customFormat="1" ht="36.75" customHeight="1" x14ac:dyDescent="0.45">
      <c r="C4" s="585"/>
      <c r="D4" s="585"/>
      <c r="E4" s="585"/>
      <c r="F4" s="585"/>
      <c r="G4" s="585"/>
      <c r="H4" s="585"/>
      <c r="I4" s="585"/>
      <c r="J4" s="585"/>
      <c r="K4" s="38"/>
      <c r="L4" s="38"/>
      <c r="M4" s="38"/>
      <c r="N4" s="38"/>
      <c r="O4" s="38"/>
    </row>
    <row r="5" spans="1:18" s="2" customFormat="1" ht="36.75" customHeight="1" x14ac:dyDescent="0.35">
      <c r="B5" s="587" t="s">
        <v>50</v>
      </c>
      <c r="C5" s="587"/>
      <c r="D5" s="587"/>
      <c r="E5" s="587"/>
      <c r="F5" s="587"/>
      <c r="G5" s="587"/>
      <c r="H5" s="587"/>
      <c r="I5" s="587"/>
      <c r="J5" s="587"/>
      <c r="K5" s="587"/>
      <c r="L5" s="587"/>
      <c r="M5" s="587"/>
      <c r="N5" s="587"/>
    </row>
    <row r="6" spans="1:18" s="2" customFormat="1" ht="2.25" customHeight="1" x14ac:dyDescent="0.35"/>
    <row r="7" spans="1:18" ht="2.25" customHeight="1" x14ac:dyDescent="0.35"/>
    <row r="8" spans="1:18" ht="2.25" customHeight="1" x14ac:dyDescent="0.4">
      <c r="Q8" s="58"/>
    </row>
    <row r="9" spans="1:18" ht="2.25" customHeight="1" x14ac:dyDescent="0.35"/>
    <row r="10" spans="1:18" x14ac:dyDescent="0.35">
      <c r="C10" s="34"/>
      <c r="D10" s="34"/>
      <c r="E10" s="34"/>
      <c r="F10" s="34"/>
      <c r="G10" s="34"/>
      <c r="H10" s="34"/>
      <c r="I10" s="34"/>
      <c r="J10" s="34"/>
      <c r="K10" s="34"/>
      <c r="L10" s="34"/>
      <c r="M10" s="34"/>
      <c r="N10" s="34"/>
      <c r="O10" s="34"/>
      <c r="P10" s="34"/>
      <c r="Q10" s="34"/>
    </row>
    <row r="11" spans="1:18" ht="26.25" x14ac:dyDescent="0.4">
      <c r="A11" s="4"/>
      <c r="B11" s="41" t="s">
        <v>37</v>
      </c>
      <c r="C11" s="34"/>
      <c r="D11" s="42" t="s">
        <v>36</v>
      </c>
      <c r="E11" s="34"/>
      <c r="F11" s="588" t="s">
        <v>46</v>
      </c>
      <c r="G11" s="588"/>
      <c r="H11" s="588"/>
      <c r="I11" s="588"/>
      <c r="J11" s="588"/>
      <c r="K11" s="75"/>
      <c r="L11" s="42" t="s">
        <v>21</v>
      </c>
      <c r="M11" s="44"/>
      <c r="N11" s="34"/>
      <c r="O11" s="34"/>
      <c r="P11" s="42" t="s">
        <v>22</v>
      </c>
      <c r="Q11" s="34"/>
    </row>
    <row r="12" spans="1:18" ht="13.15" x14ac:dyDescent="0.4">
      <c r="A12" s="4"/>
      <c r="B12" s="4"/>
      <c r="C12" s="34"/>
      <c r="D12" s="34"/>
      <c r="E12" s="34"/>
      <c r="F12" s="34"/>
      <c r="G12" s="34"/>
      <c r="H12" s="34"/>
      <c r="I12" s="34"/>
      <c r="J12" s="76"/>
      <c r="K12" s="76"/>
      <c r="L12" s="34"/>
      <c r="M12" s="34"/>
      <c r="N12" s="34"/>
      <c r="O12" s="34"/>
      <c r="P12" s="34"/>
      <c r="Q12" s="34"/>
    </row>
    <row r="13" spans="1:18" ht="13.15" x14ac:dyDescent="0.4">
      <c r="A13" s="4"/>
      <c r="B13" s="66"/>
      <c r="C13" s="34"/>
      <c r="D13" s="34"/>
      <c r="E13" s="34"/>
      <c r="F13" s="586" t="s">
        <v>155</v>
      </c>
      <c r="G13" s="586"/>
      <c r="H13" s="586"/>
      <c r="I13" s="586"/>
      <c r="J13" s="586"/>
      <c r="K13" s="76"/>
      <c r="L13" s="34"/>
      <c r="M13" s="34"/>
      <c r="N13" s="34"/>
      <c r="O13" s="34"/>
      <c r="P13" s="34"/>
      <c r="Q13" s="34"/>
    </row>
    <row r="14" spans="1:18" ht="13.15" x14ac:dyDescent="0.4">
      <c r="A14" s="4"/>
      <c r="B14" s="66"/>
      <c r="C14" s="77"/>
      <c r="D14" s="590"/>
      <c r="E14" s="590"/>
      <c r="F14" s="590"/>
      <c r="G14" s="590"/>
      <c r="H14" s="590"/>
      <c r="I14" s="590"/>
      <c r="J14" s="590"/>
      <c r="K14" s="590"/>
      <c r="L14" s="590"/>
      <c r="M14" s="590"/>
      <c r="N14" s="590"/>
      <c r="O14" s="590"/>
      <c r="P14" s="590"/>
      <c r="Q14" s="34"/>
    </row>
    <row r="15" spans="1:18" ht="13.15" x14ac:dyDescent="0.4">
      <c r="A15" s="4"/>
      <c r="B15" s="66"/>
      <c r="C15" s="34"/>
      <c r="D15" s="34"/>
      <c r="E15" s="34"/>
      <c r="F15" s="170" t="s">
        <v>20</v>
      </c>
      <c r="G15" s="170"/>
      <c r="H15" s="170"/>
      <c r="I15" s="170"/>
      <c r="J15" s="170" t="s">
        <v>8</v>
      </c>
      <c r="K15" s="76"/>
      <c r="L15" s="170" t="s">
        <v>20</v>
      </c>
      <c r="M15" s="170"/>
      <c r="N15" s="76"/>
      <c r="O15" s="76"/>
      <c r="P15" s="76" t="s">
        <v>8</v>
      </c>
      <c r="Q15" s="34"/>
    </row>
    <row r="16" spans="1:18" ht="13.15" x14ac:dyDescent="0.4">
      <c r="A16" s="4"/>
      <c r="B16" s="66"/>
      <c r="C16" s="34"/>
      <c r="D16" s="79" t="s">
        <v>11</v>
      </c>
      <c r="E16" s="34"/>
      <c r="F16" s="34"/>
      <c r="G16" s="34"/>
      <c r="H16" s="34"/>
      <c r="I16" s="34"/>
      <c r="J16" s="34"/>
      <c r="K16" s="34"/>
      <c r="L16" s="34"/>
      <c r="M16" s="34"/>
      <c r="N16" s="34"/>
      <c r="O16" s="34"/>
      <c r="P16" s="34"/>
      <c r="Q16" s="34"/>
    </row>
    <row r="17" spans="1:18" ht="13.15" x14ac:dyDescent="0.4">
      <c r="A17" s="4"/>
      <c r="B17" s="66">
        <v>1</v>
      </c>
      <c r="C17" s="34"/>
      <c r="D17" s="78" t="s">
        <v>12</v>
      </c>
      <c r="E17" s="34"/>
      <c r="F17" s="80">
        <f>'3. Data_Input_Sheet'!E55</f>
        <v>0.56000000000000005</v>
      </c>
      <c r="G17" s="80"/>
      <c r="H17" s="367"/>
      <c r="I17" s="186"/>
      <c r="J17" s="47">
        <f>$J$26*F17</f>
        <v>69381.823153171441</v>
      </c>
      <c r="K17" s="34"/>
      <c r="L17" s="80">
        <f>'3. Data_Input_Sheet'!E62</f>
        <v>4.0257509989259838E-2</v>
      </c>
      <c r="M17" s="80"/>
      <c r="N17" s="367"/>
      <c r="O17" s="186"/>
      <c r="P17" s="47">
        <f>L17*J17</f>
        <v>2793.1394386618585</v>
      </c>
      <c r="Q17" s="34"/>
    </row>
    <row r="18" spans="1:18" ht="13.15" x14ac:dyDescent="0.4">
      <c r="A18" s="4"/>
      <c r="B18" s="66">
        <v>2</v>
      </c>
      <c r="C18" s="34"/>
      <c r="D18" s="78" t="s">
        <v>13</v>
      </c>
      <c r="E18" s="34"/>
      <c r="F18" s="81">
        <f>'3. Data_Input_Sheet'!E56</f>
        <v>0.04</v>
      </c>
      <c r="G18" s="80"/>
      <c r="H18" s="367"/>
      <c r="I18" s="186"/>
      <c r="J18" s="54">
        <f>$J$26*F18</f>
        <v>4955.8445109408167</v>
      </c>
      <c r="K18" s="34"/>
      <c r="L18" s="81">
        <f>'3. Data_Input_Sheet'!E63</f>
        <v>1.6500000000000001E-2</v>
      </c>
      <c r="M18" s="80"/>
      <c r="N18" s="367"/>
      <c r="O18" s="186"/>
      <c r="P18" s="54">
        <f>L18*J18</f>
        <v>81.771434430523485</v>
      </c>
      <c r="Q18" s="34"/>
    </row>
    <row r="19" spans="1:18" ht="13.5" thickBot="1" x14ac:dyDescent="0.45">
      <c r="A19" s="4"/>
      <c r="B19" s="66">
        <v>3</v>
      </c>
      <c r="C19" s="34"/>
      <c r="D19" s="82" t="s">
        <v>14</v>
      </c>
      <c r="E19" s="34"/>
      <c r="F19" s="83">
        <f>SUM(F17:F18)</f>
        <v>0.60000000000000009</v>
      </c>
      <c r="G19" s="83"/>
      <c r="H19" s="84"/>
      <c r="I19" s="173"/>
      <c r="J19" s="85">
        <f>SUM(J17:J18)</f>
        <v>74337.667664112261</v>
      </c>
      <c r="K19" s="34"/>
      <c r="L19" s="83">
        <f>IF(F19=0,0,SUMPRODUCT(F17:F18,L17:L18)/F19)</f>
        <v>3.8673675989975849E-2</v>
      </c>
      <c r="M19" s="88"/>
      <c r="N19" s="34"/>
      <c r="O19" s="30"/>
      <c r="P19" s="85">
        <f>SUM(P17:P18)</f>
        <v>2874.9108730923822</v>
      </c>
      <c r="Q19" s="34"/>
    </row>
    <row r="20" spans="1:18" ht="13.5" thickTop="1" x14ac:dyDescent="0.4">
      <c r="A20" s="4"/>
      <c r="B20" s="66"/>
      <c r="C20" s="34"/>
      <c r="D20" s="34"/>
      <c r="E20" s="34"/>
      <c r="F20" s="86"/>
      <c r="G20" s="86"/>
      <c r="H20" s="86"/>
      <c r="I20" s="172"/>
      <c r="J20" s="87"/>
      <c r="K20" s="34"/>
      <c r="L20" s="88"/>
      <c r="M20" s="88"/>
      <c r="N20" s="34"/>
      <c r="O20" s="30"/>
      <c r="P20" s="87"/>
      <c r="Q20" s="34"/>
    </row>
    <row r="21" spans="1:18" ht="13.15" x14ac:dyDescent="0.4">
      <c r="A21" s="4"/>
      <c r="B21" s="66"/>
      <c r="C21" s="34"/>
      <c r="D21" s="79" t="s">
        <v>15</v>
      </c>
      <c r="E21" s="34"/>
      <c r="F21" s="86"/>
      <c r="G21" s="86"/>
      <c r="H21" s="86"/>
      <c r="I21" s="172"/>
      <c r="J21" s="87"/>
      <c r="K21" s="34"/>
      <c r="L21" s="88"/>
      <c r="M21" s="88"/>
      <c r="N21" s="34"/>
      <c r="O21" s="30"/>
      <c r="P21" s="87"/>
      <c r="Q21" s="34"/>
    </row>
    <row r="22" spans="1:18" ht="13.15" x14ac:dyDescent="0.4">
      <c r="A22" s="4"/>
      <c r="B22" s="70">
        <v>4</v>
      </c>
      <c r="C22" s="89"/>
      <c r="D22" s="90" t="s">
        <v>16</v>
      </c>
      <c r="E22" s="89"/>
      <c r="F22" s="91">
        <f>'3. Data_Input_Sheet'!E57</f>
        <v>0.39999999999999991</v>
      </c>
      <c r="G22" s="91"/>
      <c r="H22" s="367"/>
      <c r="I22" s="186"/>
      <c r="J22" s="48">
        <f>$J$26*F22</f>
        <v>49558.445109408152</v>
      </c>
      <c r="K22" s="89"/>
      <c r="L22" s="92">
        <f>'3. Data_Input_Sheet'!E64</f>
        <v>9.1899999999999996E-2</v>
      </c>
      <c r="M22" s="92"/>
      <c r="N22" s="367"/>
      <c r="O22" s="186"/>
      <c r="P22" s="48">
        <f>L22*J22</f>
        <v>4554.4211055546093</v>
      </c>
      <c r="Q22" s="89"/>
      <c r="R22" s="15"/>
    </row>
    <row r="23" spans="1:18" ht="13.15" x14ac:dyDescent="0.4">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45">
      <c r="A24" s="4"/>
      <c r="B24" s="66">
        <v>6</v>
      </c>
      <c r="C24" s="34"/>
      <c r="D24" s="82" t="s">
        <v>18</v>
      </c>
      <c r="E24" s="34"/>
      <c r="F24" s="83">
        <f>SUM(F22:F23)</f>
        <v>0.39999999999999991</v>
      </c>
      <c r="G24" s="83"/>
      <c r="H24" s="84"/>
      <c r="I24" s="84"/>
      <c r="J24" s="85">
        <f>SUM(J22:J23)</f>
        <v>49558.445109408152</v>
      </c>
      <c r="K24" s="34"/>
      <c r="L24" s="83">
        <f>IF(F24=0,0,SUMPRODUCT(F22:F23,L22:L23)/F24)</f>
        <v>9.1899999999999982E-2</v>
      </c>
      <c r="M24" s="88"/>
      <c r="N24" s="34"/>
      <c r="O24" s="34"/>
      <c r="P24" s="85">
        <f>SUM(P22:P23)</f>
        <v>4554.4211055546093</v>
      </c>
      <c r="Q24" s="34"/>
    </row>
    <row r="25" spans="1:18" ht="13.5" thickTop="1" x14ac:dyDescent="0.4">
      <c r="A25" s="4"/>
      <c r="B25" s="66"/>
      <c r="C25" s="34"/>
      <c r="D25" s="34"/>
      <c r="E25" s="34"/>
      <c r="F25" s="34"/>
      <c r="G25" s="34"/>
      <c r="H25" s="34"/>
      <c r="I25" s="34"/>
      <c r="J25" s="87"/>
      <c r="K25" s="34"/>
      <c r="L25" s="88"/>
      <c r="M25" s="88"/>
      <c r="N25" s="34"/>
      <c r="O25" s="34"/>
      <c r="P25" s="87"/>
      <c r="Q25" s="34"/>
    </row>
    <row r="26" spans="1:18" ht="13.5" thickBot="1" x14ac:dyDescent="0.45">
      <c r="A26" s="4"/>
      <c r="B26" s="66">
        <v>7</v>
      </c>
      <c r="C26" s="34"/>
      <c r="D26" s="79" t="s">
        <v>19</v>
      </c>
      <c r="E26" s="34"/>
      <c r="F26" s="178">
        <f>SUM(F19,F24)</f>
        <v>1</v>
      </c>
      <c r="G26" s="94"/>
      <c r="H26" s="94"/>
      <c r="I26" s="94"/>
      <c r="J26" s="95">
        <f>'4. Rate_Base'!G18</f>
        <v>123896.11277352041</v>
      </c>
      <c r="K26" s="34"/>
      <c r="L26" s="96">
        <f>(L19*F19)+(L24*F24)</f>
        <v>5.9964205593985499E-2</v>
      </c>
      <c r="M26" s="88"/>
      <c r="N26" s="34"/>
      <c r="O26" s="34"/>
      <c r="P26" s="95">
        <f>P19+P24</f>
        <v>7429.331978646991</v>
      </c>
      <c r="Q26" s="34"/>
    </row>
    <row r="27" spans="1:18" ht="13.5" thickTop="1" x14ac:dyDescent="0.4">
      <c r="A27" s="4"/>
      <c r="B27" s="66"/>
      <c r="C27" s="34"/>
      <c r="D27" s="34"/>
      <c r="E27" s="34"/>
      <c r="F27" s="34"/>
      <c r="G27" s="34"/>
      <c r="H27" s="34"/>
      <c r="I27" s="34"/>
      <c r="J27" s="34"/>
      <c r="K27" s="34"/>
      <c r="L27" s="34"/>
      <c r="M27" s="34"/>
      <c r="N27" s="34"/>
      <c r="O27" s="34"/>
      <c r="P27" s="34"/>
      <c r="Q27" s="34"/>
    </row>
    <row r="28" spans="1:18" ht="13.15" x14ac:dyDescent="0.4">
      <c r="A28" s="4"/>
      <c r="B28" s="4"/>
      <c r="C28" s="34"/>
      <c r="D28" s="34"/>
      <c r="E28" s="34"/>
      <c r="F28" s="34"/>
      <c r="G28" s="34"/>
      <c r="K28" s="34"/>
      <c r="L28" s="34"/>
      <c r="M28" s="34"/>
      <c r="N28" s="34"/>
      <c r="O28" s="34"/>
      <c r="P28" s="34"/>
      <c r="Q28" s="34"/>
    </row>
    <row r="29" spans="1:18" ht="13.15" x14ac:dyDescent="0.4">
      <c r="A29" s="4"/>
      <c r="B29" s="66"/>
      <c r="C29" s="34"/>
      <c r="D29" s="34"/>
      <c r="E29" s="34"/>
      <c r="F29" s="586" t="str">
        <f>'1. Info'!AC1</f>
        <v>Application Update</v>
      </c>
      <c r="G29" s="586"/>
      <c r="H29" s="586"/>
      <c r="I29" s="586"/>
      <c r="J29" s="586"/>
      <c r="K29" s="34"/>
      <c r="L29" s="34"/>
      <c r="M29" s="34"/>
      <c r="N29" s="34"/>
      <c r="O29" s="34"/>
      <c r="P29" s="34"/>
      <c r="Q29" s="34"/>
    </row>
    <row r="30" spans="1:18" ht="13.15" x14ac:dyDescent="0.4">
      <c r="A30" s="4"/>
      <c r="B30" s="66"/>
      <c r="C30" s="77"/>
      <c r="D30" s="591"/>
      <c r="E30" s="591"/>
      <c r="F30" s="591"/>
      <c r="G30" s="591"/>
      <c r="H30" s="591"/>
      <c r="I30" s="591"/>
      <c r="J30" s="591"/>
      <c r="K30" s="591"/>
      <c r="L30" s="591"/>
      <c r="M30" s="591"/>
      <c r="N30" s="591"/>
      <c r="O30" s="591"/>
      <c r="P30" s="591"/>
      <c r="Q30" s="34"/>
    </row>
    <row r="31" spans="1:18" ht="13.15" x14ac:dyDescent="0.4">
      <c r="A31" s="4"/>
      <c r="B31" s="66"/>
      <c r="C31" s="34"/>
      <c r="D31" s="34"/>
      <c r="E31" s="34"/>
      <c r="F31" s="170" t="s">
        <v>20</v>
      </c>
      <c r="G31" s="170"/>
      <c r="H31" s="170"/>
      <c r="I31" s="170"/>
      <c r="J31" s="170" t="s">
        <v>8</v>
      </c>
      <c r="K31" s="76"/>
      <c r="L31" s="170" t="s">
        <v>20</v>
      </c>
      <c r="M31" s="170"/>
      <c r="N31" s="76"/>
      <c r="O31" s="76"/>
      <c r="P31" s="76" t="s">
        <v>8</v>
      </c>
      <c r="Q31" s="34"/>
    </row>
    <row r="32" spans="1:18" ht="13.15" x14ac:dyDescent="0.4">
      <c r="A32" s="4"/>
      <c r="B32" s="66"/>
      <c r="C32" s="34"/>
      <c r="D32" s="79" t="s">
        <v>11</v>
      </c>
      <c r="E32" s="34"/>
      <c r="F32" s="34"/>
      <c r="G32" s="34"/>
      <c r="H32" s="34"/>
      <c r="I32" s="34"/>
      <c r="J32" s="34"/>
      <c r="K32" s="34"/>
      <c r="L32" s="34"/>
      <c r="M32" s="34"/>
      <c r="N32" s="34"/>
      <c r="O32" s="34"/>
      <c r="P32" s="34"/>
      <c r="Q32" s="34"/>
    </row>
    <row r="33" spans="1:17" ht="13.15" x14ac:dyDescent="0.4">
      <c r="A33" s="4"/>
      <c r="B33" s="66">
        <v>1</v>
      </c>
      <c r="C33" s="34"/>
      <c r="D33" s="78" t="s">
        <v>12</v>
      </c>
      <c r="E33" s="34"/>
      <c r="F33" s="80">
        <f>'3. Data_Input_Sheet'!M55</f>
        <v>0.56000000000000005</v>
      </c>
      <c r="G33" s="80"/>
      <c r="H33" s="367"/>
      <c r="I33" s="186"/>
      <c r="J33" s="47">
        <f>$J$42*F33</f>
        <v>64768.470917135193</v>
      </c>
      <c r="K33" s="34"/>
      <c r="L33" s="80">
        <f>'3. Data_Input_Sheet'!M62</f>
        <v>3.4764162645532698E-2</v>
      </c>
      <c r="M33" s="80"/>
      <c r="N33" s="367"/>
      <c r="O33" s="186"/>
      <c r="P33" s="47">
        <f>L33*J33</f>
        <v>2251.6216572657422</v>
      </c>
      <c r="Q33" s="34"/>
    </row>
    <row r="34" spans="1:17" ht="13.15" x14ac:dyDescent="0.4">
      <c r="A34" s="4"/>
      <c r="B34" s="66">
        <v>2</v>
      </c>
      <c r="C34" s="34"/>
      <c r="D34" s="78" t="s">
        <v>13</v>
      </c>
      <c r="E34" s="34"/>
      <c r="F34" s="81">
        <f>'3. Data_Input_Sheet'!M56</f>
        <v>0.04</v>
      </c>
      <c r="G34" s="80"/>
      <c r="H34" s="367"/>
      <c r="I34" s="186"/>
      <c r="J34" s="54">
        <f>$J$42*F34</f>
        <v>4626.3193512239422</v>
      </c>
      <c r="K34" s="34"/>
      <c r="L34" s="81">
        <f>'3. Data_Input_Sheet'!M63</f>
        <v>1.7600000000000001E-2</v>
      </c>
      <c r="M34" s="80"/>
      <c r="N34" s="367"/>
      <c r="O34" s="186"/>
      <c r="P34" s="54">
        <f>L34*J34</f>
        <v>81.423220581541386</v>
      </c>
      <c r="Q34" s="34"/>
    </row>
    <row r="35" spans="1:17" ht="13.5" thickBot="1" x14ac:dyDescent="0.45">
      <c r="A35" s="4"/>
      <c r="B35" s="66">
        <v>3</v>
      </c>
      <c r="C35" s="34"/>
      <c r="D35" s="82" t="s">
        <v>14</v>
      </c>
      <c r="E35" s="34"/>
      <c r="F35" s="83">
        <f>SUM(F33:F34)</f>
        <v>0.60000000000000009</v>
      </c>
      <c r="G35" s="88"/>
      <c r="H35" s="86"/>
      <c r="I35" s="172"/>
      <c r="J35" s="85">
        <f>SUM(J33:J34)</f>
        <v>69394.790268359138</v>
      </c>
      <c r="K35" s="34"/>
      <c r="L35" s="83">
        <f>IF(F35=0,0,SUMPRODUCT(F33:F34,L33:L34)/F35)</f>
        <v>3.3619885135830516E-2</v>
      </c>
      <c r="M35" s="88"/>
      <c r="N35" s="34"/>
      <c r="O35" s="30"/>
      <c r="P35" s="85">
        <f>SUM(P33:P34)</f>
        <v>2333.0448778472837</v>
      </c>
      <c r="Q35" s="34"/>
    </row>
    <row r="36" spans="1:17" ht="13.5" thickTop="1" x14ac:dyDescent="0.4">
      <c r="A36" s="4"/>
      <c r="B36" s="66"/>
      <c r="C36" s="34"/>
      <c r="D36" s="34"/>
      <c r="E36" s="34"/>
      <c r="F36" s="86"/>
      <c r="G36" s="86"/>
      <c r="H36" s="86"/>
      <c r="I36" s="172"/>
      <c r="J36" s="87"/>
      <c r="K36" s="34"/>
      <c r="L36" s="88"/>
      <c r="M36" s="88"/>
      <c r="N36" s="34"/>
      <c r="O36" s="30"/>
      <c r="P36" s="87"/>
      <c r="Q36" s="34"/>
    </row>
    <row r="37" spans="1:17" ht="13.15" x14ac:dyDescent="0.4">
      <c r="A37" s="4"/>
      <c r="B37" s="66"/>
      <c r="C37" s="34"/>
      <c r="D37" s="79" t="s">
        <v>15</v>
      </c>
      <c r="E37" s="34"/>
      <c r="F37" s="86"/>
      <c r="G37" s="86"/>
      <c r="H37" s="86"/>
      <c r="I37" s="172"/>
      <c r="J37" s="87"/>
      <c r="K37" s="34"/>
      <c r="L37" s="88"/>
      <c r="M37" s="88"/>
      <c r="N37" s="34"/>
      <c r="O37" s="30"/>
      <c r="P37" s="87"/>
      <c r="Q37" s="34"/>
    </row>
    <row r="38" spans="1:17" ht="13.15" x14ac:dyDescent="0.4">
      <c r="A38" s="4"/>
      <c r="B38" s="70">
        <v>4</v>
      </c>
      <c r="C38" s="89"/>
      <c r="D38" s="90" t="s">
        <v>16</v>
      </c>
      <c r="E38" s="89"/>
      <c r="F38" s="91">
        <f>'3. Data_Input_Sheet'!M57</f>
        <v>0.39999999999999991</v>
      </c>
      <c r="G38" s="91"/>
      <c r="H38" s="367"/>
      <c r="I38" s="186"/>
      <c r="J38" s="48">
        <f>$J$42*F38</f>
        <v>46263.193512239406</v>
      </c>
      <c r="K38" s="89"/>
      <c r="L38" s="92">
        <f>'3. Data_Input_Sheet'!M64</f>
        <v>8.7800000000000003E-2</v>
      </c>
      <c r="M38" s="92"/>
      <c r="N38" s="367"/>
      <c r="O38" s="186"/>
      <c r="P38" s="48">
        <f>L38*J38</f>
        <v>4061.90839037462</v>
      </c>
      <c r="Q38" s="34"/>
    </row>
    <row r="39" spans="1:17" ht="13.15" x14ac:dyDescent="0.4">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45">
      <c r="A40" s="4"/>
      <c r="B40" s="66">
        <v>6</v>
      </c>
      <c r="C40" s="34"/>
      <c r="D40" s="82" t="s">
        <v>18</v>
      </c>
      <c r="E40" s="34"/>
      <c r="F40" s="83">
        <f>SUM(F38:F39)</f>
        <v>0.39999999999999991</v>
      </c>
      <c r="G40" s="88"/>
      <c r="H40" s="86"/>
      <c r="I40" s="86"/>
      <c r="J40" s="85">
        <f>SUM(J38:J39)</f>
        <v>46263.193512239406</v>
      </c>
      <c r="K40" s="34"/>
      <c r="L40" s="83">
        <f>IF(F40=0,0,SUMPRODUCT(F38:F39,L38:L39)/F40)</f>
        <v>8.7800000000000003E-2</v>
      </c>
      <c r="M40" s="88"/>
      <c r="N40" s="34"/>
      <c r="O40" s="34"/>
      <c r="P40" s="85">
        <f>SUM(P38:P39)</f>
        <v>4061.90839037462</v>
      </c>
      <c r="Q40" s="34"/>
    </row>
    <row r="41" spans="1:17" ht="13.5" thickTop="1" x14ac:dyDescent="0.4">
      <c r="A41" s="4"/>
      <c r="B41" s="66"/>
      <c r="C41" s="34"/>
      <c r="D41" s="34"/>
      <c r="E41" s="34"/>
      <c r="F41" s="34"/>
      <c r="G41" s="34"/>
      <c r="H41" s="34"/>
      <c r="I41" s="34"/>
      <c r="J41" s="87"/>
      <c r="K41" s="34"/>
      <c r="L41" s="88"/>
      <c r="M41" s="88"/>
      <c r="N41" s="34"/>
      <c r="O41" s="34"/>
      <c r="P41" s="87"/>
      <c r="Q41" s="34"/>
    </row>
    <row r="42" spans="1:17" ht="13.5" thickBot="1" x14ac:dyDescent="0.45">
      <c r="A42" s="4"/>
      <c r="B42" s="66">
        <v>7</v>
      </c>
      <c r="C42" s="34"/>
      <c r="D42" s="79" t="s">
        <v>19</v>
      </c>
      <c r="E42" s="34"/>
      <c r="F42" s="178">
        <f>F35+F40</f>
        <v>1</v>
      </c>
      <c r="G42" s="117"/>
      <c r="H42" s="117"/>
      <c r="I42" s="117"/>
      <c r="J42" s="95">
        <f>'4. Rate_Base'!O18</f>
        <v>115657.98378059854</v>
      </c>
      <c r="K42" s="34"/>
      <c r="L42" s="96">
        <f>(L35*F35)+(L40*F40)</f>
        <v>5.5291931081498304E-2</v>
      </c>
      <c r="M42" s="88"/>
      <c r="N42" s="34"/>
      <c r="O42" s="34"/>
      <c r="P42" s="95">
        <f>P35+P40</f>
        <v>6394.9532682219033</v>
      </c>
      <c r="Q42" s="34"/>
    </row>
    <row r="43" spans="1:17" ht="13.5" thickTop="1" x14ac:dyDescent="0.4">
      <c r="A43" s="4"/>
      <c r="B43" s="66"/>
      <c r="C43" s="34"/>
      <c r="D43" s="34"/>
      <c r="E43" s="34"/>
      <c r="F43" s="34"/>
      <c r="G43" s="34"/>
      <c r="H43" s="34"/>
      <c r="I43" s="34"/>
      <c r="J43" s="34"/>
      <c r="K43" s="34"/>
      <c r="L43" s="34"/>
      <c r="M43" s="34"/>
      <c r="N43" s="34"/>
      <c r="O43" s="34"/>
      <c r="P43" s="34"/>
      <c r="Q43" s="34"/>
    </row>
    <row r="44" spans="1:17" ht="13.15" x14ac:dyDescent="0.4">
      <c r="A44" s="4"/>
      <c r="B44" s="4"/>
      <c r="C44" s="34"/>
      <c r="D44" s="34"/>
      <c r="E44" s="34"/>
      <c r="F44" s="34"/>
      <c r="G44" s="34"/>
      <c r="H44" s="34"/>
      <c r="I44" s="34"/>
      <c r="J44" s="34"/>
      <c r="K44" s="34"/>
      <c r="L44" s="34"/>
      <c r="M44" s="34"/>
      <c r="N44" s="34"/>
      <c r="O44" s="34"/>
      <c r="P44" s="34"/>
      <c r="Q44" s="34"/>
    </row>
    <row r="45" spans="1:17" ht="13.15" x14ac:dyDescent="0.4">
      <c r="A45" s="4"/>
      <c r="B45" s="66"/>
      <c r="C45" s="34"/>
      <c r="D45" s="34"/>
      <c r="E45" s="34"/>
      <c r="F45" s="586" t="s">
        <v>154</v>
      </c>
      <c r="G45" s="586"/>
      <c r="H45" s="586"/>
      <c r="I45" s="586"/>
      <c r="J45" s="586"/>
      <c r="K45" s="34"/>
      <c r="L45" s="34"/>
      <c r="M45" s="34"/>
      <c r="N45" s="34"/>
      <c r="O45" s="34"/>
      <c r="P45" s="34"/>
      <c r="Q45" s="34"/>
    </row>
    <row r="46" spans="1:17" ht="13.15" x14ac:dyDescent="0.4">
      <c r="A46" s="4"/>
      <c r="B46" s="66"/>
      <c r="C46" s="34"/>
      <c r="D46" s="591"/>
      <c r="E46" s="591"/>
      <c r="F46" s="591"/>
      <c r="G46" s="591"/>
      <c r="H46" s="591"/>
      <c r="I46" s="591"/>
      <c r="J46" s="591"/>
      <c r="K46" s="591"/>
      <c r="L46" s="591"/>
      <c r="M46" s="591"/>
      <c r="N46" s="591"/>
      <c r="O46" s="591"/>
      <c r="P46" s="591"/>
      <c r="Q46" s="34"/>
    </row>
    <row r="47" spans="1:17" ht="13.15" x14ac:dyDescent="0.4">
      <c r="A47" s="4"/>
      <c r="B47" s="66"/>
      <c r="C47" s="34"/>
      <c r="D47" s="34"/>
      <c r="E47" s="34"/>
      <c r="F47" s="170" t="s">
        <v>20</v>
      </c>
      <c r="G47" s="170"/>
      <c r="H47" s="170"/>
      <c r="I47" s="170"/>
      <c r="J47" s="170" t="s">
        <v>8</v>
      </c>
      <c r="K47" s="76"/>
      <c r="L47" s="170" t="s">
        <v>20</v>
      </c>
      <c r="M47" s="170"/>
      <c r="N47" s="76"/>
      <c r="O47" s="76"/>
      <c r="P47" s="170" t="s">
        <v>8</v>
      </c>
      <c r="Q47" s="34"/>
    </row>
    <row r="48" spans="1:17" ht="13.15" x14ac:dyDescent="0.4">
      <c r="A48" s="4"/>
      <c r="B48" s="66"/>
      <c r="C48" s="34"/>
      <c r="D48" s="79" t="s">
        <v>11</v>
      </c>
      <c r="E48" s="34"/>
      <c r="F48" s="34"/>
      <c r="G48" s="34"/>
      <c r="H48" s="34"/>
      <c r="I48" s="34"/>
      <c r="J48" s="34"/>
      <c r="K48" s="34"/>
      <c r="L48" s="34"/>
      <c r="M48" s="34"/>
      <c r="N48" s="34"/>
      <c r="O48" s="34"/>
      <c r="P48" s="34"/>
      <c r="Q48" s="34"/>
    </row>
    <row r="49" spans="1:17" ht="13.15" x14ac:dyDescent="0.4">
      <c r="A49" s="4"/>
      <c r="B49" s="66">
        <v>8</v>
      </c>
      <c r="C49" s="34"/>
      <c r="D49" s="78" t="s">
        <v>12</v>
      </c>
      <c r="E49" s="34"/>
      <c r="F49" s="80">
        <f>IF(ISBLANK('3. Data_Input_Sheet'!U55),F33,'3. Data_Input_Sheet'!U55)</f>
        <v>0.56000000000000005</v>
      </c>
      <c r="G49" s="80"/>
      <c r="H49" s="367"/>
      <c r="I49" s="186"/>
      <c r="J49" s="47">
        <f>$J$58*F49</f>
        <v>65144.592024018966</v>
      </c>
      <c r="K49" s="34"/>
      <c r="L49" s="80">
        <f>IF(ISBLANK('3. Data_Input_Sheet'!U62),L17,'3. Data_Input_Sheet'!U62)</f>
        <v>3.7716281874955307E-2</v>
      </c>
      <c r="M49" s="80"/>
      <c r="N49" s="367"/>
      <c r="O49" s="186"/>
      <c r="P49" s="47">
        <f>L49*J49</f>
        <v>2457.0117954068646</v>
      </c>
      <c r="Q49" s="34"/>
    </row>
    <row r="50" spans="1:17" ht="13.15" x14ac:dyDescent="0.4">
      <c r="A50" s="4"/>
      <c r="B50" s="66">
        <v>9</v>
      </c>
      <c r="C50" s="34"/>
      <c r="D50" s="78" t="s">
        <v>13</v>
      </c>
      <c r="E50" s="34"/>
      <c r="F50" s="81">
        <f>IF(ISBLANK('3. Data_Input_Sheet'!U56),F34,'3. Data_Input_Sheet'!U56)</f>
        <v>0.04</v>
      </c>
      <c r="G50" s="80"/>
      <c r="H50" s="367"/>
      <c r="I50" s="186"/>
      <c r="J50" s="54">
        <f>$J$58*F50</f>
        <v>4653.1851445727834</v>
      </c>
      <c r="K50" s="34"/>
      <c r="L50" s="81">
        <f>IF(ISBLANK('3. Data_Input_Sheet'!U63),L18,'3. Data_Input_Sheet'!U63)</f>
        <v>2.29E-2</v>
      </c>
      <c r="M50" s="80"/>
      <c r="N50" s="367"/>
      <c r="O50" s="186"/>
      <c r="P50" s="54">
        <f>L50*J50</f>
        <v>106.55793981071675</v>
      </c>
      <c r="Q50" s="34"/>
    </row>
    <row r="51" spans="1:17" ht="13.5" thickBot="1" x14ac:dyDescent="0.45">
      <c r="A51" s="4"/>
      <c r="B51" s="66">
        <v>10</v>
      </c>
      <c r="C51" s="34"/>
      <c r="D51" s="82" t="s">
        <v>14</v>
      </c>
      <c r="E51" s="34"/>
      <c r="F51" s="83">
        <f>SUM(F49:F50)</f>
        <v>0.60000000000000009</v>
      </c>
      <c r="G51" s="88"/>
      <c r="H51" s="86"/>
      <c r="I51" s="172"/>
      <c r="J51" s="85">
        <f>SUM(J49:J50)</f>
        <v>69797.777168591754</v>
      </c>
      <c r="K51" s="34"/>
      <c r="L51" s="83">
        <f>IF(F51=0,0,SUMPRODUCT(F49:F50,L49:L50)/F51)</f>
        <v>3.6728529749958286E-2</v>
      </c>
      <c r="M51" s="88"/>
      <c r="N51" s="34"/>
      <c r="O51" s="30"/>
      <c r="P51" s="85">
        <f>SUM(P49:P50)</f>
        <v>2563.5697352175812</v>
      </c>
      <c r="Q51" s="34"/>
    </row>
    <row r="52" spans="1:17" ht="13.5" thickTop="1" x14ac:dyDescent="0.4">
      <c r="A52" s="4"/>
      <c r="B52" s="66"/>
      <c r="C52" s="34"/>
      <c r="D52" s="34"/>
      <c r="E52" s="34"/>
      <c r="F52" s="86"/>
      <c r="G52" s="86"/>
      <c r="H52" s="86"/>
      <c r="I52" s="172"/>
      <c r="J52" s="87"/>
      <c r="K52" s="34"/>
      <c r="L52" s="88"/>
      <c r="M52" s="88"/>
      <c r="N52" s="34"/>
      <c r="O52" s="30"/>
      <c r="P52" s="87"/>
      <c r="Q52" s="34"/>
    </row>
    <row r="53" spans="1:17" ht="13.15" x14ac:dyDescent="0.4">
      <c r="A53" s="4"/>
      <c r="B53" s="66"/>
      <c r="C53" s="34"/>
      <c r="D53" s="79" t="s">
        <v>15</v>
      </c>
      <c r="E53" s="34"/>
      <c r="F53" s="86"/>
      <c r="G53" s="86"/>
      <c r="H53" s="86"/>
      <c r="I53" s="172"/>
      <c r="J53" s="87"/>
      <c r="K53" s="34"/>
      <c r="L53" s="88"/>
      <c r="M53" s="88"/>
      <c r="N53" s="34"/>
      <c r="O53" s="30"/>
      <c r="P53" s="87"/>
      <c r="Q53" s="34"/>
    </row>
    <row r="54" spans="1:17" ht="13.15" x14ac:dyDescent="0.4">
      <c r="A54" s="4"/>
      <c r="B54" s="66">
        <v>11</v>
      </c>
      <c r="C54" s="34"/>
      <c r="D54" s="78" t="s">
        <v>16</v>
      </c>
      <c r="E54" s="34"/>
      <c r="F54" s="88">
        <f>IF(ISBLANK('3. Data_Input_Sheet'!U57),F38,'3. Data_Input_Sheet'!U57)</f>
        <v>0.39999999999999991</v>
      </c>
      <c r="G54" s="86"/>
      <c r="H54" s="367"/>
      <c r="I54" s="186"/>
      <c r="J54" s="47">
        <f>$J$58*F54</f>
        <v>46531.851445727822</v>
      </c>
      <c r="K54" s="34"/>
      <c r="L54" s="80">
        <f>IF(ISBLANK('3. Data_Input_Sheet'!U64),L22,'3. Data_Input_Sheet'!U64)</f>
        <v>0.09</v>
      </c>
      <c r="M54" s="80"/>
      <c r="N54" s="367"/>
      <c r="O54" s="186"/>
      <c r="P54" s="47">
        <f>L54*J54</f>
        <v>4187.8666301155035</v>
      </c>
      <c r="Q54" s="34"/>
    </row>
    <row r="55" spans="1:17" ht="13.15" x14ac:dyDescent="0.4">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45">
      <c r="A56" s="4"/>
      <c r="B56" s="66">
        <v>13</v>
      </c>
      <c r="C56" s="34"/>
      <c r="D56" s="82" t="s">
        <v>18</v>
      </c>
      <c r="E56" s="34"/>
      <c r="F56" s="83">
        <f>SUM(F54:F55)</f>
        <v>0.39999999999999991</v>
      </c>
      <c r="G56" s="86"/>
      <c r="H56" s="86"/>
      <c r="I56" s="86"/>
      <c r="J56" s="85">
        <f>SUM(J54:J55)</f>
        <v>46531.851445727822</v>
      </c>
      <c r="K56" s="34"/>
      <c r="L56" s="83">
        <f>IF(F56=0,0,SUMPRODUCT(F54:F55,L54:L55)/F56)</f>
        <v>0.09</v>
      </c>
      <c r="M56" s="88"/>
      <c r="N56" s="34"/>
      <c r="O56" s="34"/>
      <c r="P56" s="85">
        <f>SUM(P54:P55)</f>
        <v>4187.8666301155035</v>
      </c>
      <c r="Q56" s="34"/>
    </row>
    <row r="57" spans="1:17" ht="13.5" thickTop="1" x14ac:dyDescent="0.4">
      <c r="A57" s="4"/>
      <c r="B57" s="66"/>
      <c r="C57" s="34"/>
      <c r="D57" s="34"/>
      <c r="E57" s="34"/>
      <c r="F57" s="34"/>
      <c r="G57" s="34"/>
      <c r="H57" s="34"/>
      <c r="I57" s="34"/>
      <c r="J57" s="87"/>
      <c r="K57" s="34"/>
      <c r="L57" s="88"/>
      <c r="M57" s="88"/>
      <c r="N57" s="34"/>
      <c r="O57" s="34"/>
      <c r="P57" s="87"/>
      <c r="Q57" s="34"/>
    </row>
    <row r="58" spans="1:17" ht="13.5" thickBot="1" x14ac:dyDescent="0.45">
      <c r="A58" s="4"/>
      <c r="B58" s="66">
        <v>14</v>
      </c>
      <c r="C58" s="34"/>
      <c r="D58" s="82" t="s">
        <v>19</v>
      </c>
      <c r="E58" s="34"/>
      <c r="F58" s="178">
        <f>F51+F56</f>
        <v>1</v>
      </c>
      <c r="G58" s="117"/>
      <c r="H58" s="117"/>
      <c r="I58" s="117"/>
      <c r="J58" s="95">
        <f>'4. Rate_Base'!W18</f>
        <v>116329.62861431958</v>
      </c>
      <c r="K58" s="34"/>
      <c r="L58" s="96">
        <f>(L51*F51)+(L56*F56)</f>
        <v>5.8037117849974965E-2</v>
      </c>
      <c r="M58" s="88"/>
      <c r="N58" s="34"/>
      <c r="O58" s="34"/>
      <c r="P58" s="95">
        <f>P51+P56</f>
        <v>6751.4363653330847</v>
      </c>
      <c r="Q58" s="34"/>
    </row>
    <row r="59" spans="1:17" ht="13.15" thickTop="1" x14ac:dyDescent="0.35">
      <c r="B59" s="34"/>
      <c r="C59" s="34"/>
      <c r="D59" s="34"/>
      <c r="E59" s="34"/>
      <c r="F59" s="34"/>
      <c r="G59" s="34"/>
      <c r="H59" s="34"/>
      <c r="I59" s="34"/>
      <c r="J59" s="34"/>
      <c r="K59" s="34"/>
      <c r="L59" s="34"/>
      <c r="M59" s="34"/>
      <c r="N59" s="34"/>
      <c r="O59" s="34"/>
      <c r="P59" s="34"/>
      <c r="Q59" s="34"/>
    </row>
    <row r="61" spans="1:17" ht="13.15" x14ac:dyDescent="0.4">
      <c r="B61" s="572" t="s">
        <v>38</v>
      </c>
      <c r="C61" s="572"/>
      <c r="D61" s="572"/>
      <c r="E61" s="572"/>
      <c r="F61" s="572"/>
      <c r="G61" s="572"/>
      <c r="H61" s="572"/>
      <c r="I61" s="572"/>
      <c r="J61" s="572"/>
      <c r="K61" s="572"/>
      <c r="L61" s="572"/>
      <c r="M61" s="572"/>
      <c r="N61" s="572"/>
      <c r="O61" s="572"/>
      <c r="P61" s="572"/>
    </row>
    <row r="62" spans="1:17" ht="37.5" customHeight="1" x14ac:dyDescent="0.35">
      <c r="B62" s="11" t="s">
        <v>2</v>
      </c>
      <c r="D62" s="589" t="str">
        <f>'3. Data_Input_Sheet'!C71</f>
        <v>Data in column E is for Application as originally filed.  For updated revenue requirement as a result of interrogatory responses, technical or settlement conferences, etc., use colimn M and Adjustments in column I</v>
      </c>
      <c r="E62" s="589"/>
      <c r="F62" s="589"/>
      <c r="G62" s="589"/>
      <c r="H62" s="589"/>
      <c r="I62" s="589"/>
      <c r="J62" s="589"/>
      <c r="K62" s="589"/>
      <c r="L62" s="589"/>
      <c r="M62" s="589"/>
      <c r="N62" s="589"/>
      <c r="O62" s="589"/>
      <c r="P62" s="589"/>
    </row>
    <row r="63" spans="1:17" x14ac:dyDescent="0.35">
      <c r="B63" s="365"/>
      <c r="D63" s="566"/>
      <c r="E63" s="566"/>
      <c r="F63" s="566"/>
      <c r="G63" s="566"/>
      <c r="H63" s="566"/>
      <c r="I63" s="566"/>
      <c r="J63" s="566"/>
      <c r="K63" s="566"/>
      <c r="L63" s="566"/>
      <c r="M63" s="566"/>
      <c r="N63" s="566"/>
      <c r="O63" s="566"/>
      <c r="P63" s="566"/>
    </row>
    <row r="64" spans="1:17" x14ac:dyDescent="0.35">
      <c r="B64" s="365"/>
      <c r="D64" s="566"/>
      <c r="E64" s="566"/>
      <c r="F64" s="566"/>
      <c r="G64" s="566"/>
      <c r="H64" s="566"/>
      <c r="I64" s="566"/>
      <c r="J64" s="566"/>
      <c r="K64" s="566"/>
      <c r="L64" s="566"/>
      <c r="M64" s="566"/>
      <c r="N64" s="566"/>
      <c r="O64" s="566"/>
      <c r="P64" s="566"/>
    </row>
    <row r="65" spans="2:16" x14ac:dyDescent="0.35">
      <c r="B65" s="365"/>
      <c r="D65" s="566"/>
      <c r="E65" s="566"/>
      <c r="F65" s="566"/>
      <c r="G65" s="566"/>
      <c r="H65" s="566"/>
      <c r="I65" s="566"/>
      <c r="J65" s="566"/>
      <c r="K65" s="566"/>
      <c r="L65" s="566"/>
      <c r="M65" s="566"/>
      <c r="N65" s="566"/>
      <c r="O65" s="566"/>
      <c r="P65" s="566"/>
    </row>
    <row r="66" spans="2:16" x14ac:dyDescent="0.35">
      <c r="B66" s="365"/>
      <c r="D66" s="566"/>
      <c r="E66" s="566"/>
      <c r="F66" s="566"/>
      <c r="G66" s="566"/>
      <c r="H66" s="566"/>
      <c r="I66" s="566"/>
      <c r="J66" s="566"/>
      <c r="K66" s="566"/>
      <c r="L66" s="566"/>
      <c r="M66" s="566"/>
      <c r="N66" s="566"/>
      <c r="O66" s="566"/>
      <c r="P66" s="566"/>
    </row>
    <row r="67" spans="2:16" x14ac:dyDescent="0.35">
      <c r="B67" s="365"/>
      <c r="D67" s="566"/>
      <c r="E67" s="566"/>
      <c r="F67" s="566"/>
      <c r="G67" s="566"/>
      <c r="H67" s="566"/>
      <c r="I67" s="566"/>
      <c r="J67" s="566"/>
      <c r="K67" s="566"/>
      <c r="L67" s="566"/>
      <c r="M67" s="566"/>
      <c r="N67" s="566"/>
      <c r="O67" s="566"/>
      <c r="P67" s="566"/>
    </row>
    <row r="68" spans="2:16" x14ac:dyDescent="0.35">
      <c r="B68" s="365"/>
      <c r="D68" s="566"/>
      <c r="E68" s="566"/>
      <c r="F68" s="566"/>
      <c r="G68" s="566"/>
      <c r="H68" s="566"/>
      <c r="I68" s="566"/>
      <c r="J68" s="566"/>
      <c r="K68" s="566"/>
      <c r="L68" s="566"/>
      <c r="M68" s="566"/>
      <c r="N68" s="566"/>
      <c r="O68" s="566"/>
      <c r="P68" s="56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5"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6" zoomScaleNormal="100" zoomScaleSheetLayoutView="100" workbookViewId="0">
      <selection activeCell="J22" sqref="J22"/>
    </sheetView>
  </sheetViews>
  <sheetFormatPr defaultColWidth="9.1328125" defaultRowHeight="12.75" x14ac:dyDescent="0.35"/>
  <cols>
    <col min="1" max="1" width="1.265625" style="5" customWidth="1"/>
    <col min="2" max="2" width="5.73046875" style="5" customWidth="1"/>
    <col min="3" max="3" width="2.73046875" style="5" customWidth="1"/>
    <col min="4" max="4" width="27.3984375" style="5" customWidth="1"/>
    <col min="5" max="5" width="1.3984375" style="5" customWidth="1"/>
    <col min="6" max="6" width="15.73046875" style="5" customWidth="1"/>
    <col min="7" max="7" width="2.73046875" style="5" customWidth="1"/>
    <col min="8" max="8" width="15.59765625" style="5" customWidth="1"/>
    <col min="9" max="9" width="1.73046875" style="5" customWidth="1"/>
    <col min="10" max="10" width="15.73046875" style="5" customWidth="1"/>
    <col min="11" max="11" width="2.73046875" style="5" customWidth="1"/>
    <col min="12" max="12" width="15.73046875" style="5" customWidth="1"/>
    <col min="13" max="13" width="1.73046875" style="5" customWidth="1"/>
    <col min="14" max="14" width="15.73046875" style="5" customWidth="1"/>
    <col min="15" max="15" width="2.86328125" style="5" customWidth="1"/>
    <col min="16" max="16" width="15.73046875" style="5" customWidth="1"/>
    <col min="17" max="17" width="1.73046875" style="5" customWidth="1"/>
    <col min="18" max="16384" width="9.1328125" style="5"/>
  </cols>
  <sheetData>
    <row r="1" spans="2:16" s="2" customFormat="1" ht="23.25" x14ac:dyDescent="0.35">
      <c r="C1" s="592"/>
      <c r="D1" s="592"/>
      <c r="E1" s="592"/>
      <c r="F1" s="592"/>
      <c r="G1" s="592"/>
      <c r="H1" s="592"/>
      <c r="I1" s="592"/>
      <c r="J1" s="592"/>
      <c r="K1" s="592"/>
      <c r="L1" s="592"/>
      <c r="M1" s="592"/>
      <c r="N1" s="592"/>
      <c r="O1" s="592"/>
      <c r="P1" s="147" t="str">
        <f>CONCATENATE('2. Table of Contents'!$F$6," ",'2. Table of Contents'!$G$6)</f>
        <v xml:space="preserve"> </v>
      </c>
    </row>
    <row r="2" spans="2:16" s="2" customFormat="1" ht="17.25" x14ac:dyDescent="0.45">
      <c r="C2" s="593"/>
      <c r="D2" s="593"/>
      <c r="E2" s="593"/>
      <c r="F2" s="593"/>
      <c r="G2" s="593"/>
      <c r="H2" s="593"/>
      <c r="I2" s="593"/>
      <c r="J2" s="593"/>
      <c r="K2" s="593"/>
      <c r="L2" s="593"/>
      <c r="M2" s="593"/>
      <c r="N2" s="593"/>
      <c r="O2" s="593"/>
    </row>
    <row r="3" spans="2:16" s="2" customFormat="1" ht="17.25" x14ac:dyDescent="0.45">
      <c r="C3" s="593"/>
      <c r="D3" s="593"/>
      <c r="E3" s="593"/>
      <c r="F3" s="593"/>
      <c r="G3" s="593"/>
      <c r="H3" s="593"/>
      <c r="I3" s="593"/>
      <c r="J3" s="593"/>
      <c r="K3" s="593"/>
      <c r="L3" s="593"/>
      <c r="M3" s="593"/>
      <c r="N3" s="593"/>
      <c r="O3" s="593"/>
    </row>
    <row r="4" spans="2:16" s="2" customFormat="1" ht="17.25" x14ac:dyDescent="0.45">
      <c r="C4" s="593"/>
      <c r="D4" s="593"/>
      <c r="E4" s="593"/>
      <c r="F4" s="593"/>
      <c r="G4" s="593"/>
      <c r="H4" s="593"/>
    </row>
    <row r="5" spans="2:16" s="2" customFormat="1" ht="15" x14ac:dyDescent="0.4">
      <c r="E5" s="3"/>
      <c r="F5" s="3"/>
    </row>
    <row r="6" spans="2:16" s="2" customFormat="1" ht="36.75" customHeight="1" x14ac:dyDescent="0.35"/>
    <row r="7" spans="2:16" ht="4.5" customHeight="1" x14ac:dyDescent="0.35"/>
    <row r="8" spans="2:16" ht="15" x14ac:dyDescent="0.4">
      <c r="E8" s="58"/>
      <c r="F8" s="579"/>
      <c r="G8" s="579"/>
      <c r="H8" s="579"/>
      <c r="I8" s="579"/>
      <c r="J8" s="579"/>
      <c r="K8" s="579"/>
      <c r="L8" s="579"/>
      <c r="M8" s="579"/>
      <c r="N8" s="579"/>
      <c r="O8" s="579"/>
      <c r="P8" s="579"/>
    </row>
    <row r="9" spans="2:16" ht="15" x14ac:dyDescent="0.4">
      <c r="E9" s="58"/>
      <c r="F9" s="59"/>
      <c r="G9" s="59"/>
      <c r="H9" s="59"/>
      <c r="I9" s="59"/>
      <c r="J9" s="59"/>
      <c r="K9" s="59"/>
      <c r="L9" s="59"/>
      <c r="M9" s="59"/>
      <c r="N9" s="59"/>
      <c r="O9" s="59"/>
      <c r="P9" s="59"/>
    </row>
    <row r="10" spans="2:16" ht="17.649999999999999" x14ac:dyDescent="0.5">
      <c r="B10" s="382" t="s">
        <v>251</v>
      </c>
      <c r="E10" s="58"/>
      <c r="F10" s="59"/>
      <c r="G10" s="59"/>
      <c r="H10" s="59"/>
      <c r="I10" s="59"/>
      <c r="J10" s="59"/>
      <c r="K10" s="59"/>
      <c r="L10" s="59"/>
      <c r="M10" s="59"/>
      <c r="N10" s="59"/>
      <c r="O10" s="59"/>
      <c r="P10" s="59"/>
    </row>
    <row r="11" spans="2:16" ht="15" x14ac:dyDescent="0.4">
      <c r="E11" s="58"/>
      <c r="F11" s="59"/>
      <c r="G11" s="59"/>
      <c r="H11" s="59"/>
      <c r="I11" s="59"/>
      <c r="J11" s="59"/>
      <c r="K11" s="59"/>
      <c r="L11" s="59"/>
      <c r="M11" s="59"/>
      <c r="N11" s="59"/>
      <c r="O11" s="59"/>
      <c r="P11" s="59"/>
    </row>
    <row r="12" spans="2:16" ht="15" x14ac:dyDescent="0.4">
      <c r="E12" s="58"/>
      <c r="F12" s="59"/>
      <c r="G12" s="59"/>
      <c r="H12" s="59"/>
      <c r="I12" s="59"/>
      <c r="J12" s="59"/>
      <c r="K12" s="59"/>
      <c r="L12" s="59"/>
      <c r="M12" s="59"/>
      <c r="N12" s="59"/>
      <c r="O12" s="59"/>
      <c r="P12" s="59"/>
    </row>
    <row r="13" spans="2:16" ht="15" x14ac:dyDescent="0.4">
      <c r="E13" s="58"/>
      <c r="F13" s="598" t="s">
        <v>155</v>
      </c>
      <c r="G13" s="598"/>
      <c r="H13" s="598"/>
      <c r="I13" s="310"/>
      <c r="J13" s="598" t="str">
        <f>IF(ISBLANK('3. Data_Input_Sheet'!M12),"",'3. Data_Input_Sheet'!M12)</f>
        <v>Application Update</v>
      </c>
      <c r="K13" s="598"/>
      <c r="L13" s="598"/>
      <c r="M13" s="310"/>
      <c r="N13" s="598" t="str">
        <f>'3. Data_Input_Sheet'!U12</f>
        <v>Per Board Decision</v>
      </c>
      <c r="O13" s="598"/>
      <c r="P13" s="598"/>
    </row>
    <row r="14" spans="2:16" ht="6" customHeight="1" x14ac:dyDescent="0.4">
      <c r="D14" s="59"/>
      <c r="E14" s="59"/>
      <c r="F14" s="310"/>
      <c r="G14" s="310"/>
      <c r="H14" s="310"/>
      <c r="I14" s="310"/>
      <c r="J14" s="310"/>
      <c r="K14" s="310"/>
      <c r="L14" s="310"/>
      <c r="M14" s="310"/>
      <c r="N14" s="310"/>
      <c r="O14" s="310"/>
      <c r="P14" s="311"/>
    </row>
    <row r="15" spans="2:16" x14ac:dyDescent="0.35">
      <c r="B15" s="596" t="s">
        <v>37</v>
      </c>
      <c r="D15" s="595" t="s">
        <v>36</v>
      </c>
      <c r="F15" s="602" t="s">
        <v>127</v>
      </c>
      <c r="G15" s="312"/>
      <c r="H15" s="600" t="s">
        <v>128</v>
      </c>
      <c r="I15" s="313"/>
      <c r="J15" s="602" t="s">
        <v>127</v>
      </c>
      <c r="K15" s="312"/>
      <c r="L15" s="600" t="s">
        <v>128</v>
      </c>
      <c r="M15" s="313"/>
      <c r="N15" s="602" t="s">
        <v>127</v>
      </c>
      <c r="O15" s="312"/>
      <c r="P15" s="600" t="s">
        <v>128</v>
      </c>
    </row>
    <row r="16" spans="2:16" ht="24.75" customHeight="1" x14ac:dyDescent="0.35">
      <c r="B16" s="597"/>
      <c r="C16" s="61"/>
      <c r="D16" s="588"/>
      <c r="E16" s="44"/>
      <c r="F16" s="603"/>
      <c r="G16" s="308"/>
      <c r="H16" s="601"/>
      <c r="I16" s="313"/>
      <c r="J16" s="603"/>
      <c r="K16" s="2"/>
      <c r="L16" s="601"/>
      <c r="M16" s="313"/>
      <c r="N16" s="603"/>
      <c r="O16" s="2"/>
      <c r="P16" s="601"/>
    </row>
    <row r="17" spans="2:18" ht="13.15" x14ac:dyDescent="0.4">
      <c r="B17" s="62"/>
      <c r="C17" s="61"/>
      <c r="D17" s="44"/>
      <c r="E17" s="44"/>
      <c r="F17" s="63"/>
      <c r="G17" s="44"/>
      <c r="H17" s="64"/>
      <c r="J17" s="65"/>
      <c r="K17" s="66"/>
      <c r="L17" s="67"/>
      <c r="N17" s="65"/>
      <c r="O17" s="66"/>
      <c r="P17" s="67"/>
      <c r="Q17" s="139"/>
    </row>
    <row r="18" spans="2:18" ht="13.15" x14ac:dyDescent="0.4">
      <c r="B18" s="4"/>
      <c r="D18" s="4"/>
      <c r="F18" s="65"/>
      <c r="G18" s="66"/>
      <c r="H18" s="35"/>
      <c r="J18" s="65"/>
      <c r="K18" s="66"/>
      <c r="L18" s="35"/>
      <c r="N18" s="65"/>
      <c r="O18" s="66"/>
      <c r="P18" s="35"/>
      <c r="Q18" s="139"/>
    </row>
    <row r="19" spans="2:18" ht="13.15" x14ac:dyDescent="0.35">
      <c r="B19" s="171">
        <v>1</v>
      </c>
      <c r="D19" s="5" t="s">
        <v>149</v>
      </c>
      <c r="F19" s="204"/>
      <c r="G19" s="205"/>
      <c r="H19" s="206">
        <f>F52</f>
        <v>1371.4977666711936</v>
      </c>
      <c r="I19" s="197"/>
      <c r="J19" s="204"/>
      <c r="K19" s="205"/>
      <c r="L19" s="206">
        <f>J52</f>
        <v>836.05094508669151</v>
      </c>
      <c r="M19" s="197"/>
      <c r="N19" s="204"/>
      <c r="O19" s="205"/>
      <c r="P19" s="206">
        <f>N52</f>
        <v>799.26893142046276</v>
      </c>
      <c r="Q19" s="139"/>
    </row>
    <row r="20" spans="2:18" ht="13.15" x14ac:dyDescent="0.35">
      <c r="B20" s="171">
        <v>2</v>
      </c>
      <c r="D20" s="5" t="s">
        <v>150</v>
      </c>
      <c r="F20" s="207">
        <f>'3. Data_Input_Sheet'!E25</f>
        <v>23603.655927909476</v>
      </c>
      <c r="G20" s="205"/>
      <c r="H20" s="206">
        <f>'3. Data_Input_Sheet'!E26-H19</f>
        <v>23603.655927909473</v>
      </c>
      <c r="I20" s="197"/>
      <c r="J20" s="207">
        <f>IF(ISBLANK('3. Data_Input_Sheet'!M25),'3. Data_Input_Sheet'!E25,'3. Data_Input_Sheet'!M25)</f>
        <v>22904.47944886141</v>
      </c>
      <c r="K20" s="205"/>
      <c r="L20" s="206">
        <f>IF(ISBLANK('3. Data_Input_Sheet'!M26),'3. Data_Input_Sheet'!E26-L19,'3. Data_Input_Sheet'!M26-L19)</f>
        <v>22904.479448861406</v>
      </c>
      <c r="M20" s="197"/>
      <c r="N20" s="207">
        <f>IF(ISBLANK('3. Data_Input_Sheet'!U25),'3. Data_Input_Sheet'!M25,'3. Data_Input_Sheet'!U25)</f>
        <v>23317.925730277813</v>
      </c>
      <c r="O20" s="205"/>
      <c r="P20" s="206">
        <f>IF(ISBLANK('3. Data_Input_Sheet'!U26),'3. Data_Input_Sheet'!M26-P19,'3. Data_Input_Sheet'!U26-P19)</f>
        <v>23317.925730277813</v>
      </c>
      <c r="Q20" s="139"/>
    </row>
    <row r="21" spans="2:18" ht="25.5" x14ac:dyDescent="0.35">
      <c r="B21" s="171">
        <v>3</v>
      </c>
      <c r="D21" s="28" t="s">
        <v>151</v>
      </c>
      <c r="F21" s="208">
        <f>'5. Utility Income'!F48</f>
        <v>1395.4404881099958</v>
      </c>
      <c r="G21" s="205"/>
      <c r="H21" s="209">
        <f>'5. Utility Income'!F48</f>
        <v>1395.4404881099958</v>
      </c>
      <c r="I21" s="197"/>
      <c r="J21" s="208">
        <f>'5. Utility Income'!N48</f>
        <v>1389.649886392134</v>
      </c>
      <c r="K21" s="205"/>
      <c r="L21" s="206">
        <f>J21</f>
        <v>1389.649886392134</v>
      </c>
      <c r="M21" s="197"/>
      <c r="N21" s="208">
        <f>'5. Utility Income'!V48</f>
        <v>1384.7280647113867</v>
      </c>
      <c r="O21" s="205"/>
      <c r="P21" s="206">
        <f>'5. Utility Income'!V48</f>
        <v>1384.7280647113867</v>
      </c>
      <c r="Q21" s="139"/>
    </row>
    <row r="22" spans="2:18" ht="13.5" thickBot="1" x14ac:dyDescent="0.45">
      <c r="B22" s="171">
        <v>4</v>
      </c>
      <c r="D22" s="16" t="s">
        <v>110</v>
      </c>
      <c r="F22" s="210">
        <f>SUM(F20:F21)</f>
        <v>24999.096416019471</v>
      </c>
      <c r="G22" s="205"/>
      <c r="H22" s="211">
        <f>SUM(H19:H21)</f>
        <v>26370.59418269066</v>
      </c>
      <c r="I22" s="197"/>
      <c r="J22" s="212">
        <f>SUM(J20:J21)</f>
        <v>24294.129335253543</v>
      </c>
      <c r="K22" s="205"/>
      <c r="L22" s="211">
        <f>SUM(L19:L21)</f>
        <v>25130.180280340232</v>
      </c>
      <c r="M22" s="197"/>
      <c r="N22" s="212">
        <f>SUM(N20:N21)</f>
        <v>24702.653794989201</v>
      </c>
      <c r="O22" s="205"/>
      <c r="P22" s="211">
        <f>SUM(P19:P21)</f>
        <v>25501.922726409663</v>
      </c>
      <c r="Q22" s="139"/>
    </row>
    <row r="23" spans="2:18" ht="13.5" thickTop="1" x14ac:dyDescent="0.35">
      <c r="B23" s="171"/>
      <c r="F23" s="213"/>
      <c r="G23" s="205"/>
      <c r="H23" s="214"/>
      <c r="I23" s="197"/>
      <c r="J23" s="213"/>
      <c r="K23" s="205"/>
      <c r="L23" s="206"/>
      <c r="M23" s="197"/>
      <c r="N23" s="213"/>
      <c r="O23" s="205"/>
      <c r="P23" s="206"/>
      <c r="Q23" s="139"/>
    </row>
    <row r="24" spans="2:18" ht="13.15" x14ac:dyDescent="0.35">
      <c r="B24" s="171">
        <v>5</v>
      </c>
      <c r="C24" s="15"/>
      <c r="D24" s="24" t="s">
        <v>117</v>
      </c>
      <c r="E24" s="15"/>
      <c r="F24" s="207">
        <f>'5. Utility Income'!F27</f>
        <v>18445.141633596359</v>
      </c>
      <c r="G24" s="205"/>
      <c r="H24" s="206">
        <f>'5. Utility Income'!F27</f>
        <v>18445.141633596359</v>
      </c>
      <c r="I24" s="197"/>
      <c r="J24" s="207">
        <f>'5. Utility Income'!N27</f>
        <v>18268.377744707468</v>
      </c>
      <c r="K24" s="205"/>
      <c r="L24" s="206">
        <f>'5. Utility Income'!N27</f>
        <v>18268.377744707468</v>
      </c>
      <c r="M24" s="197"/>
      <c r="N24" s="207">
        <f>'5. Utility Income'!V27</f>
        <v>18246.377744707468</v>
      </c>
      <c r="O24" s="205"/>
      <c r="P24" s="206">
        <f>'5. Utility Income'!V27</f>
        <v>18246.377744707468</v>
      </c>
      <c r="Q24" s="140"/>
      <c r="R24" s="15"/>
    </row>
    <row r="25" spans="2:18" ht="13.15" x14ac:dyDescent="0.35">
      <c r="B25" s="171">
        <v>6</v>
      </c>
      <c r="C25" s="15"/>
      <c r="D25" s="24" t="s">
        <v>95</v>
      </c>
      <c r="E25" s="15"/>
      <c r="F25" s="207">
        <f>'5. Utility Income'!F30</f>
        <v>2874.9108730923822</v>
      </c>
      <c r="G25" s="205"/>
      <c r="H25" s="206">
        <f>'5. Utility Income'!F30</f>
        <v>2874.9108730923822</v>
      </c>
      <c r="I25" s="197"/>
      <c r="J25" s="207">
        <f>'5. Utility Income'!N30</f>
        <v>2333.0448778472837</v>
      </c>
      <c r="K25" s="205"/>
      <c r="L25" s="206">
        <f>'5. Utility Income'!N30</f>
        <v>2333.0448778472837</v>
      </c>
      <c r="M25" s="197"/>
      <c r="N25" s="207">
        <f>'5. Utility Income'!V30</f>
        <v>2563.5697352175812</v>
      </c>
      <c r="O25" s="205"/>
      <c r="P25" s="206">
        <f>'5. Utility Income'!V30</f>
        <v>2563.5697352175812</v>
      </c>
      <c r="Q25" s="140"/>
      <c r="R25" s="15"/>
    </row>
    <row r="26" spans="2:18" ht="13.5" thickBot="1" x14ac:dyDescent="0.45">
      <c r="B26" s="171">
        <v>8</v>
      </c>
      <c r="D26" s="16" t="s">
        <v>118</v>
      </c>
      <c r="F26" s="210">
        <f>SUM(F24:F25)</f>
        <v>21320.052506688742</v>
      </c>
      <c r="G26" s="205"/>
      <c r="H26" s="211">
        <f>SUM(H24:H25)</f>
        <v>21320.052506688742</v>
      </c>
      <c r="I26" s="197"/>
      <c r="J26" s="212">
        <f>SUM(J24:J25)</f>
        <v>20601.422622554754</v>
      </c>
      <c r="K26" s="205"/>
      <c r="L26" s="211">
        <f>SUM(L24:L25)</f>
        <v>20601.422622554754</v>
      </c>
      <c r="M26" s="197"/>
      <c r="N26" s="212">
        <f>SUM(N24:N25)</f>
        <v>20809.947479925049</v>
      </c>
      <c r="O26" s="205"/>
      <c r="P26" s="211">
        <f>SUM(P24:P25)</f>
        <v>20809.947479925049</v>
      </c>
      <c r="Q26" s="139"/>
    </row>
    <row r="27" spans="2:18" ht="13.5" thickTop="1" x14ac:dyDescent="0.4">
      <c r="B27" s="171"/>
      <c r="D27" s="4"/>
      <c r="F27" s="207"/>
      <c r="G27" s="205"/>
      <c r="H27" s="206"/>
      <c r="I27" s="197"/>
      <c r="J27" s="213"/>
      <c r="K27" s="205"/>
      <c r="L27" s="206"/>
      <c r="M27" s="197"/>
      <c r="N27" s="213"/>
      <c r="O27" s="205"/>
      <c r="P27" s="206"/>
      <c r="Q27" s="139"/>
    </row>
    <row r="28" spans="2:18" ht="26.25" x14ac:dyDescent="0.4">
      <c r="B28" s="171">
        <v>9</v>
      </c>
      <c r="D28" s="56" t="s">
        <v>111</v>
      </c>
      <c r="F28" s="207">
        <f>F22-F26</f>
        <v>3679.0439093307286</v>
      </c>
      <c r="G28" s="205"/>
      <c r="H28" s="206">
        <f>H22-H26</f>
        <v>5050.5416760019179</v>
      </c>
      <c r="I28" s="197"/>
      <c r="J28" s="213">
        <f>J22-J26</f>
        <v>3692.7067126987895</v>
      </c>
      <c r="K28" s="205"/>
      <c r="L28" s="206">
        <f>L22-L26</f>
        <v>4528.7576577854779</v>
      </c>
      <c r="M28" s="197"/>
      <c r="N28" s="213">
        <f>N22-N26</f>
        <v>3892.7063150641516</v>
      </c>
      <c r="O28" s="205"/>
      <c r="P28" s="206">
        <f>P22-P26</f>
        <v>4691.9752464846133</v>
      </c>
      <c r="Q28" s="139"/>
    </row>
    <row r="29" spans="2:18" ht="13.15" x14ac:dyDescent="0.35">
      <c r="B29" s="171"/>
      <c r="D29" s="5" t="s">
        <v>60</v>
      </c>
      <c r="F29" s="213"/>
      <c r="G29" s="205"/>
      <c r="H29" s="214"/>
      <c r="I29" s="197"/>
      <c r="J29" s="213"/>
      <c r="K29" s="205"/>
      <c r="L29" s="206"/>
      <c r="M29" s="197"/>
      <c r="N29" s="213"/>
      <c r="O29" s="205"/>
      <c r="P29" s="206"/>
      <c r="Q29" s="139"/>
    </row>
    <row r="30" spans="2:18" ht="25.5" customHeight="1" x14ac:dyDescent="0.35">
      <c r="B30" s="171">
        <v>10</v>
      </c>
      <c r="D30" s="71" t="s">
        <v>282</v>
      </c>
      <c r="F30" s="208">
        <f>'3. Data_Input_Sheet'!E44</f>
        <v>-2796.4609740625165</v>
      </c>
      <c r="G30" s="205"/>
      <c r="H30" s="209">
        <f>'3. Data_Input_Sheet'!E44</f>
        <v>-2796.4609740625165</v>
      </c>
      <c r="I30" s="197"/>
      <c r="J30" s="208">
        <f>IF(ISBLANK('3. Data_Input_Sheet'!M44),'3. Data_Input_Sheet'!E44,'3. Data_Input_Sheet'!M44)</f>
        <v>-2385.6248629514048</v>
      </c>
      <c r="K30" s="205"/>
      <c r="L30" s="209">
        <f>IF(ISBLANK('3. Data_Input_Sheet'!M44),'3. Data_Input_Sheet'!E44,'3. Data_Input_Sheet'!M44)</f>
        <v>-2385.6248629514048</v>
      </c>
      <c r="M30" s="197"/>
      <c r="N30" s="208">
        <f>IF(ISBLANK('3. Data_Input_Sheet'!U44),'3. Data_Input_Sheet'!M44,'3. Data_Input_Sheet'!U44)</f>
        <v>-2407.6248629514048</v>
      </c>
      <c r="O30" s="205"/>
      <c r="P30" s="209">
        <f>IF(ISBLANK('3. Data_Input_Sheet'!U44),'3. Data_Input_Sheet'!M44,'3. Data_Input_Sheet'!U44)</f>
        <v>-2407.6248629514048</v>
      </c>
      <c r="Q30" s="139"/>
    </row>
    <row r="31" spans="2:18" ht="13.15" x14ac:dyDescent="0.4">
      <c r="B31" s="171">
        <v>11</v>
      </c>
      <c r="D31" s="16" t="s">
        <v>115</v>
      </c>
      <c r="F31" s="213">
        <f>SUM(F28:F30)</f>
        <v>882.58293526821217</v>
      </c>
      <c r="G31" s="205"/>
      <c r="H31" s="214">
        <f>SUM(H28:H30)</f>
        <v>2254.0807019394015</v>
      </c>
      <c r="I31" s="197"/>
      <c r="J31" s="213">
        <f>SUM(J28+J30)</f>
        <v>1307.0818497473847</v>
      </c>
      <c r="K31" s="205"/>
      <c r="L31" s="206">
        <f>L28+L30</f>
        <v>2143.1327948340731</v>
      </c>
      <c r="M31" s="197"/>
      <c r="N31" s="213">
        <f>SUM(N28+N30)</f>
        <v>1485.0814521127468</v>
      </c>
      <c r="O31" s="205"/>
      <c r="P31" s="206">
        <f>P28+P30</f>
        <v>2284.3503835332085</v>
      </c>
      <c r="Q31" s="139"/>
    </row>
    <row r="32" spans="2:18" ht="13.15" x14ac:dyDescent="0.4">
      <c r="B32" s="171"/>
      <c r="D32" s="4"/>
      <c r="F32" s="213"/>
      <c r="G32" s="205"/>
      <c r="H32" s="214"/>
      <c r="I32" s="197"/>
      <c r="J32" s="213"/>
      <c r="K32" s="205"/>
      <c r="L32" s="214"/>
      <c r="M32" s="197"/>
      <c r="N32" s="213"/>
      <c r="O32" s="205"/>
      <c r="P32" s="214"/>
      <c r="Q32" s="139"/>
    </row>
    <row r="33" spans="2:17" ht="13.15" x14ac:dyDescent="0.35">
      <c r="B33" s="171">
        <v>12</v>
      </c>
      <c r="D33" s="25" t="s">
        <v>152</v>
      </c>
      <c r="F33" s="215">
        <f>'6. Taxes_PILs'!G41</f>
        <v>0.24509056100135035</v>
      </c>
      <c r="G33" s="216"/>
      <c r="H33" s="203">
        <f>'6. Taxes_PILs'!G41</f>
        <v>0.24509056100135035</v>
      </c>
      <c r="I33" s="217"/>
      <c r="J33" s="215">
        <f>'6. Taxes_PILs'!K41</f>
        <v>0.24412047727761066</v>
      </c>
      <c r="K33" s="216"/>
      <c r="L33" s="203">
        <f>'6. Taxes_PILs'!K41</f>
        <v>0.24412047727761066</v>
      </c>
      <c r="M33" s="217"/>
      <c r="N33" s="215">
        <f>'6. Taxes_PILs'!O41</f>
        <v>0.24533974899052363</v>
      </c>
      <c r="O33" s="216"/>
      <c r="P33" s="203">
        <f>'6. Taxes_PILs'!O41</f>
        <v>0.24533974899052363</v>
      </c>
      <c r="Q33" s="139"/>
    </row>
    <row r="34" spans="2:17" ht="26.25" x14ac:dyDescent="0.4">
      <c r="B34" s="171">
        <v>13</v>
      </c>
      <c r="D34" s="166" t="s">
        <v>153</v>
      </c>
      <c r="F34" s="207">
        <f>F31*F33</f>
        <v>216.31274673510461</v>
      </c>
      <c r="G34" s="205"/>
      <c r="H34" s="206">
        <f>H31*H33</f>
        <v>552.45390378064553</v>
      </c>
      <c r="I34" s="197"/>
      <c r="J34" s="213">
        <f>J31*J33</f>
        <v>319.08544500123372</v>
      </c>
      <c r="K34" s="205"/>
      <c r="L34" s="206">
        <f>L31*L33</f>
        <v>523.18260074419356</v>
      </c>
      <c r="M34" s="197"/>
      <c r="N34" s="213">
        <f>N31*N33</f>
        <v>364.34951069182364</v>
      </c>
      <c r="O34" s="205"/>
      <c r="P34" s="206">
        <f>P31*P33</f>
        <v>560.44194970244371</v>
      </c>
      <c r="Q34" s="139"/>
    </row>
    <row r="35" spans="2:17" ht="13.15" x14ac:dyDescent="0.4">
      <c r="B35" s="171">
        <v>14</v>
      </c>
      <c r="D35" s="4" t="s">
        <v>116</v>
      </c>
      <c r="F35" s="207">
        <f>'3. Data_Input_Sheet'!E51</f>
        <v>-56.333333333333336</v>
      </c>
      <c r="G35" s="205"/>
      <c r="H35" s="206">
        <f>'3. Data_Input_Sheet'!E51</f>
        <v>-56.333333333333336</v>
      </c>
      <c r="I35" s="197"/>
      <c r="J35" s="207">
        <f>IF(ISBLANK('3. Data_Input_Sheet'!M51),'3. Data_Input_Sheet'!E51,'3. Data_Input_Sheet'!M51)</f>
        <v>-56.333333333333336</v>
      </c>
      <c r="K35" s="205"/>
      <c r="L35" s="206">
        <f>IF(ISBLANK('3. Data_Input_Sheet'!M51),'3. Data_Input_Sheet'!E51,'3. Data_Input_Sheet'!M51)</f>
        <v>-56.333333333333336</v>
      </c>
      <c r="M35" s="197"/>
      <c r="N35" s="207">
        <f>IF(ISBLANK('3. Data_Input_Sheet'!U51),'3. Data_Input_Sheet'!M51,'3. Data_Input_Sheet'!U51)</f>
        <v>-56.333333333333336</v>
      </c>
      <c r="O35" s="205"/>
      <c r="P35" s="206">
        <f>IF(ISBLANK('3. Data_Input_Sheet'!U51),'3. Data_Input_Sheet'!M51,'3. Data_Input_Sheet'!U51)</f>
        <v>-56.333333333333336</v>
      </c>
      <c r="Q35" s="139"/>
    </row>
    <row r="36" spans="2:17" ht="13.5" thickBot="1" x14ac:dyDescent="0.45">
      <c r="B36" s="171">
        <v>15</v>
      </c>
      <c r="D36" s="16" t="s">
        <v>112</v>
      </c>
      <c r="F36" s="210">
        <f>F28-SUM(F34:F35)</f>
        <v>3519.0644959289575</v>
      </c>
      <c r="G36" s="205"/>
      <c r="H36" s="211">
        <f>'5. Utility Income'!F37</f>
        <v>4554.4211055546048</v>
      </c>
      <c r="I36" s="197"/>
      <c r="J36" s="212">
        <f>J28-SUM(J34:J35)</f>
        <v>3429.9546010308891</v>
      </c>
      <c r="K36" s="205"/>
      <c r="L36" s="211">
        <f>'5. Utility Income'!N37</f>
        <v>4061.9083903746168</v>
      </c>
      <c r="M36" s="197"/>
      <c r="N36" s="212">
        <f>N28-SUM(N34:N35)</f>
        <v>3584.6901377056611</v>
      </c>
      <c r="O36" s="205"/>
      <c r="P36" s="211">
        <f>'5. Utility Income'!V37</f>
        <v>4187.8666301155026</v>
      </c>
      <c r="Q36" s="139"/>
    </row>
    <row r="37" spans="2:17" ht="13.5" thickTop="1" x14ac:dyDescent="0.35">
      <c r="B37" s="171"/>
      <c r="F37" s="213"/>
      <c r="G37" s="205"/>
      <c r="H37" s="214"/>
      <c r="I37" s="197"/>
      <c r="J37" s="213"/>
      <c r="K37" s="205"/>
      <c r="L37" s="214"/>
      <c r="M37" s="197"/>
      <c r="N37" s="213"/>
      <c r="O37" s="205"/>
      <c r="P37" s="214"/>
      <c r="Q37" s="139"/>
    </row>
    <row r="38" spans="2:17" ht="13.15" x14ac:dyDescent="0.4">
      <c r="B38" s="171">
        <v>16</v>
      </c>
      <c r="D38" s="16" t="s">
        <v>48</v>
      </c>
      <c r="F38" s="207">
        <f>'4. Rate_Base'!G18</f>
        <v>123896.11277352041</v>
      </c>
      <c r="G38" s="205"/>
      <c r="H38" s="206">
        <f>'4. Rate_Base'!G18</f>
        <v>123896.11277352041</v>
      </c>
      <c r="I38" s="197"/>
      <c r="J38" s="207">
        <f>'4. Rate_Base'!O18</f>
        <v>115657.98378059854</v>
      </c>
      <c r="K38" s="205"/>
      <c r="L38" s="206">
        <f>'4. Rate_Base'!O18</f>
        <v>115657.98378059854</v>
      </c>
      <c r="M38" s="197"/>
      <c r="N38" s="207">
        <f>'4. Rate_Base'!W18</f>
        <v>116329.62861431958</v>
      </c>
      <c r="O38" s="205"/>
      <c r="P38" s="206">
        <f>'4. Rate_Base'!W18</f>
        <v>116329.62861431958</v>
      </c>
      <c r="Q38" s="139"/>
    </row>
    <row r="39" spans="2:17" ht="13.15" x14ac:dyDescent="0.4">
      <c r="B39" s="171"/>
      <c r="D39" s="4"/>
      <c r="F39" s="207"/>
      <c r="G39" s="205"/>
      <c r="H39" s="206"/>
      <c r="I39" s="197"/>
      <c r="J39" s="213"/>
      <c r="K39" s="205"/>
      <c r="L39" s="206"/>
      <c r="M39" s="197"/>
      <c r="N39" s="213"/>
      <c r="O39" s="205"/>
      <c r="P39" s="206"/>
      <c r="Q39" s="139"/>
    </row>
    <row r="40" spans="2:17" ht="25.5" x14ac:dyDescent="0.35">
      <c r="B40" s="171">
        <v>17</v>
      </c>
      <c r="D40" s="167" t="s">
        <v>132</v>
      </c>
      <c r="E40" s="72"/>
      <c r="F40" s="218">
        <f>'7. Cost_of_Capital'!J24</f>
        <v>49558.445109408152</v>
      </c>
      <c r="G40" s="219"/>
      <c r="H40" s="220">
        <f>F40</f>
        <v>49558.445109408152</v>
      </c>
      <c r="I40" s="197"/>
      <c r="J40" s="207">
        <f>'7. Cost_of_Capital'!J40</f>
        <v>46263.193512239406</v>
      </c>
      <c r="K40" s="205"/>
      <c r="L40" s="214">
        <f>J40</f>
        <v>46263.193512239406</v>
      </c>
      <c r="M40" s="197"/>
      <c r="N40" s="207">
        <f>'7. Cost_of_Capital'!J56</f>
        <v>46531.851445727822</v>
      </c>
      <c r="O40" s="205"/>
      <c r="P40" s="214">
        <f>N40</f>
        <v>46531.851445727822</v>
      </c>
      <c r="Q40" s="139"/>
    </row>
    <row r="41" spans="2:17" ht="13.15" x14ac:dyDescent="0.35">
      <c r="B41" s="171"/>
      <c r="D41" s="72"/>
      <c r="E41" s="72"/>
      <c r="F41" s="221"/>
      <c r="G41" s="219"/>
      <c r="H41" s="222"/>
      <c r="I41" s="197"/>
      <c r="J41" s="204"/>
      <c r="K41" s="205"/>
      <c r="L41" s="199"/>
      <c r="M41" s="197"/>
      <c r="N41" s="204"/>
      <c r="O41" s="205"/>
      <c r="P41" s="199"/>
      <c r="Q41" s="139"/>
    </row>
    <row r="42" spans="2:17" ht="25.5" x14ac:dyDescent="0.35">
      <c r="B42" s="171">
        <v>18</v>
      </c>
      <c r="D42" s="28" t="s">
        <v>235</v>
      </c>
      <c r="F42" s="215">
        <f>IF(F40=0,0,F36/F40)</f>
        <v>7.100837179536329E-2</v>
      </c>
      <c r="G42" s="205"/>
      <c r="H42" s="203">
        <f>IF(H40=0,0,H36/H40)</f>
        <v>9.1899999999999912E-2</v>
      </c>
      <c r="I42" s="197"/>
      <c r="J42" s="215">
        <f>IF(J40=0,0,J36/J40)</f>
        <v>7.4140030997286416E-2</v>
      </c>
      <c r="K42" s="205"/>
      <c r="L42" s="203">
        <f>IF(L40=0,0,L36/L40)</f>
        <v>8.7799999999999934E-2</v>
      </c>
      <c r="M42" s="197"/>
      <c r="N42" s="215">
        <f>IF(N40=0,0,N36/N40)</f>
        <v>7.7037341655890171E-2</v>
      </c>
      <c r="O42" s="205"/>
      <c r="P42" s="203">
        <f>IF(P40=0,0,P36/P40)</f>
        <v>8.9999999999999969E-2</v>
      </c>
      <c r="Q42" s="139"/>
    </row>
    <row r="43" spans="2:17" ht="25.5" x14ac:dyDescent="0.35">
      <c r="B43" s="171">
        <v>19</v>
      </c>
      <c r="D43" s="28" t="s">
        <v>119</v>
      </c>
      <c r="F43" s="223">
        <f>'7. Cost_of_Capital'!L24</f>
        <v>9.1899999999999982E-2</v>
      </c>
      <c r="G43" s="205"/>
      <c r="H43" s="224">
        <f>'7. Cost_of_Capital'!L24</f>
        <v>9.1899999999999982E-2</v>
      </c>
      <c r="I43" s="197"/>
      <c r="J43" s="225">
        <f>'7. Cost_of_Capital'!L40</f>
        <v>8.7800000000000003E-2</v>
      </c>
      <c r="K43" s="205"/>
      <c r="L43" s="224">
        <f>'7. Cost_of_Capital'!L40</f>
        <v>8.7800000000000003E-2</v>
      </c>
      <c r="M43" s="197"/>
      <c r="N43" s="225">
        <f>'7. Cost_of_Capital'!L56</f>
        <v>0.09</v>
      </c>
      <c r="O43" s="205"/>
      <c r="P43" s="224">
        <f>'7. Cost_of_Capital'!L56</f>
        <v>0.09</v>
      </c>
      <c r="Q43" s="139"/>
    </row>
    <row r="44" spans="2:17" ht="25.5" x14ac:dyDescent="0.35">
      <c r="B44" s="171">
        <v>20</v>
      </c>
      <c r="D44" s="28" t="s">
        <v>230</v>
      </c>
      <c r="F44" s="215">
        <f>F42-F43</f>
        <v>-2.0891628204636692E-2</v>
      </c>
      <c r="G44" s="205"/>
      <c r="H44" s="203">
        <f>H42-H43</f>
        <v>0</v>
      </c>
      <c r="I44" s="197"/>
      <c r="J44" s="226">
        <f>J42-J43</f>
        <v>-1.3659969002713587E-2</v>
      </c>
      <c r="K44" s="205"/>
      <c r="L44" s="203">
        <f>L42-L43</f>
        <v>0</v>
      </c>
      <c r="M44" s="197"/>
      <c r="N44" s="226">
        <f>N42-N43</f>
        <v>-1.2962658344109826E-2</v>
      </c>
      <c r="O44" s="205"/>
      <c r="P44" s="203">
        <f>P42-P43</f>
        <v>0</v>
      </c>
      <c r="Q44" s="139"/>
    </row>
    <row r="45" spans="2:17" ht="13.15" x14ac:dyDescent="0.35">
      <c r="B45" s="171"/>
      <c r="F45" s="215"/>
      <c r="G45" s="205"/>
      <c r="H45" s="203"/>
      <c r="I45" s="197"/>
      <c r="J45" s="204"/>
      <c r="K45" s="205"/>
      <c r="L45" s="199"/>
      <c r="M45" s="197"/>
      <c r="N45" s="204"/>
      <c r="O45" s="205"/>
      <c r="P45" s="199"/>
      <c r="Q45" s="139"/>
    </row>
    <row r="46" spans="2:17" ht="13.15" x14ac:dyDescent="0.35">
      <c r="B46" s="171">
        <v>21</v>
      </c>
      <c r="D46" s="5" t="s">
        <v>49</v>
      </c>
      <c r="F46" s="215">
        <f>IF(F38=0,0,(F36+F25)/F38)</f>
        <v>5.1607554312130828E-2</v>
      </c>
      <c r="G46" s="205"/>
      <c r="H46" s="203">
        <f>IF(H38=0,0,(H36+H25)/H38)</f>
        <v>5.9964205593985472E-2</v>
      </c>
      <c r="I46" s="197"/>
      <c r="J46" s="215">
        <f>IF(J38=0,0,(J36+J25)/J38)</f>
        <v>4.9827943480412876E-2</v>
      </c>
      <c r="K46" s="205"/>
      <c r="L46" s="203">
        <f>IF(L40=0,0,(L36+L25)/L38)</f>
        <v>5.5291931081498283E-2</v>
      </c>
      <c r="M46" s="197"/>
      <c r="N46" s="215">
        <f>IF(N38=0,0,(N36+N25)/N38)</f>
        <v>5.2852054512331034E-2</v>
      </c>
      <c r="O46" s="205"/>
      <c r="P46" s="203">
        <f>IF(P40=0,0,(P36+P25)/P38)</f>
        <v>5.8037117849974951E-2</v>
      </c>
      <c r="Q46" s="139"/>
    </row>
    <row r="47" spans="2:17" ht="25.5" x14ac:dyDescent="0.35">
      <c r="B47" s="171">
        <v>22</v>
      </c>
      <c r="D47" s="28" t="s">
        <v>120</v>
      </c>
      <c r="F47" s="225">
        <f>'7. Cost_of_Capital'!L26</f>
        <v>5.9964205593985499E-2</v>
      </c>
      <c r="G47" s="205"/>
      <c r="H47" s="227">
        <f>'7. Cost_of_Capital'!L26</f>
        <v>5.9964205593985499E-2</v>
      </c>
      <c r="I47" s="197"/>
      <c r="J47" s="225">
        <f>'7. Cost_of_Capital'!L42</f>
        <v>5.5291931081498304E-2</v>
      </c>
      <c r="K47" s="205"/>
      <c r="L47" s="224">
        <f>'7. Cost_of_Capital'!L42</f>
        <v>5.5291931081498304E-2</v>
      </c>
      <c r="M47" s="197"/>
      <c r="N47" s="225">
        <f>'7. Cost_of_Capital'!L58</f>
        <v>5.8037117849974965E-2</v>
      </c>
      <c r="O47" s="205"/>
      <c r="P47" s="224">
        <f>'7. Cost_of_Capital'!L58</f>
        <v>5.8037117849974965E-2</v>
      </c>
      <c r="Q47" s="139"/>
    </row>
    <row r="48" spans="2:17" ht="25.5" x14ac:dyDescent="0.35">
      <c r="B48" s="171">
        <v>23</v>
      </c>
      <c r="D48" s="28" t="s">
        <v>231</v>
      </c>
      <c r="F48" s="226">
        <f>F46-F47</f>
        <v>-8.3566512818546712E-3</v>
      </c>
      <c r="G48" s="205"/>
      <c r="H48" s="228">
        <f>H46-H47</f>
        <v>0</v>
      </c>
      <c r="I48" s="197"/>
      <c r="J48" s="226">
        <f>J46-J47</f>
        <v>-5.463987601085428E-3</v>
      </c>
      <c r="K48" s="205"/>
      <c r="L48" s="228">
        <f>L46-L47</f>
        <v>0</v>
      </c>
      <c r="M48" s="197"/>
      <c r="N48" s="226">
        <f>N46-N47</f>
        <v>-5.1850633376439303E-3</v>
      </c>
      <c r="O48" s="205"/>
      <c r="P48" s="228">
        <f>P46-P47</f>
        <v>0</v>
      </c>
      <c r="Q48" s="139"/>
    </row>
    <row r="49" spans="2:17" ht="13.15" x14ac:dyDescent="0.35">
      <c r="B49" s="171"/>
      <c r="F49" s="204"/>
      <c r="G49" s="205"/>
      <c r="H49" s="199"/>
      <c r="I49" s="197"/>
      <c r="J49" s="204"/>
      <c r="K49" s="205"/>
      <c r="L49" s="199"/>
      <c r="M49" s="197"/>
      <c r="N49" s="204"/>
      <c r="O49" s="205"/>
      <c r="P49" s="199"/>
      <c r="Q49" s="139"/>
    </row>
    <row r="50" spans="2:17" ht="13.15" x14ac:dyDescent="0.35">
      <c r="B50" s="171">
        <v>24</v>
      </c>
      <c r="D50" s="5" t="s">
        <v>130</v>
      </c>
      <c r="F50" s="207">
        <f>H50</f>
        <v>4554.4211055546093</v>
      </c>
      <c r="G50" s="229"/>
      <c r="H50" s="206">
        <f>'7. Cost_of_Capital'!P24</f>
        <v>4554.4211055546093</v>
      </c>
      <c r="I50" s="230"/>
      <c r="J50" s="207">
        <f>L50</f>
        <v>4061.90839037462</v>
      </c>
      <c r="K50" s="229"/>
      <c r="L50" s="206">
        <f>'7. Cost_of_Capital'!P40</f>
        <v>4061.90839037462</v>
      </c>
      <c r="M50" s="230"/>
      <c r="N50" s="207">
        <f>P50</f>
        <v>4187.8666301155035</v>
      </c>
      <c r="O50" s="229"/>
      <c r="P50" s="206">
        <f>'7. Cost_of_Capital'!P56</f>
        <v>4187.8666301155035</v>
      </c>
      <c r="Q50" s="139"/>
    </row>
    <row r="51" spans="2:17" ht="13.15" x14ac:dyDescent="0.35">
      <c r="B51" s="171">
        <v>25</v>
      </c>
      <c r="D51" s="5" t="s">
        <v>161</v>
      </c>
      <c r="F51" s="207">
        <f>F50-F36</f>
        <v>1035.3566096256518</v>
      </c>
      <c r="G51" s="229" t="s">
        <v>121</v>
      </c>
      <c r="H51" s="214">
        <f>H38*H48</f>
        <v>0</v>
      </c>
      <c r="I51" s="230"/>
      <c r="J51" s="207">
        <f>J50-J36</f>
        <v>631.95378934373093</v>
      </c>
      <c r="K51" s="229"/>
      <c r="L51" s="214">
        <f>L38*L48</f>
        <v>0</v>
      </c>
      <c r="M51" s="230"/>
      <c r="N51" s="207">
        <f>N50-N36</f>
        <v>603.17649240984247</v>
      </c>
      <c r="O51" s="229"/>
      <c r="P51" s="214">
        <f>P38*P48</f>
        <v>0</v>
      </c>
      <c r="Q51" s="139"/>
    </row>
    <row r="52" spans="2:17" ht="26.25" x14ac:dyDescent="0.4">
      <c r="B52" s="171">
        <v>26</v>
      </c>
      <c r="D52" s="56" t="s">
        <v>160</v>
      </c>
      <c r="F52" s="208">
        <f>F51/(1-F33)</f>
        <v>1371.4977666711936</v>
      </c>
      <c r="G52" s="231" t="s">
        <v>2</v>
      </c>
      <c r="H52" s="232"/>
      <c r="I52" s="230"/>
      <c r="J52" s="208">
        <f>J51/(1-J33)</f>
        <v>836.05094508669151</v>
      </c>
      <c r="K52" s="231" t="s">
        <v>2</v>
      </c>
      <c r="L52" s="232"/>
      <c r="M52" s="230"/>
      <c r="N52" s="208">
        <f>N51/(1-N33)</f>
        <v>799.26893142046276</v>
      </c>
      <c r="O52" s="231" t="s">
        <v>2</v>
      </c>
      <c r="P52" s="232"/>
    </row>
    <row r="55" spans="2:17" ht="13.15" x14ac:dyDescent="0.4">
      <c r="B55" s="594" t="s">
        <v>42</v>
      </c>
      <c r="C55" s="594"/>
      <c r="D55" s="594"/>
      <c r="E55" s="594"/>
      <c r="F55" s="594"/>
      <c r="G55" s="594"/>
      <c r="H55" s="594"/>
      <c r="I55" s="594"/>
      <c r="J55" s="74"/>
      <c r="K55" s="74"/>
      <c r="L55" s="74"/>
      <c r="M55" s="74"/>
      <c r="N55" s="74"/>
      <c r="O55" s="74"/>
    </row>
    <row r="56" spans="2:17" ht="13.15" x14ac:dyDescent="0.4">
      <c r="B56" s="18" t="s">
        <v>2</v>
      </c>
      <c r="D56" s="549" t="s">
        <v>234</v>
      </c>
      <c r="E56" s="549"/>
      <c r="F56" s="549"/>
      <c r="G56" s="549"/>
      <c r="H56" s="549"/>
      <c r="I56" s="549"/>
      <c r="J56" s="549"/>
      <c r="K56" s="549"/>
      <c r="L56" s="549"/>
      <c r="M56" s="549"/>
      <c r="N56" s="549"/>
      <c r="O56" s="549"/>
      <c r="P56" s="549"/>
    </row>
    <row r="57" spans="2:17" x14ac:dyDescent="0.35">
      <c r="B57" s="365"/>
      <c r="D57" s="599"/>
      <c r="E57" s="599"/>
      <c r="F57" s="599"/>
      <c r="G57" s="599"/>
      <c r="H57" s="599"/>
      <c r="I57" s="599"/>
      <c r="J57" s="599"/>
      <c r="K57" s="599"/>
      <c r="L57" s="599"/>
      <c r="M57" s="599"/>
      <c r="N57" s="599"/>
      <c r="O57" s="599"/>
      <c r="P57" s="599"/>
    </row>
    <row r="58" spans="2:17" x14ac:dyDescent="0.35">
      <c r="B58" s="365"/>
      <c r="D58" s="599"/>
      <c r="E58" s="599"/>
      <c r="F58" s="599"/>
      <c r="G58" s="599"/>
      <c r="H58" s="599"/>
      <c r="I58" s="599"/>
      <c r="J58" s="599"/>
      <c r="K58" s="599"/>
      <c r="L58" s="599"/>
      <c r="M58" s="599"/>
      <c r="N58" s="599"/>
      <c r="O58" s="599"/>
      <c r="P58" s="599"/>
    </row>
    <row r="59" spans="2:17" x14ac:dyDescent="0.35">
      <c r="B59" s="365"/>
      <c r="D59" s="599"/>
      <c r="E59" s="599"/>
      <c r="F59" s="599"/>
      <c r="G59" s="599"/>
      <c r="H59" s="599"/>
      <c r="I59" s="599"/>
      <c r="J59" s="599"/>
      <c r="K59" s="599"/>
      <c r="L59" s="599"/>
      <c r="M59" s="599"/>
      <c r="N59" s="599"/>
      <c r="O59" s="599"/>
      <c r="P59" s="599"/>
    </row>
    <row r="60" spans="2:17" x14ac:dyDescent="0.35">
      <c r="B60" s="365"/>
      <c r="D60" s="599"/>
      <c r="E60" s="599"/>
      <c r="F60" s="599"/>
      <c r="G60" s="599"/>
      <c r="H60" s="599"/>
      <c r="I60" s="599"/>
      <c r="J60" s="599"/>
      <c r="K60" s="599"/>
      <c r="L60" s="599"/>
      <c r="M60" s="599"/>
      <c r="N60" s="599"/>
      <c r="O60" s="599"/>
      <c r="P60" s="599"/>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4"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7" zoomScaleNormal="100" zoomScaleSheetLayoutView="100" workbookViewId="0">
      <selection activeCell="U45" sqref="U45"/>
    </sheetView>
  </sheetViews>
  <sheetFormatPr defaultColWidth="9.1328125" defaultRowHeight="12.75" x14ac:dyDescent="0.35"/>
  <cols>
    <col min="1" max="1" width="1.86328125" style="5" customWidth="1"/>
    <col min="2" max="2" width="5.73046875" style="5" customWidth="1"/>
    <col min="3" max="3" width="2.86328125" style="5" customWidth="1"/>
    <col min="4" max="4" width="31.265625" style="5" customWidth="1"/>
    <col min="5" max="5" width="2.73046875" style="5" customWidth="1"/>
    <col min="6" max="6" width="18.73046875" style="5" customWidth="1"/>
    <col min="7" max="7" width="1.73046875" style="5" customWidth="1"/>
    <col min="8" max="8" width="3.73046875" style="5" customWidth="1"/>
    <col min="9" max="9" width="1.73046875" style="5" customWidth="1"/>
    <col min="10" max="10" width="18.73046875" style="5" customWidth="1"/>
    <col min="11" max="11" width="1.1328125" style="5" customWidth="1"/>
    <col min="12" max="12" width="3.73046875" style="5" customWidth="1"/>
    <col min="13" max="13" width="1.1328125" style="5" customWidth="1"/>
    <col min="14" max="14" width="6.73046875" style="5" customWidth="1"/>
    <col min="15" max="15" width="12.73046875" style="5" customWidth="1"/>
    <col min="16" max="16" width="1.1328125" style="5" customWidth="1"/>
    <col min="17" max="17" width="3.73046875" style="5" customWidth="1"/>
    <col min="18" max="18" width="2.1328125" style="5" customWidth="1"/>
    <col min="19" max="16384" width="9.1328125" style="5"/>
  </cols>
  <sheetData>
    <row r="1" spans="2:18" s="2" customFormat="1" ht="23.25" x14ac:dyDescent="0.35">
      <c r="C1" s="546"/>
      <c r="D1" s="546"/>
      <c r="E1" s="546"/>
      <c r="F1" s="546"/>
      <c r="G1" s="546"/>
      <c r="H1" s="546"/>
      <c r="I1" s="546"/>
      <c r="J1" s="546"/>
      <c r="K1" s="546"/>
      <c r="L1" s="546"/>
      <c r="M1" s="546"/>
      <c r="N1" s="546"/>
      <c r="O1" s="615"/>
      <c r="P1" s="615"/>
      <c r="Q1" s="615"/>
      <c r="R1" s="1"/>
    </row>
    <row r="2" spans="2:18" s="2" customFormat="1" ht="17.25" x14ac:dyDescent="0.45">
      <c r="C2" s="585"/>
      <c r="D2" s="585"/>
      <c r="E2" s="585"/>
      <c r="F2" s="585"/>
      <c r="G2" s="585"/>
      <c r="H2" s="585"/>
      <c r="I2" s="585"/>
      <c r="J2" s="585"/>
      <c r="K2" s="585"/>
      <c r="L2" s="585"/>
      <c r="M2" s="585"/>
      <c r="N2" s="585"/>
      <c r="O2" s="585"/>
      <c r="P2" s="585"/>
      <c r="Q2" s="585"/>
      <c r="R2" s="585"/>
    </row>
    <row r="3" spans="2:18" s="2" customFormat="1" ht="17.25" x14ac:dyDescent="0.45">
      <c r="C3" s="585"/>
      <c r="D3" s="585"/>
      <c r="E3" s="585"/>
      <c r="F3" s="585"/>
      <c r="G3" s="585"/>
      <c r="H3" s="585"/>
      <c r="I3" s="585"/>
      <c r="J3" s="585"/>
      <c r="K3" s="585"/>
      <c r="L3" s="585"/>
      <c r="M3" s="585"/>
      <c r="N3" s="585"/>
      <c r="O3" s="585"/>
      <c r="P3" s="585"/>
      <c r="Q3" s="585"/>
      <c r="R3" s="585"/>
    </row>
    <row r="4" spans="2:18" s="2" customFormat="1" ht="17.25" x14ac:dyDescent="0.45">
      <c r="C4" s="585"/>
      <c r="D4" s="585"/>
      <c r="E4" s="585"/>
      <c r="F4" s="585"/>
      <c r="G4" s="585"/>
      <c r="H4" s="585"/>
      <c r="I4" s="585"/>
      <c r="J4" s="585"/>
      <c r="K4" s="585"/>
      <c r="L4" s="585"/>
      <c r="M4" s="585"/>
      <c r="N4" s="585"/>
      <c r="O4" s="38"/>
      <c r="P4" s="38"/>
      <c r="Q4" s="38"/>
      <c r="R4" s="38"/>
    </row>
    <row r="5" spans="2:18" s="2" customFormat="1" ht="15" x14ac:dyDescent="0.4">
      <c r="E5" s="3"/>
      <c r="F5" s="3"/>
      <c r="G5" s="3"/>
    </row>
    <row r="6" spans="2:18" s="2" customFormat="1" x14ac:dyDescent="0.35"/>
    <row r="8" spans="2:18" ht="15" x14ac:dyDescent="0.35">
      <c r="D8" s="25"/>
      <c r="F8" s="611"/>
      <c r="G8" s="611"/>
      <c r="H8" s="611"/>
      <c r="I8" s="611"/>
      <c r="J8" s="611"/>
      <c r="K8" s="611"/>
      <c r="L8" s="611"/>
      <c r="M8" s="611"/>
      <c r="N8" s="611"/>
      <c r="O8" s="611"/>
      <c r="P8" s="40"/>
      <c r="Q8" s="39"/>
    </row>
    <row r="9" spans="2:18" ht="13.5" customHeight="1" x14ac:dyDescent="0.35">
      <c r="F9" s="40"/>
      <c r="G9" s="40"/>
      <c r="H9" s="40"/>
      <c r="I9" s="40"/>
      <c r="J9" s="40"/>
      <c r="K9" s="40"/>
      <c r="L9" s="40"/>
      <c r="M9" s="40"/>
      <c r="N9" s="40"/>
      <c r="O9" s="40"/>
      <c r="P9" s="40"/>
      <c r="Q9" s="39"/>
    </row>
    <row r="10" spans="2:18" ht="18" customHeight="1" x14ac:dyDescent="0.35">
      <c r="F10" s="40"/>
      <c r="G10" s="40"/>
      <c r="H10" s="40"/>
      <c r="I10" s="40"/>
      <c r="J10" s="40"/>
      <c r="K10" s="40"/>
      <c r="L10" s="40"/>
      <c r="M10" s="40"/>
      <c r="N10" s="40"/>
      <c r="O10" s="40"/>
      <c r="P10" s="40"/>
      <c r="Q10" s="39"/>
    </row>
    <row r="11" spans="2:18" ht="13.5" customHeight="1" x14ac:dyDescent="0.35">
      <c r="B11" s="383" t="s">
        <v>250</v>
      </c>
      <c r="F11" s="40"/>
      <c r="G11" s="40"/>
      <c r="H11" s="40"/>
      <c r="I11" s="40"/>
      <c r="J11" s="40"/>
      <c r="K11" s="40"/>
      <c r="L11" s="40"/>
      <c r="M11" s="40"/>
      <c r="N11" s="40"/>
      <c r="O11" s="40"/>
      <c r="P11" s="40"/>
      <c r="Q11" s="39"/>
    </row>
    <row r="12" spans="2:18" ht="13.5" customHeight="1" x14ac:dyDescent="0.35">
      <c r="F12" s="40"/>
      <c r="G12" s="40"/>
      <c r="H12" s="40"/>
      <c r="I12" s="40"/>
      <c r="J12" s="40"/>
      <c r="K12" s="40"/>
      <c r="L12" s="40"/>
      <c r="M12" s="40"/>
      <c r="N12" s="40"/>
      <c r="O12" s="40"/>
      <c r="P12" s="40"/>
      <c r="Q12" s="39"/>
    </row>
    <row r="13" spans="2:18" ht="39" customHeight="1" x14ac:dyDescent="0.4">
      <c r="B13" s="389" t="s">
        <v>37</v>
      </c>
      <c r="D13" s="42" t="s">
        <v>36</v>
      </c>
      <c r="F13" s="307" t="s">
        <v>23</v>
      </c>
      <c r="G13" s="308"/>
      <c r="H13" s="308"/>
      <c r="I13" s="308"/>
      <c r="J13" s="309" t="str">
        <f>IF(ISBLANK('3. Data_Input_Sheet'!M12),"",'3. Data_Input_Sheet'!M12)</f>
        <v>Application Update</v>
      </c>
      <c r="K13" s="308"/>
      <c r="L13" s="308"/>
      <c r="M13" s="308"/>
      <c r="N13" s="610" t="str">
        <f>'3. Data_Input_Sheet'!U12</f>
        <v>Per Board Decision</v>
      </c>
      <c r="O13" s="610"/>
      <c r="P13" s="145"/>
    </row>
    <row r="14" spans="2:18" ht="14.25" customHeight="1" x14ac:dyDescent="0.4">
      <c r="B14" s="392"/>
      <c r="D14" s="44"/>
      <c r="F14" s="44"/>
      <c r="G14" s="44"/>
      <c r="H14" s="44"/>
      <c r="I14" s="44"/>
      <c r="J14" s="44"/>
      <c r="K14" s="44"/>
      <c r="L14" s="44"/>
      <c r="M14" s="44"/>
      <c r="N14" s="595"/>
      <c r="O14" s="595"/>
      <c r="P14" s="44"/>
    </row>
    <row r="15" spans="2:18" ht="13.15" x14ac:dyDescent="0.35">
      <c r="B15" s="352">
        <v>1</v>
      </c>
      <c r="D15" s="5" t="s">
        <v>140</v>
      </c>
      <c r="F15" s="45">
        <f>'5. Utility Income'!F22</f>
        <v>13032.88066833308</v>
      </c>
      <c r="G15" s="45"/>
      <c r="H15" s="367"/>
      <c r="I15" s="187"/>
      <c r="J15" s="45">
        <f>'5. Utility Income'!N22</f>
        <v>13032.88066833308</v>
      </c>
      <c r="K15" s="187"/>
      <c r="L15" s="367"/>
      <c r="M15" s="187"/>
      <c r="N15" s="621">
        <f>'5. Utility Income'!V22</f>
        <v>13032.88066833308</v>
      </c>
      <c r="O15" s="622"/>
      <c r="P15" s="153"/>
      <c r="Q15" s="367"/>
    </row>
    <row r="16" spans="2:18" ht="13.15" x14ac:dyDescent="0.35">
      <c r="B16" s="352">
        <v>2</v>
      </c>
      <c r="D16" s="5" t="s">
        <v>34</v>
      </c>
      <c r="F16" s="46">
        <f>'5. Utility Income'!F23</f>
        <v>5211.3096815439585</v>
      </c>
      <c r="G16" s="46"/>
      <c r="H16" s="367"/>
      <c r="I16" s="188"/>
      <c r="J16" s="175">
        <f>'5. Utility Income'!N23</f>
        <v>5034.5457926550698</v>
      </c>
      <c r="K16" s="188"/>
      <c r="L16" s="367"/>
      <c r="M16" s="188"/>
      <c r="N16" s="604">
        <f>'5. Utility Income'!V23</f>
        <v>5012.5457926550698</v>
      </c>
      <c r="O16" s="605"/>
      <c r="P16" s="150"/>
      <c r="Q16" s="367"/>
    </row>
    <row r="17" spans="2:21" ht="12.75" customHeight="1" x14ac:dyDescent="0.35">
      <c r="B17" s="352">
        <v>3</v>
      </c>
      <c r="D17" s="5" t="s">
        <v>45</v>
      </c>
      <c r="F17" s="46">
        <f>'5. Utility Income'!F24</f>
        <v>168.47252681144457</v>
      </c>
      <c r="G17" s="46"/>
      <c r="H17" s="367"/>
      <c r="I17" s="188"/>
      <c r="J17" s="175">
        <f>'5. Utility Income'!N24</f>
        <v>168.47252681144457</v>
      </c>
      <c r="K17" s="188"/>
      <c r="L17" s="367"/>
      <c r="M17" s="188"/>
      <c r="N17" s="604">
        <f>'5. Utility Income'!V24</f>
        <v>168.47252681144457</v>
      </c>
      <c r="O17" s="605"/>
      <c r="P17" s="150"/>
      <c r="Q17" s="367"/>
    </row>
    <row r="18" spans="2:21" s="174" customFormat="1" ht="0.75" customHeight="1" x14ac:dyDescent="0.35">
      <c r="B18" s="393">
        <v>4</v>
      </c>
      <c r="D18" s="174" t="s">
        <v>139</v>
      </c>
      <c r="F18" s="326">
        <f>'6. Taxes_PILs'!G25</f>
        <v>0</v>
      </c>
      <c r="G18" s="326"/>
      <c r="H18" s="327"/>
      <c r="I18" s="328"/>
      <c r="J18" s="329">
        <f>'6. Taxes_PILs'!K25</f>
        <v>0</v>
      </c>
      <c r="K18" s="328"/>
      <c r="L18" s="327"/>
      <c r="M18" s="328"/>
      <c r="N18" s="617">
        <f>'6. Taxes_PILs'!O25</f>
        <v>0</v>
      </c>
      <c r="O18" s="618"/>
      <c r="P18" s="330"/>
      <c r="Q18" s="327"/>
    </row>
    <row r="19" spans="2:21" ht="13.15" x14ac:dyDescent="0.35">
      <c r="B19" s="352">
        <v>5</v>
      </c>
      <c r="D19" s="5" t="s">
        <v>91</v>
      </c>
      <c r="F19" s="46">
        <f>'6. Taxes_PILs'!G33-F18</f>
        <v>496.1205704473133</v>
      </c>
      <c r="G19" s="46"/>
      <c r="H19" s="367"/>
      <c r="I19" s="188"/>
      <c r="J19" s="175">
        <f>'6. Taxes_PILs'!K33-J18</f>
        <v>466.84926741086099</v>
      </c>
      <c r="K19" s="188"/>
      <c r="L19" s="367"/>
      <c r="M19" s="188"/>
      <c r="N19" s="604">
        <f>'6. Taxes_PILs'!O33-N18</f>
        <v>504.10861636911068</v>
      </c>
      <c r="O19" s="605"/>
      <c r="P19" s="150"/>
      <c r="Q19" s="367"/>
    </row>
    <row r="20" spans="2:21" ht="13.15" x14ac:dyDescent="0.35">
      <c r="B20" s="352">
        <v>6</v>
      </c>
      <c r="D20" s="5" t="s">
        <v>134</v>
      </c>
      <c r="F20" s="46">
        <f>'5. Utility Income'!F26</f>
        <v>32.478756907871151</v>
      </c>
      <c r="G20" s="46"/>
      <c r="H20" s="367"/>
      <c r="I20" s="188"/>
      <c r="J20" s="152">
        <f>'5. Utility Income'!N26</f>
        <v>32.478756907871151</v>
      </c>
      <c r="K20" s="188"/>
      <c r="L20" s="367"/>
      <c r="M20" s="188"/>
      <c r="N20" s="616">
        <f>'5. Utility Income'!V26</f>
        <v>32.478756907871151</v>
      </c>
      <c r="O20" s="616"/>
      <c r="P20" s="152"/>
      <c r="Q20" s="367"/>
    </row>
    <row r="21" spans="2:21" ht="13.15" x14ac:dyDescent="0.35">
      <c r="B21" s="352">
        <v>7</v>
      </c>
      <c r="D21" s="5" t="s">
        <v>22</v>
      </c>
      <c r="F21" s="47"/>
      <c r="G21" s="47"/>
      <c r="H21" s="189"/>
      <c r="I21" s="189"/>
      <c r="J21" s="47"/>
      <c r="K21" s="189"/>
      <c r="L21" s="190"/>
      <c r="M21" s="189"/>
      <c r="N21" s="606"/>
      <c r="O21" s="607"/>
      <c r="P21" s="151"/>
      <c r="Q21" s="190"/>
    </row>
    <row r="22" spans="2:21" ht="13.15" x14ac:dyDescent="0.35">
      <c r="B22" s="352"/>
      <c r="D22" s="386" t="s">
        <v>95</v>
      </c>
      <c r="F22" s="49">
        <f>'8. Rev_Def_Suff'!F25</f>
        <v>2874.9108730923822</v>
      </c>
      <c r="G22" s="49"/>
      <c r="H22" s="367"/>
      <c r="I22" s="191"/>
      <c r="J22" s="49">
        <f>'8. Rev_Def_Suff'!L25</f>
        <v>2333.0448778472837</v>
      </c>
      <c r="K22" s="191"/>
      <c r="L22" s="367"/>
      <c r="M22" s="191"/>
      <c r="N22" s="609">
        <f>'8. Rev_Def_Suff'!P25</f>
        <v>2563.5697352175812</v>
      </c>
      <c r="O22" s="609"/>
      <c r="P22" s="149"/>
      <c r="Q22" s="367"/>
    </row>
    <row r="23" spans="2:21" ht="13.15" x14ac:dyDescent="0.35">
      <c r="B23" s="352"/>
      <c r="D23" s="386" t="s">
        <v>281</v>
      </c>
      <c r="F23" s="49">
        <f>'8. Rev_Def_Suff'!F50</f>
        <v>4554.4211055546093</v>
      </c>
      <c r="G23" s="49"/>
      <c r="H23" s="367"/>
      <c r="I23" s="191"/>
      <c r="J23" s="49">
        <f>'8. Rev_Def_Suff'!L50</f>
        <v>4061.90839037462</v>
      </c>
      <c r="K23" s="191"/>
      <c r="L23" s="367"/>
      <c r="M23" s="191"/>
      <c r="N23" s="609">
        <f>'8. Rev_Def_Suff'!P50</f>
        <v>4187.8666301155035</v>
      </c>
      <c r="O23" s="609"/>
      <c r="P23" s="149"/>
      <c r="Q23" s="367"/>
    </row>
    <row r="24" spans="2:21" ht="13.15" x14ac:dyDescent="0.35">
      <c r="B24" s="352"/>
      <c r="C24" s="15"/>
      <c r="D24" s="15"/>
      <c r="E24" s="15"/>
      <c r="F24" s="50"/>
      <c r="G24" s="48"/>
      <c r="H24" s="192"/>
      <c r="I24" s="192"/>
      <c r="J24" s="50"/>
      <c r="K24" s="192"/>
      <c r="L24" s="192"/>
      <c r="M24" s="192"/>
      <c r="N24" s="50"/>
      <c r="O24" s="51"/>
      <c r="P24" s="151"/>
      <c r="Q24" s="192"/>
      <c r="R24" s="15"/>
      <c r="S24" s="15"/>
      <c r="T24" s="15"/>
      <c r="U24" s="15"/>
    </row>
    <row r="25" spans="2:21" ht="26.65" thickBot="1" x14ac:dyDescent="0.45">
      <c r="B25" s="352">
        <v>8</v>
      </c>
      <c r="C25" s="15"/>
      <c r="D25" s="56" t="s">
        <v>240</v>
      </c>
      <c r="E25" s="15"/>
      <c r="F25" s="52">
        <f>SUM(F15:F23)</f>
        <v>26370.594182690664</v>
      </c>
      <c r="G25" s="48"/>
      <c r="H25" s="367"/>
      <c r="I25" s="192"/>
      <c r="J25" s="52">
        <f>SUM(J15:J23)</f>
        <v>25130.180280340232</v>
      </c>
      <c r="K25" s="192"/>
      <c r="L25" s="367"/>
      <c r="M25" s="192"/>
      <c r="N25" s="560">
        <f>SUM(N15:O23)</f>
        <v>25501.922726409663</v>
      </c>
      <c r="O25" s="560"/>
      <c r="P25" s="49"/>
      <c r="Q25" s="367"/>
      <c r="R25" s="15"/>
      <c r="S25" s="15"/>
      <c r="T25" s="15"/>
      <c r="U25" s="15"/>
    </row>
    <row r="26" spans="2:21" ht="13.5" thickTop="1" x14ac:dyDescent="0.35">
      <c r="B26" s="352"/>
      <c r="C26" s="15"/>
      <c r="D26" s="28"/>
      <c r="E26" s="15"/>
      <c r="F26" s="48"/>
      <c r="G26" s="48"/>
      <c r="H26" s="186"/>
      <c r="I26" s="351"/>
      <c r="J26" s="107"/>
      <c r="K26" s="351"/>
      <c r="L26" s="186"/>
      <c r="M26" s="351"/>
      <c r="N26" s="149"/>
      <c r="O26" s="149"/>
      <c r="P26" s="149"/>
      <c r="Q26" s="186"/>
      <c r="R26" s="15"/>
      <c r="S26" s="15"/>
      <c r="T26" s="15"/>
      <c r="U26" s="15"/>
    </row>
    <row r="27" spans="2:21" ht="13.15" x14ac:dyDescent="0.35">
      <c r="B27" s="352">
        <v>9</v>
      </c>
      <c r="C27" s="15"/>
      <c r="D27" s="28" t="s">
        <v>241</v>
      </c>
      <c r="E27" s="15"/>
      <c r="F27" s="55">
        <f>'3. Data_Input_Sheet'!E33</f>
        <v>1395.4404881099958</v>
      </c>
      <c r="G27" s="48"/>
      <c r="H27" s="367"/>
      <c r="I27" s="192"/>
      <c r="J27" s="55">
        <f>'3. Data_Input_Sheet'!M33</f>
        <v>1389.649886392134</v>
      </c>
      <c r="K27" s="192"/>
      <c r="L27" s="367"/>
      <c r="M27" s="192"/>
      <c r="N27" s="576">
        <f>'3. Data_Input_Sheet'!U33</f>
        <v>1384.7280647113867</v>
      </c>
      <c r="O27" s="576"/>
      <c r="P27" s="49"/>
      <c r="Q27" s="367"/>
      <c r="R27" s="15"/>
      <c r="S27" s="15"/>
      <c r="T27" s="15"/>
      <c r="U27" s="15"/>
    </row>
    <row r="28" spans="2:21" ht="13.5" thickBot="1" x14ac:dyDescent="0.45">
      <c r="B28" s="352">
        <v>10</v>
      </c>
      <c r="C28" s="15"/>
      <c r="D28" s="56" t="s">
        <v>242</v>
      </c>
      <c r="E28" s="15"/>
      <c r="F28" s="350">
        <f>F25-F27</f>
        <v>24975.153694580669</v>
      </c>
      <c r="G28" s="48"/>
      <c r="H28" s="367"/>
      <c r="I28" s="192"/>
      <c r="J28" s="350">
        <f>J25-J27</f>
        <v>23740.530393948098</v>
      </c>
      <c r="K28" s="192"/>
      <c r="L28" s="367"/>
      <c r="M28" s="192"/>
      <c r="N28" s="620">
        <f>N25-N27</f>
        <v>24117.194661698275</v>
      </c>
      <c r="O28" s="620"/>
      <c r="P28" s="49"/>
      <c r="Q28" s="367"/>
      <c r="R28" s="15"/>
      <c r="S28" s="15"/>
      <c r="T28" s="15"/>
      <c r="U28" s="15"/>
    </row>
    <row r="29" spans="2:21" ht="25.5" customHeight="1" thickTop="1" x14ac:dyDescent="0.4">
      <c r="B29" s="352"/>
      <c r="C29" s="15"/>
      <c r="D29" s="355" t="s">
        <v>249</v>
      </c>
      <c r="E29" s="15"/>
      <c r="F29" s="48"/>
      <c r="G29" s="48"/>
      <c r="H29" s="354"/>
      <c r="I29" s="192"/>
      <c r="J29" s="48"/>
      <c r="K29" s="192"/>
      <c r="L29" s="354"/>
      <c r="M29" s="192"/>
      <c r="N29" s="49"/>
      <c r="O29" s="49"/>
      <c r="P29" s="49"/>
      <c r="Q29" s="354"/>
      <c r="R29" s="15"/>
      <c r="S29" s="15"/>
      <c r="T29" s="15"/>
      <c r="U29" s="15"/>
    </row>
    <row r="30" spans="2:21" ht="13.15" x14ac:dyDescent="0.35">
      <c r="B30" s="352"/>
      <c r="F30" s="53"/>
      <c r="G30" s="53"/>
      <c r="H30" s="188"/>
      <c r="I30" s="188"/>
      <c r="J30" s="53"/>
      <c r="K30" s="188"/>
      <c r="L30" s="188"/>
      <c r="M30" s="188"/>
      <c r="N30" s="619"/>
      <c r="O30" s="619"/>
      <c r="P30" s="158"/>
      <c r="Q30" s="188"/>
    </row>
    <row r="31" spans="2:21" ht="13.15" x14ac:dyDescent="0.35">
      <c r="B31" s="352">
        <v>11</v>
      </c>
      <c r="D31" s="5" t="s">
        <v>52</v>
      </c>
      <c r="F31" s="46">
        <f>'5. Utility Income'!F16</f>
        <v>24975.153694580666</v>
      </c>
      <c r="G31" s="46"/>
      <c r="H31" s="367"/>
      <c r="I31" s="188"/>
      <c r="J31" s="46">
        <f>'5. Utility Income'!N16</f>
        <v>23740.530393948098</v>
      </c>
      <c r="K31" s="188"/>
      <c r="L31" s="367"/>
      <c r="M31" s="188"/>
      <c r="N31" s="604">
        <f>'5. Utility Income'!V16</f>
        <v>24117.194661698275</v>
      </c>
      <c r="O31" s="605"/>
      <c r="P31" s="150"/>
      <c r="Q31" s="367"/>
    </row>
    <row r="32" spans="2:21" ht="13.15" x14ac:dyDescent="0.35">
      <c r="B32" s="352">
        <v>12</v>
      </c>
      <c r="D32" s="5" t="s">
        <v>35</v>
      </c>
      <c r="F32" s="54">
        <f>'5. Utility Income'!F17</f>
        <v>1395.4404881099958</v>
      </c>
      <c r="G32" s="47"/>
      <c r="H32" s="367"/>
      <c r="I32" s="193"/>
      <c r="J32" s="54">
        <f>'5. Utility Income'!N17</f>
        <v>1389.649886392134</v>
      </c>
      <c r="K32" s="193"/>
      <c r="L32" s="367"/>
      <c r="M32" s="193"/>
      <c r="N32" s="578">
        <f>'5. Utility Income'!V17</f>
        <v>1384.7280647113867</v>
      </c>
      <c r="O32" s="608"/>
      <c r="P32" s="151"/>
      <c r="Q32" s="367"/>
    </row>
    <row r="33" spans="2:17" ht="13.15" x14ac:dyDescent="0.35">
      <c r="B33" s="352"/>
      <c r="F33" s="559">
        <f>SUM(F31:F32)</f>
        <v>26370.59418269066</v>
      </c>
      <c r="G33" s="49"/>
      <c r="H33" s="191"/>
      <c r="I33" s="191"/>
      <c r="J33" s="559">
        <f>SUM(J31:J32)</f>
        <v>25130.180280340232</v>
      </c>
      <c r="K33" s="191"/>
      <c r="L33" s="191"/>
      <c r="M33" s="191"/>
      <c r="N33" s="559">
        <f>SUM(N31:N32)</f>
        <v>25501.922726409663</v>
      </c>
      <c r="O33" s="570"/>
      <c r="P33" s="159"/>
      <c r="Q33" s="191"/>
    </row>
    <row r="34" spans="2:17" ht="13.15" x14ac:dyDescent="0.4">
      <c r="B34" s="352">
        <v>13</v>
      </c>
      <c r="D34" s="16" t="s">
        <v>40</v>
      </c>
      <c r="F34" s="576"/>
      <c r="G34" s="49"/>
      <c r="H34" s="367"/>
      <c r="I34" s="191"/>
      <c r="J34" s="576"/>
      <c r="K34" s="191"/>
      <c r="L34" s="367"/>
      <c r="M34" s="191"/>
      <c r="N34" s="576"/>
      <c r="O34" s="612"/>
      <c r="P34" s="159"/>
      <c r="Q34" s="367"/>
    </row>
    <row r="35" spans="2:17" ht="13.15" x14ac:dyDescent="0.4">
      <c r="B35" s="352"/>
      <c r="F35" s="609">
        <f>F33-F25</f>
        <v>0</v>
      </c>
      <c r="G35" s="149"/>
      <c r="H35" s="194"/>
      <c r="I35" s="194"/>
      <c r="J35" s="609">
        <f>J33-J25</f>
        <v>0</v>
      </c>
      <c r="K35" s="194"/>
      <c r="L35" s="194"/>
      <c r="M35" s="194"/>
      <c r="N35" s="573">
        <f>N33-N25</f>
        <v>0</v>
      </c>
      <c r="O35" s="613"/>
      <c r="P35" s="160"/>
      <c r="Q35" s="4"/>
    </row>
    <row r="36" spans="2:17" ht="39.75" thickBot="1" x14ac:dyDescent="0.45">
      <c r="B36" s="352">
        <v>14</v>
      </c>
      <c r="D36" s="56" t="s">
        <v>144</v>
      </c>
      <c r="F36" s="574"/>
      <c r="G36" s="149"/>
      <c r="H36" s="195" t="s">
        <v>2</v>
      </c>
      <c r="I36" s="195"/>
      <c r="J36" s="574"/>
      <c r="K36" s="195"/>
      <c r="L36" s="195" t="s">
        <v>2</v>
      </c>
      <c r="M36" s="195"/>
      <c r="N36" s="574"/>
      <c r="O36" s="614"/>
      <c r="P36" s="160"/>
      <c r="Q36" s="196" t="s">
        <v>2</v>
      </c>
    </row>
    <row r="37" spans="2:17" ht="13.15" thickTop="1" x14ac:dyDescent="0.35">
      <c r="F37" s="57"/>
      <c r="G37" s="57"/>
      <c r="H37" s="57"/>
      <c r="I37" s="57"/>
      <c r="J37" s="57"/>
      <c r="K37" s="57"/>
      <c r="L37" s="57"/>
      <c r="M37" s="57"/>
      <c r="N37" s="57"/>
      <c r="O37" s="57"/>
      <c r="P37" s="57"/>
    </row>
    <row r="38" spans="2:17" ht="13.15" x14ac:dyDescent="0.4">
      <c r="B38" s="572" t="s">
        <v>38</v>
      </c>
      <c r="C38" s="572"/>
      <c r="D38" s="572"/>
      <c r="E38" s="572"/>
      <c r="F38" s="572"/>
      <c r="G38" s="572"/>
      <c r="H38" s="572"/>
      <c r="I38" s="572"/>
      <c r="J38" s="572"/>
      <c r="K38" s="572"/>
      <c r="L38" s="572"/>
      <c r="M38" s="572"/>
      <c r="N38" s="572"/>
      <c r="O38" s="572"/>
      <c r="P38" s="148"/>
    </row>
    <row r="39" spans="2:17" ht="13.15" x14ac:dyDescent="0.4">
      <c r="B39" s="18" t="s">
        <v>2</v>
      </c>
      <c r="D39" s="5" t="s">
        <v>142</v>
      </c>
    </row>
    <row r="40" spans="2:17" x14ac:dyDescent="0.35">
      <c r="B40" s="365"/>
      <c r="D40" s="599"/>
      <c r="E40" s="599"/>
      <c r="F40" s="599"/>
      <c r="G40" s="599"/>
      <c r="H40" s="599"/>
      <c r="I40" s="599"/>
      <c r="J40" s="599"/>
      <c r="K40" s="599"/>
      <c r="L40" s="599"/>
      <c r="M40" s="599"/>
      <c r="N40" s="599"/>
      <c r="O40" s="599"/>
      <c r="P40" s="599"/>
      <c r="Q40" s="599"/>
    </row>
    <row r="41" spans="2:17" x14ac:dyDescent="0.35">
      <c r="B41" s="365"/>
      <c r="D41" s="599"/>
      <c r="E41" s="599"/>
      <c r="F41" s="599"/>
      <c r="G41" s="599"/>
      <c r="H41" s="599"/>
      <c r="I41" s="599"/>
      <c r="J41" s="599"/>
      <c r="K41" s="599"/>
      <c r="L41" s="599"/>
      <c r="M41" s="599"/>
      <c r="N41" s="599"/>
      <c r="O41" s="599"/>
      <c r="P41" s="599"/>
      <c r="Q41" s="599"/>
    </row>
    <row r="42" spans="2:17" x14ac:dyDescent="0.35">
      <c r="B42" s="365"/>
      <c r="D42" s="599"/>
      <c r="E42" s="599"/>
      <c r="F42" s="599"/>
      <c r="G42" s="599"/>
      <c r="H42" s="599"/>
      <c r="I42" s="599"/>
      <c r="J42" s="599"/>
      <c r="K42" s="599"/>
      <c r="L42" s="599"/>
      <c r="M42" s="599"/>
      <c r="N42" s="599"/>
      <c r="O42" s="599"/>
      <c r="P42" s="599"/>
      <c r="Q42" s="599"/>
    </row>
    <row r="43" spans="2:17" x14ac:dyDescent="0.35">
      <c r="B43" s="365"/>
      <c r="D43" s="599"/>
      <c r="E43" s="599"/>
      <c r="F43" s="599"/>
      <c r="G43" s="599"/>
      <c r="H43" s="599"/>
      <c r="I43" s="599"/>
      <c r="J43" s="599"/>
      <c r="K43" s="599"/>
      <c r="L43" s="599"/>
      <c r="M43" s="599"/>
      <c r="N43" s="599"/>
      <c r="O43" s="599"/>
      <c r="P43" s="599"/>
      <c r="Q43" s="599"/>
    </row>
    <row r="44" spans="2:17" x14ac:dyDescent="0.35">
      <c r="B44" s="365"/>
      <c r="D44" s="599"/>
      <c r="E44" s="599"/>
      <c r="F44" s="599"/>
      <c r="G44" s="599"/>
      <c r="H44" s="599"/>
      <c r="I44" s="599"/>
      <c r="J44" s="599"/>
      <c r="K44" s="599"/>
      <c r="L44" s="599"/>
      <c r="M44" s="599"/>
      <c r="N44" s="599"/>
      <c r="O44" s="599"/>
      <c r="P44" s="599"/>
      <c r="Q44" s="599"/>
    </row>
    <row r="45" spans="2:17" x14ac:dyDescent="0.35">
      <c r="B45" s="365"/>
      <c r="D45" s="599"/>
      <c r="E45" s="599"/>
      <c r="F45" s="599"/>
      <c r="G45" s="599"/>
      <c r="H45" s="599"/>
      <c r="I45" s="599"/>
      <c r="J45" s="599"/>
      <c r="K45" s="599"/>
      <c r="L45" s="599"/>
      <c r="M45" s="599"/>
      <c r="N45" s="599"/>
      <c r="O45" s="599"/>
      <c r="P45" s="599"/>
      <c r="Q45" s="599"/>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3"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David Savage</cp:lastModifiedBy>
  <cp:lastPrinted>2018-01-03T22:34:19Z</cp:lastPrinted>
  <dcterms:created xsi:type="dcterms:W3CDTF">2008-10-20T17:39:17Z</dcterms:created>
  <dcterms:modified xsi:type="dcterms:W3CDTF">2018-01-22T19:18:20Z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