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Cost of Service_2015\Mid Term Application_2017\Decision\"/>
    </mc:Choice>
  </mc:AlternateContent>
  <bookViews>
    <workbookView xWindow="0" yWindow="0" windowWidth="28800" windowHeight="11477" tabRatio="904" firstSheet="11" activeTab="21"/>
  </bookViews>
  <sheets>
    <sheet name="Chart" sheetId="34" r:id="rId1"/>
    <sheet name="Chart II" sheetId="37" r:id="rId2"/>
    <sheet name="Chart III" sheetId="38" r:id="rId3"/>
    <sheet name="Chart IV" sheetId="39" r:id="rId4"/>
    <sheet name="Year End Customer" sheetId="40" r:id="rId5"/>
    <sheet name="City Expansion" sheetId="44" r:id="rId6"/>
    <sheet name="LED" sheetId="41" r:id="rId7"/>
    <sheet name=" CDM Summary" sheetId="42" r:id="rId8"/>
    <sheet name="Summary" sheetId="11" r:id="rId9"/>
    <sheet name="Purchased Power Model " sheetId="19" r:id="rId10"/>
    <sheet name="Economic Indices" sheetId="36" r:id="rId11"/>
    <sheet name="Trends" sheetId="30" r:id="rId12"/>
    <sheet name="10 Year Average" sheetId="32" r:id="rId13"/>
    <sheet name="20 Year Trend" sheetId="33" r:id="rId14"/>
    <sheet name="Residential" sheetId="20" r:id="rId15"/>
    <sheet name="GS &lt; 50 kW" sheetId="21" r:id="rId16"/>
    <sheet name="GS &gt; 50 kW" sheetId="22" r:id="rId17"/>
    <sheet name="I2" sheetId="26" r:id="rId18"/>
    <sheet name="Large User" sheetId="23" r:id="rId19"/>
    <sheet name="Streetlights" sheetId="27" r:id="rId20"/>
    <sheet name="USL" sheetId="28" r:id="rId21"/>
    <sheet name="Rate Class Energy Model" sheetId="9" r:id="rId22"/>
    <sheet name="Rate Class Customer Model" sheetId="17" r:id="rId23"/>
    <sheet name="Rate Class Load Model" sheetId="18" r:id="rId24"/>
  </sheets>
  <externalReferences>
    <externalReference r:id="rId25"/>
    <externalReference r:id="rId26"/>
  </externalReferences>
  <definedNames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dafsa" localSheetId="17">#REF!</definedName>
    <definedName name="fdafsa" localSheetId="19">#REF!</definedName>
    <definedName name="fdafsa" localSheetId="20">#REF!</definedName>
    <definedName name="fdafsa">#REF!</definedName>
    <definedName name="FolderPath">[2]Menu!$C$8</definedName>
    <definedName name="gdagfda" localSheetId="17">#REF!</definedName>
    <definedName name="gdagfda" localSheetId="19">#REF!</definedName>
    <definedName name="gdagfda" localSheetId="20">#REF!</definedName>
    <definedName name="gdagfda">#REF!</definedName>
    <definedName name="NewRevReq">[2]Refs!$B$8</definedName>
    <definedName name="PAGE11" localSheetId="17">#REF!</definedName>
    <definedName name="PAGE11" localSheetId="18">#REF!</definedName>
    <definedName name="PAGE11" localSheetId="19">#REF!</definedName>
    <definedName name="PAGE11" localSheetId="20">#REF!</definedName>
    <definedName name="PAGE11">#REF!</definedName>
    <definedName name="PAGE2">[1]Sheet1!$A$1:$I$40</definedName>
    <definedName name="PAGE3" localSheetId="17">#REF!</definedName>
    <definedName name="PAGE3" localSheetId="18">#REF!</definedName>
    <definedName name="PAGE3" localSheetId="19">#REF!</definedName>
    <definedName name="PAGE3" localSheetId="20">#REF!</definedName>
    <definedName name="PAGE3">#REF!</definedName>
    <definedName name="PAGE4" localSheetId="17">#REF!</definedName>
    <definedName name="PAGE4" localSheetId="18">#REF!</definedName>
    <definedName name="PAGE4" localSheetId="19">#REF!</definedName>
    <definedName name="PAGE4" localSheetId="20">#REF!</definedName>
    <definedName name="PAGE4">#REF!</definedName>
    <definedName name="PAGE7" localSheetId="17">#REF!</definedName>
    <definedName name="PAGE7" localSheetId="18">#REF!</definedName>
    <definedName name="PAGE7" localSheetId="19">#REF!</definedName>
    <definedName name="PAGE7" localSheetId="20">#REF!</definedName>
    <definedName name="PAGE7">#REF!</definedName>
    <definedName name="PAGE9" localSheetId="17">#REF!</definedName>
    <definedName name="PAGE9" localSheetId="18">#REF!</definedName>
    <definedName name="PAGE9" localSheetId="19">#REF!</definedName>
    <definedName name="PAGE9" localSheetId="20">#REF!</definedName>
    <definedName name="PAGE9">#REF!</definedName>
    <definedName name="_xlnm.Print_Area" localSheetId="15">'GS &lt; 50 kW'!#REF!</definedName>
    <definedName name="_xlnm.Print_Area" localSheetId="16">'GS &gt; 50 kW'!#REF!</definedName>
    <definedName name="_xlnm.Print_Area" localSheetId="17">'I2'!#REF!</definedName>
    <definedName name="_xlnm.Print_Area" localSheetId="18">'Large User'!#REF!</definedName>
    <definedName name="_xlnm.Print_Area" localSheetId="9">'Purchased Power Model '!$K$63:$O$86</definedName>
    <definedName name="_xlnm.Print_Area" localSheetId="22">'Rate Class Customer Model'!$A$1:$C$2</definedName>
    <definedName name="_xlnm.Print_Area" localSheetId="21">'Rate Class Energy Model'!$A$1:$I$2</definedName>
    <definedName name="_xlnm.Print_Area" localSheetId="23">'Rate Class Load Model'!$A$1:$A$1</definedName>
    <definedName name="_xlnm.Print_Area" localSheetId="14">Residential!#REF!</definedName>
    <definedName name="_xlnm.Print_Area" localSheetId="19">Streetlights!#REF!</definedName>
    <definedName name="_xlnm.Print_Area" localSheetId="8">Summary!$A$1:$R$63</definedName>
    <definedName name="_xlnm.Print_Area" localSheetId="20">USL!#REF!</definedName>
    <definedName name="RevReqLookupKey">[2]Refs!$B$5</definedName>
    <definedName name="RevReqRange">[2]Refs!$B$7</definedName>
  </definedNames>
  <calcPr calcId="152511" iterate="1" iterateCount="1000"/>
</workbook>
</file>

<file path=xl/calcChain.xml><?xml version="1.0" encoding="utf-8"?>
<calcChain xmlns="http://schemas.openxmlformats.org/spreadsheetml/2006/main">
  <c r="G60" i="44" l="1"/>
  <c r="G61" i="44" s="1"/>
  <c r="F60" i="44"/>
  <c r="D60" i="44"/>
  <c r="D61" i="44" s="1"/>
  <c r="C60" i="44"/>
  <c r="C61" i="44" s="1"/>
  <c r="B61" i="44"/>
  <c r="B60" i="44"/>
  <c r="F61" i="44" l="1"/>
  <c r="F58" i="44"/>
  <c r="F59" i="44" s="1"/>
  <c r="D58" i="44" l="1"/>
  <c r="D59" i="44" s="1"/>
  <c r="C58" i="44"/>
  <c r="C59" i="44" s="1"/>
  <c r="B58" i="44"/>
  <c r="B59" i="44" s="1"/>
  <c r="A120" i="37" l="1"/>
  <c r="A118" i="37"/>
  <c r="A116" i="37"/>
  <c r="A111" i="37"/>
  <c r="A110" i="37"/>
  <c r="A119" i="37" s="1"/>
  <c r="A109" i="37"/>
  <c r="A108" i="37"/>
  <c r="A117" i="37" s="1"/>
  <c r="A107" i="37"/>
  <c r="C62" i="41" l="1"/>
  <c r="C63" i="41" s="1"/>
  <c r="C64" i="41" s="1"/>
  <c r="C65" i="41" s="1"/>
  <c r="B35" i="41"/>
  <c r="B36" i="41" s="1"/>
  <c r="B37" i="41" s="1"/>
  <c r="B38" i="41" s="1"/>
  <c r="B39" i="41" s="1"/>
  <c r="C52" i="41"/>
  <c r="C51" i="41"/>
  <c r="C50" i="41"/>
  <c r="C49" i="41"/>
  <c r="C48" i="41"/>
  <c r="C45" i="41"/>
  <c r="C44" i="41"/>
  <c r="C43" i="41"/>
  <c r="C42" i="41"/>
  <c r="C41" i="41"/>
  <c r="B52" i="41" l="1"/>
  <c r="B59" i="41"/>
  <c r="B57" i="41"/>
  <c r="B50" i="41"/>
  <c r="B62" i="41"/>
  <c r="B56" i="41"/>
  <c r="B54" i="41"/>
  <c r="B58" i="41"/>
  <c r="B49" i="41"/>
  <c r="B63" i="41"/>
  <c r="B55" i="41"/>
  <c r="B53" i="41"/>
  <c r="B65" i="41"/>
  <c r="C66" i="41"/>
  <c r="B64" i="41"/>
  <c r="B51" i="41"/>
  <c r="B48" i="41"/>
  <c r="C67" i="41" l="1"/>
  <c r="B66" i="41"/>
  <c r="B67" i="41" l="1"/>
  <c r="C68" i="41"/>
  <c r="C69" i="41" l="1"/>
  <c r="B68" i="41"/>
  <c r="B69" i="41" l="1"/>
  <c r="C70" i="41"/>
  <c r="C71" i="41" l="1"/>
  <c r="B70" i="41"/>
  <c r="B71" i="41" l="1"/>
  <c r="C72" i="41"/>
  <c r="C73" i="41" l="1"/>
  <c r="B73" i="41" s="1"/>
  <c r="B72" i="41"/>
  <c r="E204" i="19" l="1"/>
  <c r="E201" i="19"/>
  <c r="E198" i="19"/>
  <c r="E195" i="19"/>
  <c r="E192" i="19"/>
  <c r="E189" i="19"/>
  <c r="E186" i="19"/>
  <c r="E183" i="19"/>
  <c r="E180" i="19"/>
  <c r="E177" i="19"/>
  <c r="E174" i="19"/>
  <c r="E171" i="19"/>
  <c r="E168" i="19"/>
  <c r="E165" i="19"/>
  <c r="E162" i="19"/>
  <c r="E159" i="19"/>
  <c r="E156" i="19"/>
  <c r="E153" i="19"/>
  <c r="E150" i="19"/>
  <c r="E147" i="19"/>
  <c r="E144" i="19"/>
  <c r="E141" i="19"/>
  <c r="E138" i="19"/>
  <c r="E135" i="19"/>
  <c r="E132" i="19"/>
  <c r="E129" i="19"/>
  <c r="E126" i="19"/>
  <c r="E123" i="19"/>
  <c r="E120" i="19"/>
  <c r="E117" i="19"/>
  <c r="E114" i="19"/>
  <c r="E111" i="19"/>
  <c r="E108" i="19"/>
  <c r="E105" i="19"/>
  <c r="E102" i="19"/>
  <c r="E99" i="19"/>
  <c r="E96" i="19"/>
  <c r="E93" i="19"/>
  <c r="E90" i="19"/>
  <c r="E87" i="19"/>
  <c r="E84" i="19"/>
  <c r="E81" i="19"/>
  <c r="E78" i="19"/>
  <c r="E75" i="19"/>
  <c r="E72" i="19"/>
  <c r="E69" i="19"/>
  <c r="E66" i="19"/>
  <c r="E63" i="19"/>
  <c r="E60" i="19"/>
  <c r="E57" i="19"/>
  <c r="E54" i="19"/>
  <c r="E51" i="19"/>
  <c r="E48" i="19"/>
  <c r="E45" i="19"/>
  <c r="E42" i="19"/>
  <c r="E39" i="19"/>
  <c r="E36" i="19"/>
  <c r="E33" i="19"/>
  <c r="E30" i="19"/>
  <c r="E27" i="19"/>
  <c r="E24" i="19"/>
  <c r="E21" i="19"/>
  <c r="E18" i="19"/>
  <c r="E15" i="19"/>
  <c r="E12" i="19"/>
  <c r="E9" i="19"/>
  <c r="E6" i="19"/>
  <c r="E3" i="19"/>
  <c r="E23" i="41" l="1"/>
  <c r="R69" i="42" l="1"/>
  <c r="R60" i="42" s="1"/>
  <c r="Q69" i="42"/>
  <c r="Q59" i="42" s="1"/>
  <c r="P69" i="42"/>
  <c r="P58" i="42" s="1"/>
  <c r="O69" i="42"/>
  <c r="N69" i="42"/>
  <c r="N49" i="42" s="1"/>
  <c r="O70" i="42" l="1"/>
  <c r="P70" i="42"/>
  <c r="Q70" i="42" s="1"/>
  <c r="R70" i="42" s="1"/>
  <c r="O57" i="42"/>
  <c r="M47" i="42"/>
  <c r="J10" i="42" s="1"/>
  <c r="L46" i="42"/>
  <c r="M46" i="42" s="1"/>
  <c r="N46" i="42" s="1"/>
  <c r="O46" i="42" s="1"/>
  <c r="P46" i="42" s="1"/>
  <c r="Q46" i="42" s="1"/>
  <c r="R46" i="42" s="1"/>
  <c r="K45" i="42"/>
  <c r="L45" i="42" s="1"/>
  <c r="M45" i="42" s="1"/>
  <c r="N45" i="42" s="1"/>
  <c r="O45" i="42" s="1"/>
  <c r="P45" i="42" s="1"/>
  <c r="Q45" i="42" s="1"/>
  <c r="R45" i="42" s="1"/>
  <c r="N47" i="42" l="1"/>
  <c r="O47" i="42" l="1"/>
  <c r="K10" i="42"/>
  <c r="P47" i="42" l="1"/>
  <c r="L10" i="42"/>
  <c r="F151" i="37"/>
  <c r="F136" i="37"/>
  <c r="D136" i="37"/>
  <c r="M34" i="38" s="1"/>
  <c r="C136" i="37"/>
  <c r="M29" i="38" s="1"/>
  <c r="B136" i="37"/>
  <c r="I18" i="44"/>
  <c r="H18" i="44"/>
  <c r="G18" i="44"/>
  <c r="F18" i="44"/>
  <c r="E18" i="44"/>
  <c r="D18" i="44"/>
  <c r="C18" i="44"/>
  <c r="B18" i="44"/>
  <c r="I17" i="44"/>
  <c r="I36" i="44" s="1"/>
  <c r="I56" i="44" s="1"/>
  <c r="H17" i="44"/>
  <c r="H36" i="44" s="1"/>
  <c r="G17" i="44"/>
  <c r="G36" i="44" s="1"/>
  <c r="F17" i="44"/>
  <c r="F36" i="44" s="1"/>
  <c r="F56" i="44" s="1"/>
  <c r="E17" i="44"/>
  <c r="E36" i="44" s="1"/>
  <c r="E56" i="44" s="1"/>
  <c r="D17" i="44"/>
  <c r="D36" i="44" s="1"/>
  <c r="C17" i="44"/>
  <c r="C36" i="44" s="1"/>
  <c r="B17" i="44"/>
  <c r="B36" i="44" s="1"/>
  <c r="B56" i="44" s="1"/>
  <c r="I16" i="44"/>
  <c r="H16" i="44"/>
  <c r="G16" i="44"/>
  <c r="F16" i="44"/>
  <c r="E16" i="44"/>
  <c r="D16" i="44"/>
  <c r="C16" i="44"/>
  <c r="B16" i="44"/>
  <c r="B35" i="44" s="1"/>
  <c r="I15" i="44"/>
  <c r="H15" i="44"/>
  <c r="G15" i="44"/>
  <c r="F15" i="44"/>
  <c r="E15" i="44"/>
  <c r="D15" i="44"/>
  <c r="C15" i="44"/>
  <c r="B15" i="44"/>
  <c r="B34" i="44" s="1"/>
  <c r="I14" i="44"/>
  <c r="H14" i="44"/>
  <c r="G14" i="44"/>
  <c r="F14" i="44"/>
  <c r="E14" i="44"/>
  <c r="D14" i="44"/>
  <c r="C14" i="44"/>
  <c r="B14" i="44"/>
  <c r="B33" i="44" s="1"/>
  <c r="I13" i="44"/>
  <c r="H13" i="44"/>
  <c r="G13" i="44"/>
  <c r="F13" i="44"/>
  <c r="E13" i="44"/>
  <c r="D13" i="44"/>
  <c r="C13" i="44"/>
  <c r="B13" i="44"/>
  <c r="B32" i="44" s="1"/>
  <c r="I12" i="44"/>
  <c r="H12" i="44"/>
  <c r="G12" i="44"/>
  <c r="F12" i="44"/>
  <c r="E12" i="44"/>
  <c r="D12" i="44"/>
  <c r="C12" i="44"/>
  <c r="B12" i="44"/>
  <c r="B31" i="44" s="1"/>
  <c r="I11" i="44"/>
  <c r="H11" i="44"/>
  <c r="G11" i="44"/>
  <c r="F11" i="44"/>
  <c r="E11" i="44"/>
  <c r="D11" i="44"/>
  <c r="C11" i="44"/>
  <c r="B11" i="44"/>
  <c r="B30" i="44" s="1"/>
  <c r="I10" i="44"/>
  <c r="H10" i="44"/>
  <c r="G10" i="44"/>
  <c r="F10" i="44"/>
  <c r="E10" i="44"/>
  <c r="D10" i="44"/>
  <c r="C10" i="44"/>
  <c r="B10" i="44"/>
  <c r="B29" i="44" s="1"/>
  <c r="I9" i="44"/>
  <c r="H9" i="44"/>
  <c r="G9" i="44"/>
  <c r="F9" i="44"/>
  <c r="E9" i="44"/>
  <c r="D9" i="44"/>
  <c r="B9" i="44"/>
  <c r="B28" i="44" s="1"/>
  <c r="I8" i="44"/>
  <c r="H8" i="44"/>
  <c r="G8" i="44"/>
  <c r="F8" i="44"/>
  <c r="E8" i="44"/>
  <c r="D8" i="44"/>
  <c r="B8" i="44"/>
  <c r="B27" i="44" s="1"/>
  <c r="I7" i="44"/>
  <c r="H7" i="44"/>
  <c r="G7" i="44"/>
  <c r="F7" i="44"/>
  <c r="E7" i="44"/>
  <c r="D7" i="44"/>
  <c r="B7" i="44"/>
  <c r="B26" i="44" s="1"/>
  <c r="I6" i="44"/>
  <c r="H6" i="44"/>
  <c r="G6" i="44"/>
  <c r="F6" i="44"/>
  <c r="E6" i="44"/>
  <c r="D6" i="44"/>
  <c r="C6" i="44"/>
  <c r="B6" i="44"/>
  <c r="B25" i="44" s="1"/>
  <c r="I4" i="44"/>
  <c r="I23" i="44" s="1"/>
  <c r="H4" i="44"/>
  <c r="H23" i="44" s="1"/>
  <c r="G4" i="44"/>
  <c r="G23" i="44" s="1"/>
  <c r="F4" i="44"/>
  <c r="F23" i="44" s="1"/>
  <c r="E4" i="44"/>
  <c r="E23" i="44" s="1"/>
  <c r="D4" i="44"/>
  <c r="D23" i="44" s="1"/>
  <c r="C4" i="44"/>
  <c r="C23" i="44" s="1"/>
  <c r="B4" i="44"/>
  <c r="B23" i="44" s="1"/>
  <c r="I3" i="44"/>
  <c r="I22" i="44" s="1"/>
  <c r="H3" i="44"/>
  <c r="H22" i="44" s="1"/>
  <c r="G3" i="44"/>
  <c r="G22" i="44" s="1"/>
  <c r="F3" i="44"/>
  <c r="F22" i="44" s="1"/>
  <c r="E3" i="44"/>
  <c r="E22" i="44" s="1"/>
  <c r="D3" i="44"/>
  <c r="D22" i="44" s="1"/>
  <c r="C3" i="44"/>
  <c r="C22" i="44" s="1"/>
  <c r="B3" i="44"/>
  <c r="B22" i="44" s="1"/>
  <c r="H69" i="37"/>
  <c r="F36" i="18"/>
  <c r="E13" i="18"/>
  <c r="E136" i="37" s="1"/>
  <c r="E12" i="18"/>
  <c r="B221" i="19"/>
  <c r="B18" i="9" l="1"/>
  <c r="C18" i="34"/>
  <c r="C37" i="34" s="1"/>
  <c r="D14" i="41"/>
  <c r="M39" i="38"/>
  <c r="F166" i="37"/>
  <c r="M44" i="38"/>
  <c r="M24" i="38"/>
  <c r="Q47" i="42"/>
  <c r="M10" i="42"/>
  <c r="M5" i="38"/>
  <c r="B19" i="37"/>
  <c r="C47" i="44"/>
  <c r="C56" i="44"/>
  <c r="G47" i="44"/>
  <c r="G56" i="44"/>
  <c r="D56" i="44"/>
  <c r="D47" i="44"/>
  <c r="H56" i="44"/>
  <c r="H47" i="44"/>
  <c r="E47" i="44"/>
  <c r="I47" i="44"/>
  <c r="J36" i="44"/>
  <c r="B47" i="44"/>
  <c r="F47" i="44"/>
  <c r="J18" i="44"/>
  <c r="G136" i="37"/>
  <c r="F14" i="41" l="1"/>
  <c r="F5" i="41" s="1"/>
  <c r="D5" i="41"/>
  <c r="M10" i="38"/>
  <c r="R47" i="42"/>
  <c r="O10" i="42" s="1"/>
  <c r="N10" i="42"/>
  <c r="C13" i="30"/>
  <c r="B13" i="30"/>
  <c r="B221" i="28" l="1"/>
  <c r="B221" i="27"/>
  <c r="B221" i="23"/>
  <c r="B221" i="26"/>
  <c r="B221" i="22"/>
  <c r="B221" i="21"/>
  <c r="B221" i="20"/>
  <c r="G146" i="33"/>
  <c r="F146" i="33"/>
  <c r="C146" i="33"/>
  <c r="B146" i="33"/>
  <c r="G145" i="33"/>
  <c r="F145" i="33"/>
  <c r="C145" i="33"/>
  <c r="B145" i="33"/>
  <c r="G144" i="33"/>
  <c r="F144" i="33"/>
  <c r="C144" i="33"/>
  <c r="B144" i="33"/>
  <c r="G143" i="33"/>
  <c r="F143" i="33"/>
  <c r="C143" i="33"/>
  <c r="B143" i="33"/>
  <c r="G142" i="33"/>
  <c r="F142" i="33"/>
  <c r="C142" i="33"/>
  <c r="B142" i="33"/>
  <c r="G141" i="33"/>
  <c r="F141" i="33"/>
  <c r="C141" i="33"/>
  <c r="B141" i="33"/>
  <c r="G140" i="33"/>
  <c r="F140" i="33"/>
  <c r="C140" i="33"/>
  <c r="B140" i="33"/>
  <c r="G139" i="33"/>
  <c r="F139" i="33"/>
  <c r="C139" i="33"/>
  <c r="B139" i="33"/>
  <c r="G138" i="33"/>
  <c r="F138" i="33"/>
  <c r="C138" i="33"/>
  <c r="B138" i="33"/>
  <c r="G137" i="33"/>
  <c r="F137" i="33"/>
  <c r="C137" i="33"/>
  <c r="B137" i="33"/>
  <c r="G136" i="33"/>
  <c r="F136" i="33"/>
  <c r="C136" i="33"/>
  <c r="B136" i="33"/>
  <c r="G135" i="33"/>
  <c r="F135" i="33"/>
  <c r="C135" i="33"/>
  <c r="B135" i="33"/>
  <c r="B221" i="33" s="1"/>
  <c r="G146" i="32"/>
  <c r="F146" i="32"/>
  <c r="C146" i="32"/>
  <c r="B146" i="32"/>
  <c r="G145" i="32"/>
  <c r="F145" i="32"/>
  <c r="C145" i="32"/>
  <c r="B145" i="32"/>
  <c r="G144" i="32"/>
  <c r="F144" i="32"/>
  <c r="C144" i="32"/>
  <c r="B144" i="32"/>
  <c r="G143" i="32"/>
  <c r="F143" i="32"/>
  <c r="C143" i="32"/>
  <c r="B143" i="32"/>
  <c r="G142" i="32"/>
  <c r="F142" i="32"/>
  <c r="C142" i="32"/>
  <c r="B142" i="32"/>
  <c r="G141" i="32"/>
  <c r="F141" i="32"/>
  <c r="C141" i="32"/>
  <c r="B141" i="32"/>
  <c r="G140" i="32"/>
  <c r="F140" i="32"/>
  <c r="C140" i="32"/>
  <c r="B140" i="32"/>
  <c r="G139" i="32"/>
  <c r="F139" i="32"/>
  <c r="C139" i="32"/>
  <c r="B139" i="32"/>
  <c r="G138" i="32"/>
  <c r="F138" i="32"/>
  <c r="C138" i="32"/>
  <c r="B138" i="32"/>
  <c r="G137" i="32"/>
  <c r="F137" i="32"/>
  <c r="C137" i="32"/>
  <c r="B137" i="32"/>
  <c r="G136" i="32"/>
  <c r="F136" i="32"/>
  <c r="C136" i="32"/>
  <c r="B136" i="32"/>
  <c r="G135" i="32"/>
  <c r="F135" i="32"/>
  <c r="C135" i="32"/>
  <c r="B135" i="32"/>
  <c r="B221" i="32" s="1"/>
  <c r="C135" i="27"/>
  <c r="F135" i="27"/>
  <c r="G135" i="27"/>
  <c r="I14" i="17"/>
  <c r="H14" i="17"/>
  <c r="N41" i="9" s="1"/>
  <c r="G14" i="17"/>
  <c r="B5" i="41" s="1"/>
  <c r="F14" i="17"/>
  <c r="E14" i="17"/>
  <c r="D14" i="17"/>
  <c r="C14" i="17"/>
  <c r="B14" i="17"/>
  <c r="J18" i="40"/>
  <c r="J14" i="17" l="1"/>
  <c r="B68" i="38" l="1"/>
  <c r="O16" i="42" l="1"/>
  <c r="N15" i="42"/>
  <c r="M14" i="42"/>
  <c r="N14" i="42" s="1"/>
  <c r="L13" i="42"/>
  <c r="M13" i="42" s="1"/>
  <c r="N13" i="42" s="1"/>
  <c r="J11" i="42"/>
  <c r="I10" i="42"/>
  <c r="H9" i="42"/>
  <c r="G8" i="42"/>
  <c r="O49" i="42"/>
  <c r="I9" i="42"/>
  <c r="H8" i="42"/>
  <c r="S49" i="42" l="1"/>
  <c r="P49" i="42"/>
  <c r="Q49" i="42" s="1"/>
  <c r="R49" i="42" s="1"/>
  <c r="K11" i="42"/>
  <c r="J17" i="42"/>
  <c r="J19" i="42" s="1"/>
  <c r="R7" i="42" s="1"/>
  <c r="S7" i="42" s="1"/>
  <c r="L11" i="42" l="1"/>
  <c r="M11" i="42" s="1"/>
  <c r="N11" i="42" s="1"/>
  <c r="S60" i="42" l="1"/>
  <c r="R59" i="42"/>
  <c r="Q58" i="42"/>
  <c r="R58" i="42" s="1"/>
  <c r="P57" i="42"/>
  <c r="Q57" i="42" s="1"/>
  <c r="N56" i="42"/>
  <c r="K12" i="42" s="1"/>
  <c r="K17" i="42" s="1"/>
  <c r="G94" i="9" s="1"/>
  <c r="A56" i="42"/>
  <c r="A57" i="42" s="1"/>
  <c r="A58" i="42" s="1"/>
  <c r="A59" i="42" s="1"/>
  <c r="A60" i="42" s="1"/>
  <c r="M55" i="42"/>
  <c r="N55" i="42" s="1"/>
  <c r="F54" i="42"/>
  <c r="G54" i="42" s="1"/>
  <c r="H54" i="42" s="1"/>
  <c r="I54" i="42" s="1"/>
  <c r="J54" i="42" s="1"/>
  <c r="K54" i="42" s="1"/>
  <c r="L54" i="42" s="1"/>
  <c r="M54" i="42" s="1"/>
  <c r="N54" i="42" s="1"/>
  <c r="O54" i="42" s="1"/>
  <c r="P54" i="42" s="1"/>
  <c r="Q54" i="42" s="1"/>
  <c r="R54" i="42" s="1"/>
  <c r="J50" i="42"/>
  <c r="I50" i="42"/>
  <c r="H50" i="42"/>
  <c r="G50" i="42"/>
  <c r="F50" i="42"/>
  <c r="E50" i="42"/>
  <c r="N48" i="42"/>
  <c r="A46" i="42"/>
  <c r="A47" i="42" s="1"/>
  <c r="A48" i="42" s="1"/>
  <c r="A49" i="42" s="1"/>
  <c r="F44" i="42"/>
  <c r="G44" i="42" s="1"/>
  <c r="H44" i="42" s="1"/>
  <c r="I44" i="42" s="1"/>
  <c r="S39" i="42"/>
  <c r="T39" i="42" s="1"/>
  <c r="T38" i="42"/>
  <c r="S38" i="42"/>
  <c r="R38" i="42"/>
  <c r="Q38" i="42"/>
  <c r="P38" i="42"/>
  <c r="O38" i="42"/>
  <c r="N38" i="42"/>
  <c r="M38" i="42"/>
  <c r="L38" i="42"/>
  <c r="K38" i="42"/>
  <c r="J38" i="42"/>
  <c r="I38" i="42"/>
  <c r="H38" i="42"/>
  <c r="G38" i="42"/>
  <c r="F38" i="42"/>
  <c r="E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H37" i="42"/>
  <c r="G37" i="42"/>
  <c r="F37" i="42"/>
  <c r="E37" i="42"/>
  <c r="T36" i="42"/>
  <c r="S36" i="42"/>
  <c r="R36" i="42"/>
  <c r="Q36" i="42"/>
  <c r="P36" i="42"/>
  <c r="O36" i="42"/>
  <c r="N36" i="42"/>
  <c r="M36" i="42"/>
  <c r="L36" i="42"/>
  <c r="K36" i="42"/>
  <c r="J36" i="42"/>
  <c r="I36" i="42"/>
  <c r="H36" i="42"/>
  <c r="G36" i="42"/>
  <c r="F36" i="42"/>
  <c r="E36" i="42"/>
  <c r="A36" i="42"/>
  <c r="A37" i="42" s="1"/>
  <c r="A38" i="42" s="1"/>
  <c r="A39" i="42" s="1"/>
  <c r="T35" i="42"/>
  <c r="S35" i="42"/>
  <c r="R35" i="42"/>
  <c r="Q35" i="42"/>
  <c r="P35" i="42"/>
  <c r="O35" i="42"/>
  <c r="N35" i="42"/>
  <c r="M35" i="42"/>
  <c r="L35" i="42"/>
  <c r="K35" i="42"/>
  <c r="J35" i="42"/>
  <c r="I35" i="42"/>
  <c r="H35" i="42"/>
  <c r="G35" i="42"/>
  <c r="F35" i="42"/>
  <c r="E35" i="42"/>
  <c r="F34" i="42"/>
  <c r="G34" i="42" s="1"/>
  <c r="H34" i="42" s="1"/>
  <c r="I34" i="42" s="1"/>
  <c r="J34" i="42" s="1"/>
  <c r="K34" i="42" s="1"/>
  <c r="L34" i="42" s="1"/>
  <c r="M34" i="42" s="1"/>
  <c r="N34" i="42" s="1"/>
  <c r="O34" i="42" s="1"/>
  <c r="P34" i="42" s="1"/>
  <c r="Q34" i="42" s="1"/>
  <c r="R34" i="42" s="1"/>
  <c r="S34" i="42" s="1"/>
  <c r="T34" i="42" s="1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F30" i="42"/>
  <c r="E30" i="42"/>
  <c r="A27" i="42"/>
  <c r="A28" i="42" s="1"/>
  <c r="A29" i="42" s="1"/>
  <c r="F24" i="42"/>
  <c r="G24" i="42" s="1"/>
  <c r="H24" i="42" s="1"/>
  <c r="I24" i="42" s="1"/>
  <c r="J24" i="42" s="1"/>
  <c r="K24" i="42" s="1"/>
  <c r="L24" i="42" s="1"/>
  <c r="M24" i="42" s="1"/>
  <c r="N24" i="42" s="1"/>
  <c r="O24" i="42" s="1"/>
  <c r="P24" i="42" s="1"/>
  <c r="Q24" i="42" s="1"/>
  <c r="R24" i="42" s="1"/>
  <c r="S24" i="42" s="1"/>
  <c r="T24" i="42" s="1"/>
  <c r="H40" i="42" l="1"/>
  <c r="O48" i="42"/>
  <c r="P48" i="42" s="1"/>
  <c r="Q48" i="42" s="1"/>
  <c r="R48" i="42" s="1"/>
  <c r="O11" i="42" s="1"/>
  <c r="S48" i="42"/>
  <c r="S59" i="42"/>
  <c r="O15" i="42"/>
  <c r="S58" i="42"/>
  <c r="O14" i="42"/>
  <c r="L12" i="42"/>
  <c r="L17" i="42" s="1"/>
  <c r="G95" i="9" s="1"/>
  <c r="K50" i="42"/>
  <c r="J44" i="42"/>
  <c r="G40" i="42"/>
  <c r="E40" i="42"/>
  <c r="I40" i="42"/>
  <c r="F7" i="42" s="1"/>
  <c r="F17" i="42" s="1"/>
  <c r="F19" i="42" s="1"/>
  <c r="F40" i="42"/>
  <c r="M40" i="42"/>
  <c r="J7" i="42" s="1"/>
  <c r="J40" i="42"/>
  <c r="G7" i="42" s="1"/>
  <c r="G17" i="42" s="1"/>
  <c r="G19" i="42" s="1"/>
  <c r="Q40" i="42"/>
  <c r="N7" i="42" s="1"/>
  <c r="N40" i="42"/>
  <c r="K7" i="42" s="1"/>
  <c r="R40" i="42"/>
  <c r="O7" i="42" s="1"/>
  <c r="L40" i="42"/>
  <c r="I7" i="42" s="1"/>
  <c r="P40" i="42"/>
  <c r="M7" i="42" s="1"/>
  <c r="T40" i="42"/>
  <c r="K40" i="42"/>
  <c r="H7" i="42" s="1"/>
  <c r="H17" i="42" s="1"/>
  <c r="H19" i="42" s="1"/>
  <c r="O40" i="42"/>
  <c r="L7" i="42" s="1"/>
  <c r="S40" i="42"/>
  <c r="O55" i="42"/>
  <c r="P55" i="42" s="1"/>
  <c r="Q55" i="42" s="1"/>
  <c r="R55" i="42" s="1"/>
  <c r="R57" i="42"/>
  <c r="O13" i="42" s="1"/>
  <c r="O56" i="42"/>
  <c r="P56" i="42" s="1"/>
  <c r="Q56" i="42" s="1"/>
  <c r="R56" i="42" s="1"/>
  <c r="O12" i="42" s="1"/>
  <c r="O17" i="42" l="1"/>
  <c r="G98" i="9" s="1"/>
  <c r="S57" i="42"/>
  <c r="M12" i="42"/>
  <c r="M17" i="42" s="1"/>
  <c r="G96" i="9" s="1"/>
  <c r="J9" i="42"/>
  <c r="I8" i="42"/>
  <c r="I17" i="42" s="1"/>
  <c r="I19" i="42" s="1"/>
  <c r="K44" i="42"/>
  <c r="S56" i="42"/>
  <c r="S55" i="42"/>
  <c r="L50" i="42"/>
  <c r="J8" i="42"/>
  <c r="N12" i="42" l="1"/>
  <c r="N17" i="42" s="1"/>
  <c r="G97" i="9" s="1"/>
  <c r="S47" i="42"/>
  <c r="K9" i="42"/>
  <c r="L44" i="42"/>
  <c r="M44" i="42" s="1"/>
  <c r="M50" i="42"/>
  <c r="L9" i="42" l="1"/>
  <c r="K8" i="42"/>
  <c r="N44" i="42"/>
  <c r="O44" i="42" s="1"/>
  <c r="P44" i="42" s="1"/>
  <c r="Q44" i="42" s="1"/>
  <c r="R44" i="42" s="1"/>
  <c r="N50" i="42"/>
  <c r="M9" i="42" l="1"/>
  <c r="L8" i="42"/>
  <c r="O50" i="42"/>
  <c r="N9" i="42" l="1"/>
  <c r="M8" i="42"/>
  <c r="P50" i="42"/>
  <c r="I45" i="44"/>
  <c r="H45" i="44"/>
  <c r="G45" i="44"/>
  <c r="F45" i="44"/>
  <c r="E45" i="44"/>
  <c r="D45" i="44"/>
  <c r="C45" i="44"/>
  <c r="I44" i="44"/>
  <c r="H44" i="44"/>
  <c r="G44" i="44"/>
  <c r="F44" i="44"/>
  <c r="E44" i="44"/>
  <c r="D44" i="44"/>
  <c r="C44" i="44"/>
  <c r="B45" i="44"/>
  <c r="B44" i="44"/>
  <c r="D39" i="44"/>
  <c r="I35" i="44"/>
  <c r="H35" i="44"/>
  <c r="G35" i="44"/>
  <c r="F35" i="44"/>
  <c r="E35" i="44"/>
  <c r="D35" i="44"/>
  <c r="C35" i="44"/>
  <c r="I34" i="44"/>
  <c r="H34" i="44"/>
  <c r="G34" i="44"/>
  <c r="F34" i="44"/>
  <c r="E34" i="44"/>
  <c r="D34" i="44"/>
  <c r="C34" i="44"/>
  <c r="I33" i="44"/>
  <c r="H33" i="44"/>
  <c r="G33" i="44"/>
  <c r="F33" i="44"/>
  <c r="E33" i="44"/>
  <c r="D33" i="44"/>
  <c r="C33" i="44"/>
  <c r="I32" i="44"/>
  <c r="H32" i="44"/>
  <c r="G32" i="44"/>
  <c r="F32" i="44"/>
  <c r="E32" i="44"/>
  <c r="D32" i="44"/>
  <c r="C32" i="44"/>
  <c r="I31" i="44"/>
  <c r="H31" i="44"/>
  <c r="G31" i="44"/>
  <c r="F31" i="44"/>
  <c r="E31" i="44"/>
  <c r="D31" i="44"/>
  <c r="C31" i="44"/>
  <c r="I30" i="44"/>
  <c r="H30" i="44"/>
  <c r="G30" i="44"/>
  <c r="F30" i="44"/>
  <c r="E30" i="44"/>
  <c r="D30" i="44"/>
  <c r="C30" i="44"/>
  <c r="I29" i="44"/>
  <c r="H29" i="44"/>
  <c r="G29" i="44"/>
  <c r="F29" i="44"/>
  <c r="E29" i="44"/>
  <c r="D29" i="44"/>
  <c r="C29" i="44"/>
  <c r="I28" i="44"/>
  <c r="H28" i="44"/>
  <c r="G28" i="44"/>
  <c r="F28" i="44"/>
  <c r="E28" i="44"/>
  <c r="D28" i="44"/>
  <c r="I27" i="44"/>
  <c r="H27" i="44"/>
  <c r="G27" i="44"/>
  <c r="F27" i="44"/>
  <c r="E27" i="44"/>
  <c r="D27" i="44"/>
  <c r="I26" i="44"/>
  <c r="H26" i="44"/>
  <c r="G26" i="44"/>
  <c r="F26" i="44"/>
  <c r="E26" i="44"/>
  <c r="D26" i="44"/>
  <c r="I25" i="44"/>
  <c r="H25" i="44"/>
  <c r="G25" i="44"/>
  <c r="F25" i="44"/>
  <c r="E25" i="44"/>
  <c r="D25" i="44"/>
  <c r="J23" i="44"/>
  <c r="J22" i="44"/>
  <c r="J17" i="44"/>
  <c r="J16" i="44"/>
  <c r="J15" i="44"/>
  <c r="J14" i="44"/>
  <c r="J13" i="44"/>
  <c r="J12" i="44"/>
  <c r="J11" i="44"/>
  <c r="J10" i="44"/>
  <c r="J6" i="44"/>
  <c r="J4" i="44"/>
  <c r="J3" i="44"/>
  <c r="E40" i="17"/>
  <c r="E39" i="44" s="1"/>
  <c r="J58" i="36"/>
  <c r="J57" i="36"/>
  <c r="J56" i="36"/>
  <c r="J55" i="36"/>
  <c r="J54" i="36"/>
  <c r="J53" i="36"/>
  <c r="J52" i="36"/>
  <c r="J51" i="36"/>
  <c r="J50" i="36"/>
  <c r="J49" i="36"/>
  <c r="J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J11" i="36"/>
  <c r="J10" i="36"/>
  <c r="J9" i="36"/>
  <c r="J8" i="36"/>
  <c r="J7" i="36"/>
  <c r="J6" i="36"/>
  <c r="J5" i="36"/>
  <c r="J4" i="36"/>
  <c r="J3" i="36"/>
  <c r="J78" i="36"/>
  <c r="J77" i="36"/>
  <c r="J76" i="36"/>
  <c r="J75" i="36"/>
  <c r="J74" i="36"/>
  <c r="J73" i="36"/>
  <c r="J72" i="36"/>
  <c r="J71" i="36"/>
  <c r="J70" i="36"/>
  <c r="J69" i="36"/>
  <c r="J68" i="36"/>
  <c r="J67" i="36"/>
  <c r="J66" i="36"/>
  <c r="J65" i="36"/>
  <c r="J64" i="36"/>
  <c r="J63" i="36"/>
  <c r="J62" i="36"/>
  <c r="J61" i="36"/>
  <c r="J60" i="36"/>
  <c r="J59" i="36"/>
  <c r="O9" i="42" l="1"/>
  <c r="S46" i="42"/>
  <c r="N8" i="42"/>
  <c r="Q50" i="42"/>
  <c r="J44" i="44"/>
  <c r="E65" i="44"/>
  <c r="E44" i="37" s="1"/>
  <c r="J29" i="44"/>
  <c r="J33" i="44"/>
  <c r="J45" i="44"/>
  <c r="J30" i="44"/>
  <c r="J31" i="44"/>
  <c r="J32" i="44"/>
  <c r="J34" i="44"/>
  <c r="J35" i="44"/>
  <c r="O8" i="42" l="1"/>
  <c r="R50" i="42"/>
  <c r="S45" i="42"/>
  <c r="S50" i="42" s="1"/>
  <c r="M27" i="38"/>
  <c r="D48" i="44"/>
  <c r="D49" i="44" s="1"/>
  <c r="D50" i="44" s="1"/>
  <c r="D51" i="44" s="1"/>
  <c r="D52" i="44" s="1"/>
  <c r="E48" i="44"/>
  <c r="D65" i="44"/>
  <c r="D44" i="37" s="1"/>
  <c r="S206" i="39"/>
  <c r="S205" i="39"/>
  <c r="S204" i="39"/>
  <c r="S203" i="39"/>
  <c r="S202" i="39"/>
  <c r="S201" i="39"/>
  <c r="S200" i="39"/>
  <c r="S199" i="39"/>
  <c r="S198" i="39"/>
  <c r="S197" i="39"/>
  <c r="S196" i="39"/>
  <c r="S195" i="39"/>
  <c r="S194" i="39"/>
  <c r="S193" i="39"/>
  <c r="S192" i="39"/>
  <c r="S191" i="39"/>
  <c r="S190" i="39"/>
  <c r="S189" i="39"/>
  <c r="S188" i="39"/>
  <c r="S187" i="39"/>
  <c r="S186" i="39"/>
  <c r="S185" i="39"/>
  <c r="S184" i="39"/>
  <c r="S183" i="39"/>
  <c r="S182" i="39"/>
  <c r="S181" i="39"/>
  <c r="S180" i="39"/>
  <c r="S179" i="39"/>
  <c r="S178" i="39"/>
  <c r="S177" i="39"/>
  <c r="S176" i="39"/>
  <c r="S175" i="39"/>
  <c r="S174" i="39"/>
  <c r="S173" i="39"/>
  <c r="S172" i="39"/>
  <c r="S171" i="39"/>
  <c r="S170" i="39"/>
  <c r="S169" i="39"/>
  <c r="S168" i="39"/>
  <c r="S167" i="39"/>
  <c r="S166" i="39"/>
  <c r="S165" i="39"/>
  <c r="S164" i="39"/>
  <c r="S163" i="39"/>
  <c r="S162" i="39"/>
  <c r="S161" i="39"/>
  <c r="S160" i="39"/>
  <c r="S159" i="39"/>
  <c r="S158" i="39"/>
  <c r="S157" i="39"/>
  <c r="S156" i="39"/>
  <c r="S155" i="39"/>
  <c r="S154" i="39"/>
  <c r="S153" i="39"/>
  <c r="S152" i="39"/>
  <c r="S151" i="39"/>
  <c r="S150" i="39"/>
  <c r="S149" i="39"/>
  <c r="S148" i="39"/>
  <c r="S147" i="39"/>
  <c r="S146" i="39"/>
  <c r="S145" i="39"/>
  <c r="S144" i="39"/>
  <c r="S143" i="39"/>
  <c r="S142" i="39"/>
  <c r="S141" i="39"/>
  <c r="S140" i="39"/>
  <c r="S139" i="39"/>
  <c r="S138" i="39"/>
  <c r="S137" i="39"/>
  <c r="S136" i="39"/>
  <c r="S135" i="39"/>
  <c r="S134" i="39"/>
  <c r="S133" i="39"/>
  <c r="S132" i="39"/>
  <c r="S131" i="39"/>
  <c r="S130" i="39"/>
  <c r="S129" i="39"/>
  <c r="S128" i="39"/>
  <c r="S127" i="39"/>
  <c r="S126" i="39"/>
  <c r="S125" i="39"/>
  <c r="S124" i="39"/>
  <c r="S123" i="39"/>
  <c r="S122" i="39"/>
  <c r="S121" i="39"/>
  <c r="S120" i="39"/>
  <c r="S119" i="39"/>
  <c r="S118" i="39"/>
  <c r="S117" i="39"/>
  <c r="S116" i="39"/>
  <c r="S115" i="39"/>
  <c r="S114" i="39"/>
  <c r="S113" i="39"/>
  <c r="S112" i="39"/>
  <c r="S111" i="39"/>
  <c r="S110" i="39"/>
  <c r="S109" i="39"/>
  <c r="S108" i="39"/>
  <c r="S107" i="39"/>
  <c r="S106" i="39"/>
  <c r="S105" i="39"/>
  <c r="S104" i="39"/>
  <c r="S103" i="39"/>
  <c r="S102" i="39"/>
  <c r="S101" i="39"/>
  <c r="S100" i="39"/>
  <c r="S99" i="39"/>
  <c r="S98" i="39"/>
  <c r="S97" i="39"/>
  <c r="S96" i="39"/>
  <c r="S95" i="39"/>
  <c r="S94" i="39"/>
  <c r="S93" i="39"/>
  <c r="S92" i="39"/>
  <c r="S91" i="39"/>
  <c r="S90" i="39"/>
  <c r="S89" i="39"/>
  <c r="S88" i="39"/>
  <c r="S87" i="39"/>
  <c r="S86" i="39"/>
  <c r="S85" i="39"/>
  <c r="S84" i="39"/>
  <c r="S83" i="39"/>
  <c r="S82" i="39"/>
  <c r="S81" i="39"/>
  <c r="S80" i="39"/>
  <c r="S79" i="39"/>
  <c r="S78" i="39"/>
  <c r="S77" i="39"/>
  <c r="S76" i="39"/>
  <c r="S75" i="39"/>
  <c r="S74" i="39"/>
  <c r="S73" i="39"/>
  <c r="S72" i="39"/>
  <c r="S71" i="39"/>
  <c r="S70" i="39"/>
  <c r="S69" i="39"/>
  <c r="S68" i="39"/>
  <c r="S67" i="39"/>
  <c r="S66" i="39"/>
  <c r="S65" i="39"/>
  <c r="S64" i="39"/>
  <c r="S63" i="39"/>
  <c r="S62" i="39"/>
  <c r="S61" i="39"/>
  <c r="S60" i="39"/>
  <c r="S59" i="39"/>
  <c r="S58" i="39"/>
  <c r="S57" i="39"/>
  <c r="S56" i="39"/>
  <c r="S55" i="39"/>
  <c r="S54" i="39"/>
  <c r="S53" i="39"/>
  <c r="S52" i="39"/>
  <c r="S51" i="39"/>
  <c r="S50" i="39"/>
  <c r="S49" i="39"/>
  <c r="S48" i="39"/>
  <c r="S47" i="39"/>
  <c r="S46" i="39"/>
  <c r="S45" i="39"/>
  <c r="S44" i="39"/>
  <c r="S43" i="39"/>
  <c r="S42" i="39"/>
  <c r="S41" i="39"/>
  <c r="S40" i="39"/>
  <c r="S39" i="39"/>
  <c r="S38" i="39"/>
  <c r="S37" i="39"/>
  <c r="S36" i="39"/>
  <c r="S35" i="39"/>
  <c r="S34" i="39"/>
  <c r="S33" i="39"/>
  <c r="S32" i="39"/>
  <c r="S31" i="39"/>
  <c r="S30" i="39"/>
  <c r="S29" i="39"/>
  <c r="S28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S8" i="39"/>
  <c r="S7" i="39"/>
  <c r="S6" i="39"/>
  <c r="S5" i="39"/>
  <c r="S4" i="39"/>
  <c r="S3" i="39"/>
  <c r="J206" i="39"/>
  <c r="J205" i="39"/>
  <c r="J204" i="39"/>
  <c r="J203" i="39"/>
  <c r="J202" i="39"/>
  <c r="J201" i="39"/>
  <c r="J200" i="39"/>
  <c r="J199" i="39"/>
  <c r="J198" i="39"/>
  <c r="J197" i="39"/>
  <c r="J196" i="39"/>
  <c r="J195" i="39"/>
  <c r="J194" i="39"/>
  <c r="J193" i="39"/>
  <c r="J192" i="39"/>
  <c r="J191" i="39"/>
  <c r="J190" i="39"/>
  <c r="J189" i="39"/>
  <c r="J188" i="39"/>
  <c r="J187" i="39"/>
  <c r="J186" i="39"/>
  <c r="J185" i="39"/>
  <c r="J184" i="39"/>
  <c r="J183" i="39"/>
  <c r="J182" i="39"/>
  <c r="J181" i="39"/>
  <c r="J180" i="39"/>
  <c r="J179" i="39"/>
  <c r="J178" i="39"/>
  <c r="J177" i="39"/>
  <c r="J176" i="39"/>
  <c r="J175" i="39"/>
  <c r="J174" i="39"/>
  <c r="J173" i="39"/>
  <c r="J172" i="39"/>
  <c r="J171" i="39"/>
  <c r="J170" i="39"/>
  <c r="J169" i="39"/>
  <c r="J168" i="39"/>
  <c r="J167" i="39"/>
  <c r="J166" i="39"/>
  <c r="J165" i="39"/>
  <c r="J164" i="39"/>
  <c r="J163" i="39"/>
  <c r="J162" i="39"/>
  <c r="J161" i="39"/>
  <c r="J160" i="39"/>
  <c r="J159" i="39"/>
  <c r="J158" i="39"/>
  <c r="J157" i="39"/>
  <c r="J156" i="39"/>
  <c r="J155" i="39"/>
  <c r="J154" i="39"/>
  <c r="J153" i="39"/>
  <c r="J152" i="39"/>
  <c r="J151" i="39"/>
  <c r="J150" i="39"/>
  <c r="J149" i="39"/>
  <c r="J148" i="39"/>
  <c r="J147" i="39"/>
  <c r="J146" i="39"/>
  <c r="J145" i="39"/>
  <c r="J144" i="39"/>
  <c r="J143" i="39"/>
  <c r="J142" i="39"/>
  <c r="J141" i="39"/>
  <c r="J140" i="39"/>
  <c r="J139" i="39"/>
  <c r="J138" i="39"/>
  <c r="J137" i="39"/>
  <c r="J136" i="39"/>
  <c r="J135" i="39"/>
  <c r="J134" i="39"/>
  <c r="J133" i="39"/>
  <c r="J132" i="39"/>
  <c r="J131" i="39"/>
  <c r="J130" i="39"/>
  <c r="J129" i="39"/>
  <c r="J128" i="39"/>
  <c r="J127" i="39"/>
  <c r="J126" i="39"/>
  <c r="J125" i="39"/>
  <c r="J124" i="39"/>
  <c r="J123" i="39"/>
  <c r="J122" i="39"/>
  <c r="J121" i="39"/>
  <c r="J120" i="39"/>
  <c r="J119" i="39"/>
  <c r="J118" i="39"/>
  <c r="J117" i="39"/>
  <c r="J116" i="39"/>
  <c r="J115" i="39"/>
  <c r="J114" i="39"/>
  <c r="J113" i="39"/>
  <c r="J112" i="39"/>
  <c r="J111" i="39"/>
  <c r="J110" i="39"/>
  <c r="J109" i="39"/>
  <c r="J108" i="39"/>
  <c r="J107" i="39"/>
  <c r="J106" i="39"/>
  <c r="J105" i="39"/>
  <c r="J104" i="39"/>
  <c r="J103" i="39"/>
  <c r="J102" i="39"/>
  <c r="J101" i="39"/>
  <c r="J100" i="39"/>
  <c r="J99" i="39"/>
  <c r="J98" i="39"/>
  <c r="J97" i="39"/>
  <c r="J96" i="39"/>
  <c r="J95" i="39"/>
  <c r="J94" i="39"/>
  <c r="J93" i="39"/>
  <c r="J92" i="39"/>
  <c r="J91" i="39"/>
  <c r="J90" i="39"/>
  <c r="J89" i="39"/>
  <c r="J88" i="39"/>
  <c r="J87" i="39"/>
  <c r="J86" i="39"/>
  <c r="J85" i="39"/>
  <c r="J84" i="39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8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J46" i="39"/>
  <c r="J45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J8" i="39"/>
  <c r="J7" i="39"/>
  <c r="J6" i="39"/>
  <c r="J5" i="39"/>
  <c r="J4" i="39"/>
  <c r="J3" i="39"/>
  <c r="G134" i="39"/>
  <c r="F134" i="39"/>
  <c r="C134" i="39"/>
  <c r="B134" i="39"/>
  <c r="E49" i="44" l="1"/>
  <c r="E58" i="44" s="1"/>
  <c r="E57" i="44"/>
  <c r="M22" i="38"/>
  <c r="D66" i="44"/>
  <c r="B220" i="28"/>
  <c r="C221" i="28" s="1"/>
  <c r="D221" i="28" s="1"/>
  <c r="B220" i="27"/>
  <c r="C221" i="27" s="1"/>
  <c r="D221" i="27" s="1"/>
  <c r="B220" i="23"/>
  <c r="C221" i="23" s="1"/>
  <c r="D221" i="23" s="1"/>
  <c r="B220" i="26"/>
  <c r="C221" i="26" s="1"/>
  <c r="D221" i="26" s="1"/>
  <c r="B220" i="22"/>
  <c r="C221" i="22" s="1"/>
  <c r="D221" i="22" s="1"/>
  <c r="B220" i="21"/>
  <c r="C221" i="21" s="1"/>
  <c r="D221" i="21" s="1"/>
  <c r="B220" i="20"/>
  <c r="C221" i="20" s="1"/>
  <c r="D221" i="20" s="1"/>
  <c r="G134" i="28"/>
  <c r="F134" i="28"/>
  <c r="C134" i="28"/>
  <c r="G134" i="27"/>
  <c r="F134" i="27"/>
  <c r="C134" i="27"/>
  <c r="G134" i="23"/>
  <c r="F134" i="23"/>
  <c r="C134" i="23"/>
  <c r="G134" i="26"/>
  <c r="F134" i="26"/>
  <c r="C134" i="26"/>
  <c r="G134" i="22"/>
  <c r="F134" i="22"/>
  <c r="C134" i="22"/>
  <c r="G134" i="21"/>
  <c r="F134" i="21"/>
  <c r="C134" i="21"/>
  <c r="E50" i="44" l="1"/>
  <c r="E51" i="44" s="1"/>
  <c r="E67" i="44"/>
  <c r="E66" i="44"/>
  <c r="D67" i="44"/>
  <c r="C134" i="33"/>
  <c r="U134" i="39" s="1"/>
  <c r="B134" i="33"/>
  <c r="T134" i="39" s="1"/>
  <c r="C134" i="32"/>
  <c r="L134" i="39" s="1"/>
  <c r="B134" i="32"/>
  <c r="K134" i="39" s="1"/>
  <c r="C11" i="30"/>
  <c r="C10" i="30"/>
  <c r="C9" i="30"/>
  <c r="C8" i="30"/>
  <c r="C7" i="30"/>
  <c r="C6" i="30"/>
  <c r="C5" i="30"/>
  <c r="C4" i="30"/>
  <c r="C3" i="30"/>
  <c r="C2" i="30"/>
  <c r="B12" i="30"/>
  <c r="B11" i="30"/>
  <c r="B10" i="30"/>
  <c r="B9" i="30"/>
  <c r="B8" i="30"/>
  <c r="B7" i="30"/>
  <c r="B6" i="30"/>
  <c r="B5" i="30"/>
  <c r="B4" i="30"/>
  <c r="B3" i="30"/>
  <c r="B2" i="30"/>
  <c r="E59" i="44" l="1"/>
  <c r="B15" i="30"/>
  <c r="B18" i="30"/>
  <c r="B14" i="30"/>
  <c r="B17" i="30"/>
  <c r="B16" i="30"/>
  <c r="E68" i="44"/>
  <c r="E52" i="44"/>
  <c r="E61" i="44" s="1"/>
  <c r="E60" i="44"/>
  <c r="D68" i="44"/>
  <c r="E69" i="44" l="1"/>
  <c r="E70" i="44"/>
  <c r="D69" i="44"/>
  <c r="D70" i="44" l="1"/>
  <c r="B220" i="19"/>
  <c r="C221" i="19" s="1"/>
  <c r="D221" i="19" s="1"/>
  <c r="H123" i="19"/>
  <c r="I123" i="19" s="1"/>
  <c r="J123" i="19" s="1"/>
  <c r="I81" i="37" l="1"/>
  <c r="I105" i="37" s="1"/>
  <c r="H81" i="37"/>
  <c r="H105" i="37" s="1"/>
  <c r="G81" i="37"/>
  <c r="G105" i="37" s="1"/>
  <c r="F81" i="37"/>
  <c r="F105" i="37" s="1"/>
  <c r="E81" i="37"/>
  <c r="E105" i="37" s="1"/>
  <c r="D81" i="37"/>
  <c r="D105" i="37" s="1"/>
  <c r="C81" i="37"/>
  <c r="C105" i="37" s="1"/>
  <c r="B81" i="37"/>
  <c r="B105" i="37" s="1"/>
  <c r="I80" i="37"/>
  <c r="I104" i="37" s="1"/>
  <c r="H80" i="37"/>
  <c r="H104" i="37" s="1"/>
  <c r="G80" i="37"/>
  <c r="G104" i="37" s="1"/>
  <c r="F80" i="37"/>
  <c r="F104" i="37" s="1"/>
  <c r="E80" i="37"/>
  <c r="E104" i="37" s="1"/>
  <c r="D80" i="37"/>
  <c r="D104" i="37" s="1"/>
  <c r="C80" i="37"/>
  <c r="C104" i="37" s="1"/>
  <c r="B80" i="37"/>
  <c r="B104" i="37" s="1"/>
  <c r="E82" i="44" l="1"/>
  <c r="E83" i="44"/>
  <c r="C82" i="44"/>
  <c r="G82" i="44"/>
  <c r="C83" i="44"/>
  <c r="D82" i="44"/>
  <c r="H82" i="44"/>
  <c r="D83" i="44"/>
  <c r="H83" i="44"/>
  <c r="I82" i="44"/>
  <c r="I83" i="44"/>
  <c r="B82" i="44"/>
  <c r="F82" i="44"/>
  <c r="B83" i="44"/>
  <c r="F83" i="44"/>
  <c r="G83" i="44"/>
  <c r="I13" i="17"/>
  <c r="I43" i="37" s="1"/>
  <c r="H13" i="17"/>
  <c r="H43" i="37" s="1"/>
  <c r="G13" i="17"/>
  <c r="G43" i="37" s="1"/>
  <c r="F13" i="17"/>
  <c r="F43" i="37" s="1"/>
  <c r="E13" i="17"/>
  <c r="D13" i="17"/>
  <c r="D43" i="37" s="1"/>
  <c r="C13" i="17"/>
  <c r="C43" i="37" s="1"/>
  <c r="I12" i="17"/>
  <c r="I42" i="37" s="1"/>
  <c r="H12" i="17"/>
  <c r="H42" i="37" s="1"/>
  <c r="G12" i="17"/>
  <c r="G42" i="37" s="1"/>
  <c r="F12" i="17"/>
  <c r="F42" i="37" s="1"/>
  <c r="E12" i="17"/>
  <c r="E42" i="37" s="1"/>
  <c r="D12" i="17"/>
  <c r="D42" i="37" s="1"/>
  <c r="C12" i="17"/>
  <c r="C42" i="37" s="1"/>
  <c r="I11" i="17"/>
  <c r="I41" i="37" s="1"/>
  <c r="H11" i="17"/>
  <c r="H41" i="37" s="1"/>
  <c r="G11" i="17"/>
  <c r="G41" i="37" s="1"/>
  <c r="F11" i="17"/>
  <c r="F41" i="37" s="1"/>
  <c r="E11" i="17"/>
  <c r="E41" i="37" s="1"/>
  <c r="D11" i="17"/>
  <c r="D41" i="37" s="1"/>
  <c r="C11" i="17"/>
  <c r="C41" i="37" s="1"/>
  <c r="I10" i="17"/>
  <c r="I40" i="37" s="1"/>
  <c r="H10" i="17"/>
  <c r="H40" i="37" s="1"/>
  <c r="G10" i="17"/>
  <c r="G40" i="37" s="1"/>
  <c r="F10" i="17"/>
  <c r="F40" i="37" s="1"/>
  <c r="E10" i="17"/>
  <c r="E40" i="37" s="1"/>
  <c r="D10" i="17"/>
  <c r="D40" i="37" s="1"/>
  <c r="C10" i="17"/>
  <c r="C40" i="37" s="1"/>
  <c r="I9" i="17"/>
  <c r="I39" i="37" s="1"/>
  <c r="H9" i="17"/>
  <c r="H39" i="37" s="1"/>
  <c r="G9" i="17"/>
  <c r="G39" i="37" s="1"/>
  <c r="F9" i="17"/>
  <c r="F39" i="37" s="1"/>
  <c r="E9" i="17"/>
  <c r="E39" i="37" s="1"/>
  <c r="D9" i="17"/>
  <c r="D39" i="37" s="1"/>
  <c r="C9" i="17"/>
  <c r="C39" i="37" s="1"/>
  <c r="I8" i="17"/>
  <c r="H8" i="17"/>
  <c r="H38" i="37" s="1"/>
  <c r="G8" i="17"/>
  <c r="G38" i="37" s="1"/>
  <c r="F8" i="17"/>
  <c r="F38" i="37" s="1"/>
  <c r="E8" i="17"/>
  <c r="E38" i="37" s="1"/>
  <c r="D8" i="17"/>
  <c r="D38" i="37" s="1"/>
  <c r="C8" i="17"/>
  <c r="C38" i="37" s="1"/>
  <c r="I7" i="17"/>
  <c r="I37" i="37" s="1"/>
  <c r="H7" i="17"/>
  <c r="H37" i="37" s="1"/>
  <c r="G7" i="17"/>
  <c r="G37" i="37" s="1"/>
  <c r="F7" i="17"/>
  <c r="F37" i="37" s="1"/>
  <c r="E7" i="17"/>
  <c r="E37" i="37" s="1"/>
  <c r="D7" i="17"/>
  <c r="D37" i="37" s="1"/>
  <c r="C7" i="17"/>
  <c r="C37" i="37" s="1"/>
  <c r="I6" i="17"/>
  <c r="H6" i="17"/>
  <c r="H36" i="37" s="1"/>
  <c r="G6" i="17"/>
  <c r="G36" i="37" s="1"/>
  <c r="F6" i="17"/>
  <c r="F36" i="37" s="1"/>
  <c r="E6" i="17"/>
  <c r="E36" i="37" s="1"/>
  <c r="D6" i="17"/>
  <c r="D36" i="37" s="1"/>
  <c r="I5" i="17"/>
  <c r="H5" i="17"/>
  <c r="H35" i="37" s="1"/>
  <c r="G5" i="17"/>
  <c r="G35" i="37" s="1"/>
  <c r="F5" i="17"/>
  <c r="F35" i="37" s="1"/>
  <c r="E5" i="17"/>
  <c r="E35" i="37" s="1"/>
  <c r="D5" i="17"/>
  <c r="D35" i="37" s="1"/>
  <c r="I4" i="17"/>
  <c r="H4" i="17"/>
  <c r="H34" i="37" s="1"/>
  <c r="G4" i="17"/>
  <c r="G34" i="37" s="1"/>
  <c r="F4" i="17"/>
  <c r="F34" i="37" s="1"/>
  <c r="E4" i="17"/>
  <c r="E34" i="37" s="1"/>
  <c r="D4" i="17"/>
  <c r="D34" i="37" s="1"/>
  <c r="I3" i="17"/>
  <c r="H3" i="17"/>
  <c r="H33" i="37" s="1"/>
  <c r="G3" i="17"/>
  <c r="G33" i="37" s="1"/>
  <c r="F3" i="17"/>
  <c r="F33" i="37" s="1"/>
  <c r="E3" i="17"/>
  <c r="E33" i="37" s="1"/>
  <c r="D3" i="17"/>
  <c r="D33" i="37" s="1"/>
  <c r="B13" i="17"/>
  <c r="B43" i="37" s="1"/>
  <c r="B12" i="17"/>
  <c r="B42" i="37" s="1"/>
  <c r="B11" i="17"/>
  <c r="B41" i="37" s="1"/>
  <c r="B10" i="17"/>
  <c r="B40" i="37" s="1"/>
  <c r="B9" i="17"/>
  <c r="B39" i="37" s="1"/>
  <c r="B8" i="17"/>
  <c r="B38" i="37" s="1"/>
  <c r="B7" i="17"/>
  <c r="B37" i="37" s="1"/>
  <c r="B6" i="17"/>
  <c r="B36" i="37" s="1"/>
  <c r="B5" i="17"/>
  <c r="B35" i="37" s="1"/>
  <c r="B4" i="17"/>
  <c r="B34" i="37" s="1"/>
  <c r="B3" i="17"/>
  <c r="B33" i="37" s="1"/>
  <c r="O31" i="9" l="1"/>
  <c r="I34" i="37"/>
  <c r="E15" i="17"/>
  <c r="E45" i="37" s="1"/>
  <c r="E43" i="37"/>
  <c r="I26" i="17"/>
  <c r="I36" i="37"/>
  <c r="O30" i="9"/>
  <c r="O49" i="9" s="1"/>
  <c r="I33" i="37"/>
  <c r="O32" i="9"/>
  <c r="O50" i="9" s="1"/>
  <c r="I35" i="37"/>
  <c r="I27" i="17"/>
  <c r="I38" i="37"/>
  <c r="E16" i="17"/>
  <c r="E46" i="37" s="1"/>
  <c r="I28" i="17"/>
  <c r="I25" i="17"/>
  <c r="I23" i="17"/>
  <c r="I24" i="17"/>
  <c r="J17" i="40"/>
  <c r="J16" i="40"/>
  <c r="J15" i="40"/>
  <c r="J14" i="40"/>
  <c r="J13" i="40"/>
  <c r="J12" i="40"/>
  <c r="J11" i="40"/>
  <c r="J10" i="40"/>
  <c r="C9" i="40"/>
  <c r="C9" i="44" s="1"/>
  <c r="C8" i="40"/>
  <c r="C8" i="44" s="1"/>
  <c r="C7" i="40"/>
  <c r="C7" i="44" s="1"/>
  <c r="J6" i="40"/>
  <c r="J4" i="40"/>
  <c r="J3" i="40"/>
  <c r="J7" i="44" l="1"/>
  <c r="C26" i="44"/>
  <c r="J26" i="44" s="1"/>
  <c r="C25" i="44"/>
  <c r="J25" i="44" s="1"/>
  <c r="J8" i="44"/>
  <c r="C27" i="44"/>
  <c r="J27" i="44" s="1"/>
  <c r="J9" i="44"/>
  <c r="C28" i="44"/>
  <c r="J28" i="44" s="1"/>
  <c r="N27" i="38"/>
  <c r="E17" i="17"/>
  <c r="E47" i="37" s="1"/>
  <c r="J7" i="40"/>
  <c r="C3" i="17"/>
  <c r="C33" i="37" s="1"/>
  <c r="C4" i="17"/>
  <c r="C34" i="37" s="1"/>
  <c r="J8" i="40"/>
  <c r="C5" i="17"/>
  <c r="C35" i="37" s="1"/>
  <c r="J9" i="40"/>
  <c r="C6" i="17"/>
  <c r="C36" i="37" s="1"/>
  <c r="O27" i="38" l="1"/>
  <c r="E18" i="17"/>
  <c r="E48" i="37" s="1"/>
  <c r="D15" i="17"/>
  <c r="D45" i="37" s="1"/>
  <c r="D16" i="17" l="1"/>
  <c r="D46" i="37" s="1"/>
  <c r="P27" i="38"/>
  <c r="E19" i="17"/>
  <c r="E49" i="37" s="1"/>
  <c r="F40" i="17"/>
  <c r="Q27" i="38" l="1"/>
  <c r="R27" i="38"/>
  <c r="N22" i="38"/>
  <c r="D17" i="17"/>
  <c r="D47" i="37" s="1"/>
  <c r="F39" i="44"/>
  <c r="F15" i="17"/>
  <c r="O22" i="38" l="1"/>
  <c r="D18" i="17"/>
  <c r="D48" i="37" s="1"/>
  <c r="F16" i="17"/>
  <c r="F48" i="44"/>
  <c r="F49" i="44" s="1"/>
  <c r="F50" i="44" s="1"/>
  <c r="F51" i="44" s="1"/>
  <c r="F52" i="44" s="1"/>
  <c r="B32" i="17"/>
  <c r="C32" i="17"/>
  <c r="C31" i="17"/>
  <c r="C30" i="17"/>
  <c r="C29" i="17"/>
  <c r="C28" i="17"/>
  <c r="C27" i="17"/>
  <c r="C26" i="17"/>
  <c r="C25" i="17"/>
  <c r="C24" i="17"/>
  <c r="C23" i="17"/>
  <c r="F17" i="17" l="1"/>
  <c r="P22" i="38"/>
  <c r="D19" i="17"/>
  <c r="D49" i="37" s="1"/>
  <c r="F65" i="44"/>
  <c r="F44" i="37" s="1"/>
  <c r="F33" i="17"/>
  <c r="D33" i="17"/>
  <c r="M32" i="38" l="1"/>
  <c r="Q22" i="38"/>
  <c r="R22" i="38"/>
  <c r="F18" i="17"/>
  <c r="F66" i="44"/>
  <c r="F45" i="37" s="1"/>
  <c r="G206" i="39"/>
  <c r="F206" i="39"/>
  <c r="A206" i="39"/>
  <c r="G205" i="39"/>
  <c r="F205" i="39"/>
  <c r="A205" i="39"/>
  <c r="G204" i="39"/>
  <c r="F204" i="39"/>
  <c r="A204" i="39"/>
  <c r="G203" i="39"/>
  <c r="F203" i="39"/>
  <c r="A203" i="39"/>
  <c r="G202" i="39"/>
  <c r="F202" i="39"/>
  <c r="A202" i="39"/>
  <c r="G201" i="39"/>
  <c r="F201" i="39"/>
  <c r="A201" i="39"/>
  <c r="G200" i="39"/>
  <c r="F200" i="39"/>
  <c r="A200" i="39"/>
  <c r="G199" i="39"/>
  <c r="F199" i="39"/>
  <c r="A199" i="39"/>
  <c r="G198" i="39"/>
  <c r="F198" i="39"/>
  <c r="A198" i="39"/>
  <c r="G197" i="39"/>
  <c r="F197" i="39"/>
  <c r="A197" i="39"/>
  <c r="G196" i="39"/>
  <c r="F196" i="39"/>
  <c r="A196" i="39"/>
  <c r="G195" i="39"/>
  <c r="F195" i="39"/>
  <c r="A195" i="39"/>
  <c r="G194" i="39"/>
  <c r="F194" i="39"/>
  <c r="A194" i="39"/>
  <c r="G193" i="39"/>
  <c r="F193" i="39"/>
  <c r="A193" i="39"/>
  <c r="G192" i="39"/>
  <c r="F192" i="39"/>
  <c r="A192" i="39"/>
  <c r="G191" i="39"/>
  <c r="F191" i="39"/>
  <c r="A191" i="39"/>
  <c r="G190" i="39"/>
  <c r="F190" i="39"/>
  <c r="A190" i="39"/>
  <c r="G189" i="39"/>
  <c r="F189" i="39"/>
  <c r="A189" i="39"/>
  <c r="G188" i="39"/>
  <c r="F188" i="39"/>
  <c r="A188" i="39"/>
  <c r="G187" i="39"/>
  <c r="F187" i="39"/>
  <c r="A187" i="39"/>
  <c r="G186" i="39"/>
  <c r="F186" i="39"/>
  <c r="A186" i="39"/>
  <c r="G185" i="39"/>
  <c r="F185" i="39"/>
  <c r="A185" i="39"/>
  <c r="G184" i="39"/>
  <c r="F184" i="39"/>
  <c r="A184" i="39"/>
  <c r="G183" i="39"/>
  <c r="F183" i="39"/>
  <c r="A183" i="39"/>
  <c r="G182" i="39"/>
  <c r="F182" i="39"/>
  <c r="A182" i="39"/>
  <c r="G181" i="39"/>
  <c r="F181" i="39"/>
  <c r="A181" i="39"/>
  <c r="G180" i="39"/>
  <c r="F180" i="39"/>
  <c r="A180" i="39"/>
  <c r="G179" i="39"/>
  <c r="F179" i="39"/>
  <c r="A179" i="39"/>
  <c r="G178" i="39"/>
  <c r="F178" i="39"/>
  <c r="A178" i="39"/>
  <c r="G177" i="39"/>
  <c r="F177" i="39"/>
  <c r="A177" i="39"/>
  <c r="G176" i="39"/>
  <c r="F176" i="39"/>
  <c r="A176" i="39"/>
  <c r="G175" i="39"/>
  <c r="F175" i="39"/>
  <c r="A175" i="39"/>
  <c r="G174" i="39"/>
  <c r="F174" i="39"/>
  <c r="A174" i="39"/>
  <c r="G173" i="39"/>
  <c r="F173" i="39"/>
  <c r="A173" i="39"/>
  <c r="G172" i="39"/>
  <c r="F172" i="39"/>
  <c r="A172" i="39"/>
  <c r="G171" i="39"/>
  <c r="F171" i="39"/>
  <c r="A171" i="39"/>
  <c r="G170" i="39"/>
  <c r="F170" i="39"/>
  <c r="A170" i="39"/>
  <c r="G169" i="39"/>
  <c r="F169" i="39"/>
  <c r="A169" i="39"/>
  <c r="G168" i="39"/>
  <c r="F168" i="39"/>
  <c r="A168" i="39"/>
  <c r="G167" i="39"/>
  <c r="F167" i="39"/>
  <c r="A167" i="39"/>
  <c r="G166" i="39"/>
  <c r="F166" i="39"/>
  <c r="A166" i="39"/>
  <c r="G165" i="39"/>
  <c r="F165" i="39"/>
  <c r="A165" i="39"/>
  <c r="G164" i="39"/>
  <c r="F164" i="39"/>
  <c r="A164" i="39"/>
  <c r="G163" i="39"/>
  <c r="F163" i="39"/>
  <c r="A163" i="39"/>
  <c r="G162" i="39"/>
  <c r="F162" i="39"/>
  <c r="A162" i="39"/>
  <c r="G161" i="39"/>
  <c r="F161" i="39"/>
  <c r="A161" i="39"/>
  <c r="G160" i="39"/>
  <c r="F160" i="39"/>
  <c r="A160" i="39"/>
  <c r="G159" i="39"/>
  <c r="F159" i="39"/>
  <c r="A159" i="39"/>
  <c r="G158" i="39"/>
  <c r="F158" i="39"/>
  <c r="A158" i="39"/>
  <c r="G157" i="39"/>
  <c r="F157" i="39"/>
  <c r="A157" i="39"/>
  <c r="G156" i="39"/>
  <c r="F156" i="39"/>
  <c r="A156" i="39"/>
  <c r="G155" i="39"/>
  <c r="F155" i="39"/>
  <c r="A155" i="39"/>
  <c r="G154" i="39"/>
  <c r="F154" i="39"/>
  <c r="A154" i="39"/>
  <c r="G153" i="39"/>
  <c r="F153" i="39"/>
  <c r="A153" i="39"/>
  <c r="G152" i="39"/>
  <c r="F152" i="39"/>
  <c r="A152" i="39"/>
  <c r="G151" i="39"/>
  <c r="F151" i="39"/>
  <c r="A151" i="39"/>
  <c r="G150" i="39"/>
  <c r="F150" i="39"/>
  <c r="A150" i="39"/>
  <c r="G149" i="39"/>
  <c r="F149" i="39"/>
  <c r="A149" i="39"/>
  <c r="G148" i="39"/>
  <c r="F148" i="39"/>
  <c r="A148" i="39"/>
  <c r="G147" i="39"/>
  <c r="F147" i="39"/>
  <c r="A147" i="39"/>
  <c r="G146" i="39"/>
  <c r="F146" i="39"/>
  <c r="A146" i="39"/>
  <c r="G145" i="39"/>
  <c r="F145" i="39"/>
  <c r="A145" i="39"/>
  <c r="G144" i="39"/>
  <c r="F144" i="39"/>
  <c r="A144" i="39"/>
  <c r="G143" i="39"/>
  <c r="F143" i="39"/>
  <c r="A143" i="39"/>
  <c r="G142" i="39"/>
  <c r="F142" i="39"/>
  <c r="A142" i="39"/>
  <c r="G141" i="39"/>
  <c r="F141" i="39"/>
  <c r="A141" i="39"/>
  <c r="G140" i="39"/>
  <c r="F140" i="39"/>
  <c r="A140" i="39"/>
  <c r="G139" i="39"/>
  <c r="F139" i="39"/>
  <c r="A139" i="39"/>
  <c r="G138" i="39"/>
  <c r="F138" i="39"/>
  <c r="A138" i="39"/>
  <c r="G137" i="39"/>
  <c r="F137" i="39"/>
  <c r="A137" i="39"/>
  <c r="G136" i="39"/>
  <c r="F136" i="39"/>
  <c r="A136" i="39"/>
  <c r="G135" i="39"/>
  <c r="F135" i="39"/>
  <c r="A135" i="39"/>
  <c r="A134" i="39"/>
  <c r="G133" i="39"/>
  <c r="F133" i="39"/>
  <c r="B133" i="39"/>
  <c r="A133" i="39"/>
  <c r="G132" i="39"/>
  <c r="F132" i="39"/>
  <c r="B132" i="39"/>
  <c r="A132" i="39"/>
  <c r="G131" i="39"/>
  <c r="F131" i="39"/>
  <c r="B131" i="39"/>
  <c r="A131" i="39"/>
  <c r="G130" i="39"/>
  <c r="F130" i="39"/>
  <c r="B130" i="39"/>
  <c r="A130" i="39"/>
  <c r="G129" i="39"/>
  <c r="F129" i="39"/>
  <c r="B129" i="39"/>
  <c r="A129" i="39"/>
  <c r="G128" i="39"/>
  <c r="F128" i="39"/>
  <c r="B128" i="39"/>
  <c r="A128" i="39"/>
  <c r="G127" i="39"/>
  <c r="F127" i="39"/>
  <c r="B127" i="39"/>
  <c r="A127" i="39"/>
  <c r="G126" i="39"/>
  <c r="F126" i="39"/>
  <c r="B126" i="39"/>
  <c r="A126" i="39"/>
  <c r="G125" i="39"/>
  <c r="F125" i="39"/>
  <c r="B125" i="39"/>
  <c r="A125" i="39"/>
  <c r="G124" i="39"/>
  <c r="F124" i="39"/>
  <c r="B124" i="39"/>
  <c r="A124" i="39"/>
  <c r="G123" i="39"/>
  <c r="F123" i="39"/>
  <c r="E123" i="39"/>
  <c r="B123" i="39"/>
  <c r="A123" i="39"/>
  <c r="G122" i="39"/>
  <c r="F122" i="39"/>
  <c r="B122" i="39"/>
  <c r="A122" i="39"/>
  <c r="G121" i="39"/>
  <c r="F121" i="39"/>
  <c r="B121" i="39"/>
  <c r="A121" i="39"/>
  <c r="G120" i="39"/>
  <c r="F120" i="39"/>
  <c r="B120" i="39"/>
  <c r="A120" i="39"/>
  <c r="G119" i="39"/>
  <c r="F119" i="39"/>
  <c r="B119" i="39"/>
  <c r="A119" i="39"/>
  <c r="G118" i="39"/>
  <c r="F118" i="39"/>
  <c r="B118" i="39"/>
  <c r="A118" i="39"/>
  <c r="G117" i="39"/>
  <c r="F117" i="39"/>
  <c r="B117" i="39"/>
  <c r="A117" i="39"/>
  <c r="G116" i="39"/>
  <c r="F116" i="39"/>
  <c r="B116" i="39"/>
  <c r="A116" i="39"/>
  <c r="G115" i="39"/>
  <c r="F115" i="39"/>
  <c r="B115" i="39"/>
  <c r="A115" i="39"/>
  <c r="G114" i="39"/>
  <c r="F114" i="39"/>
  <c r="B114" i="39"/>
  <c r="A114" i="39"/>
  <c r="G113" i="39"/>
  <c r="F113" i="39"/>
  <c r="B113" i="39"/>
  <c r="A113" i="39"/>
  <c r="G112" i="39"/>
  <c r="F112" i="39"/>
  <c r="B112" i="39"/>
  <c r="A112" i="39"/>
  <c r="G111" i="39"/>
  <c r="F111" i="39"/>
  <c r="B111" i="39"/>
  <c r="A111" i="39"/>
  <c r="G110" i="39"/>
  <c r="F110" i="39"/>
  <c r="B110" i="39"/>
  <c r="A110" i="39"/>
  <c r="G109" i="39"/>
  <c r="F109" i="39"/>
  <c r="B109" i="39"/>
  <c r="A109" i="39"/>
  <c r="G108" i="39"/>
  <c r="F108" i="39"/>
  <c r="B108" i="39"/>
  <c r="A108" i="39"/>
  <c r="G107" i="39"/>
  <c r="F107" i="39"/>
  <c r="B107" i="39"/>
  <c r="A107" i="39"/>
  <c r="G106" i="39"/>
  <c r="F106" i="39"/>
  <c r="B106" i="39"/>
  <c r="A106" i="39"/>
  <c r="G105" i="39"/>
  <c r="F105" i="39"/>
  <c r="B105" i="39"/>
  <c r="A105" i="39"/>
  <c r="G104" i="39"/>
  <c r="F104" i="39"/>
  <c r="B104" i="39"/>
  <c r="A104" i="39"/>
  <c r="G103" i="39"/>
  <c r="F103" i="39"/>
  <c r="B103" i="39"/>
  <c r="A103" i="39"/>
  <c r="G102" i="39"/>
  <c r="F102" i="39"/>
  <c r="B102" i="39"/>
  <c r="A102" i="39"/>
  <c r="G101" i="39"/>
  <c r="F101" i="39"/>
  <c r="B101" i="39"/>
  <c r="A101" i="39"/>
  <c r="G100" i="39"/>
  <c r="F100" i="39"/>
  <c r="B100" i="39"/>
  <c r="A100" i="39"/>
  <c r="G99" i="39"/>
  <c r="F99" i="39"/>
  <c r="B99" i="39"/>
  <c r="A99" i="39"/>
  <c r="G98" i="39"/>
  <c r="F98" i="39"/>
  <c r="D98" i="39"/>
  <c r="C98" i="39"/>
  <c r="B98" i="39"/>
  <c r="A98" i="39"/>
  <c r="G97" i="39"/>
  <c r="F97" i="39"/>
  <c r="D97" i="39"/>
  <c r="C97" i="39"/>
  <c r="B97" i="39"/>
  <c r="A97" i="39"/>
  <c r="G96" i="39"/>
  <c r="F96" i="39"/>
  <c r="D96" i="39"/>
  <c r="C96" i="39"/>
  <c r="B96" i="39"/>
  <c r="A96" i="39"/>
  <c r="G95" i="39"/>
  <c r="F95" i="39"/>
  <c r="D95" i="39"/>
  <c r="C95" i="39"/>
  <c r="B95" i="39"/>
  <c r="A95" i="39"/>
  <c r="G94" i="39"/>
  <c r="F94" i="39"/>
  <c r="D94" i="39"/>
  <c r="C94" i="39"/>
  <c r="B94" i="39"/>
  <c r="A94" i="39"/>
  <c r="G93" i="39"/>
  <c r="F93" i="39"/>
  <c r="D93" i="39"/>
  <c r="C93" i="39"/>
  <c r="B93" i="39"/>
  <c r="A93" i="39"/>
  <c r="G92" i="39"/>
  <c r="F92" i="39"/>
  <c r="D92" i="39"/>
  <c r="C92" i="39"/>
  <c r="B92" i="39"/>
  <c r="A92" i="39"/>
  <c r="G91" i="39"/>
  <c r="F91" i="39"/>
  <c r="D91" i="39"/>
  <c r="C91" i="39"/>
  <c r="B91" i="39"/>
  <c r="A91" i="39"/>
  <c r="G90" i="39"/>
  <c r="F90" i="39"/>
  <c r="D90" i="39"/>
  <c r="C90" i="39"/>
  <c r="B90" i="39"/>
  <c r="A90" i="39"/>
  <c r="G89" i="39"/>
  <c r="F89" i="39"/>
  <c r="D89" i="39"/>
  <c r="C89" i="39"/>
  <c r="B89" i="39"/>
  <c r="A89" i="39"/>
  <c r="G88" i="39"/>
  <c r="F88" i="39"/>
  <c r="D88" i="39"/>
  <c r="C88" i="39"/>
  <c r="B88" i="39"/>
  <c r="A88" i="39"/>
  <c r="G87" i="39"/>
  <c r="F87" i="39"/>
  <c r="D87" i="39"/>
  <c r="C87" i="39"/>
  <c r="B87" i="39"/>
  <c r="A87" i="39"/>
  <c r="G86" i="39"/>
  <c r="F86" i="39"/>
  <c r="D86" i="39"/>
  <c r="C86" i="39"/>
  <c r="B86" i="39"/>
  <c r="A86" i="39"/>
  <c r="G85" i="39"/>
  <c r="F85" i="39"/>
  <c r="D85" i="39"/>
  <c r="C85" i="39"/>
  <c r="B85" i="39"/>
  <c r="A85" i="39"/>
  <c r="G84" i="39"/>
  <c r="F84" i="39"/>
  <c r="D84" i="39"/>
  <c r="C84" i="39"/>
  <c r="B84" i="39"/>
  <c r="A84" i="39"/>
  <c r="G83" i="39"/>
  <c r="F83" i="39"/>
  <c r="D83" i="39"/>
  <c r="C83" i="39"/>
  <c r="B83" i="39"/>
  <c r="A83" i="39"/>
  <c r="G82" i="39"/>
  <c r="F82" i="39"/>
  <c r="D82" i="39"/>
  <c r="C82" i="39"/>
  <c r="B82" i="39"/>
  <c r="A82" i="39"/>
  <c r="G81" i="39"/>
  <c r="F81" i="39"/>
  <c r="D81" i="39"/>
  <c r="C81" i="39"/>
  <c r="B81" i="39"/>
  <c r="A81" i="39"/>
  <c r="G80" i="39"/>
  <c r="F80" i="39"/>
  <c r="D80" i="39"/>
  <c r="C80" i="39"/>
  <c r="B80" i="39"/>
  <c r="A80" i="39"/>
  <c r="G79" i="39"/>
  <c r="F79" i="39"/>
  <c r="D79" i="39"/>
  <c r="C79" i="39"/>
  <c r="B79" i="39"/>
  <c r="A79" i="39"/>
  <c r="G78" i="39"/>
  <c r="F78" i="39"/>
  <c r="D78" i="39"/>
  <c r="C78" i="39"/>
  <c r="B78" i="39"/>
  <c r="A78" i="39"/>
  <c r="G77" i="39"/>
  <c r="F77" i="39"/>
  <c r="D77" i="39"/>
  <c r="C77" i="39"/>
  <c r="B77" i="39"/>
  <c r="A77" i="39"/>
  <c r="G76" i="39"/>
  <c r="F76" i="39"/>
  <c r="D76" i="39"/>
  <c r="C76" i="39"/>
  <c r="B76" i="39"/>
  <c r="A76" i="39"/>
  <c r="G75" i="39"/>
  <c r="F75" i="39"/>
  <c r="D75" i="39"/>
  <c r="C75" i="39"/>
  <c r="B75" i="39"/>
  <c r="A75" i="39"/>
  <c r="G74" i="39"/>
  <c r="F74" i="39"/>
  <c r="D74" i="39"/>
  <c r="C74" i="39"/>
  <c r="B74" i="39"/>
  <c r="A74" i="39"/>
  <c r="G73" i="39"/>
  <c r="F73" i="39"/>
  <c r="D73" i="39"/>
  <c r="C73" i="39"/>
  <c r="B73" i="39"/>
  <c r="A73" i="39"/>
  <c r="G72" i="39"/>
  <c r="F72" i="39"/>
  <c r="D72" i="39"/>
  <c r="C72" i="39"/>
  <c r="B72" i="39"/>
  <c r="A72" i="39"/>
  <c r="G71" i="39"/>
  <c r="F71" i="39"/>
  <c r="D71" i="39"/>
  <c r="C71" i="39"/>
  <c r="B71" i="39"/>
  <c r="A71" i="39"/>
  <c r="G70" i="39"/>
  <c r="F70" i="39"/>
  <c r="D70" i="39"/>
  <c r="C70" i="39"/>
  <c r="B70" i="39"/>
  <c r="A70" i="39"/>
  <c r="G69" i="39"/>
  <c r="F69" i="39"/>
  <c r="D69" i="39"/>
  <c r="C69" i="39"/>
  <c r="B69" i="39"/>
  <c r="A69" i="39"/>
  <c r="G68" i="39"/>
  <c r="F68" i="39"/>
  <c r="D68" i="39"/>
  <c r="C68" i="39"/>
  <c r="B68" i="39"/>
  <c r="A68" i="39"/>
  <c r="G67" i="39"/>
  <c r="F67" i="39"/>
  <c r="D67" i="39"/>
  <c r="C67" i="39"/>
  <c r="B67" i="39"/>
  <c r="A67" i="39"/>
  <c r="G66" i="39"/>
  <c r="F66" i="39"/>
  <c r="D66" i="39"/>
  <c r="C66" i="39"/>
  <c r="B66" i="39"/>
  <c r="A66" i="39"/>
  <c r="G65" i="39"/>
  <c r="F65" i="39"/>
  <c r="D65" i="39"/>
  <c r="C65" i="39"/>
  <c r="B65" i="39"/>
  <c r="A65" i="39"/>
  <c r="G64" i="39"/>
  <c r="F64" i="39"/>
  <c r="D64" i="39"/>
  <c r="C64" i="39"/>
  <c r="B64" i="39"/>
  <c r="A64" i="39"/>
  <c r="G63" i="39"/>
  <c r="F63" i="39"/>
  <c r="D63" i="39"/>
  <c r="C63" i="39"/>
  <c r="B63" i="39"/>
  <c r="A63" i="39"/>
  <c r="G62" i="39"/>
  <c r="F62" i="39"/>
  <c r="D62" i="39"/>
  <c r="C62" i="39"/>
  <c r="B62" i="39"/>
  <c r="A62" i="39"/>
  <c r="G61" i="39"/>
  <c r="F61" i="39"/>
  <c r="D61" i="39"/>
  <c r="C61" i="39"/>
  <c r="B61" i="39"/>
  <c r="A61" i="39"/>
  <c r="G60" i="39"/>
  <c r="F60" i="39"/>
  <c r="D60" i="39"/>
  <c r="C60" i="39"/>
  <c r="B60" i="39"/>
  <c r="A60" i="39"/>
  <c r="G59" i="39"/>
  <c r="F59" i="39"/>
  <c r="D59" i="39"/>
  <c r="C59" i="39"/>
  <c r="B59" i="39"/>
  <c r="A59" i="39"/>
  <c r="G58" i="39"/>
  <c r="F58" i="39"/>
  <c r="D58" i="39"/>
  <c r="C58" i="39"/>
  <c r="B58" i="39"/>
  <c r="A58" i="39"/>
  <c r="G57" i="39"/>
  <c r="F57" i="39"/>
  <c r="D57" i="39"/>
  <c r="C57" i="39"/>
  <c r="B57" i="39"/>
  <c r="A57" i="39"/>
  <c r="G56" i="39"/>
  <c r="F56" i="39"/>
  <c r="D56" i="39"/>
  <c r="C56" i="39"/>
  <c r="B56" i="39"/>
  <c r="A56" i="39"/>
  <c r="G55" i="39"/>
  <c r="F55" i="39"/>
  <c r="D55" i="39"/>
  <c r="C55" i="39"/>
  <c r="B55" i="39"/>
  <c r="A55" i="39"/>
  <c r="G54" i="39"/>
  <c r="F54" i="39"/>
  <c r="D54" i="39"/>
  <c r="C54" i="39"/>
  <c r="B54" i="39"/>
  <c r="A54" i="39"/>
  <c r="G53" i="39"/>
  <c r="F53" i="39"/>
  <c r="D53" i="39"/>
  <c r="C53" i="39"/>
  <c r="B53" i="39"/>
  <c r="A53" i="39"/>
  <c r="G52" i="39"/>
  <c r="F52" i="39"/>
  <c r="D52" i="39"/>
  <c r="C52" i="39"/>
  <c r="B52" i="39"/>
  <c r="A52" i="39"/>
  <c r="G51" i="39"/>
  <c r="F51" i="39"/>
  <c r="D51" i="39"/>
  <c r="C51" i="39"/>
  <c r="B51" i="39"/>
  <c r="A51" i="39"/>
  <c r="G50" i="39"/>
  <c r="F50" i="39"/>
  <c r="D50" i="39"/>
  <c r="C50" i="39"/>
  <c r="B50" i="39"/>
  <c r="A50" i="39"/>
  <c r="G49" i="39"/>
  <c r="F49" i="39"/>
  <c r="D49" i="39"/>
  <c r="C49" i="39"/>
  <c r="B49" i="39"/>
  <c r="A49" i="39"/>
  <c r="G48" i="39"/>
  <c r="F48" i="39"/>
  <c r="D48" i="39"/>
  <c r="C48" i="39"/>
  <c r="B48" i="39"/>
  <c r="A48" i="39"/>
  <c r="G47" i="39"/>
  <c r="F47" i="39"/>
  <c r="D47" i="39"/>
  <c r="C47" i="39"/>
  <c r="B47" i="39"/>
  <c r="A47" i="39"/>
  <c r="G46" i="39"/>
  <c r="F46" i="39"/>
  <c r="D46" i="39"/>
  <c r="C46" i="39"/>
  <c r="B46" i="39"/>
  <c r="A46" i="39"/>
  <c r="G45" i="39"/>
  <c r="F45" i="39"/>
  <c r="D45" i="39"/>
  <c r="C45" i="39"/>
  <c r="B45" i="39"/>
  <c r="A45" i="39"/>
  <c r="G44" i="39"/>
  <c r="F44" i="39"/>
  <c r="D44" i="39"/>
  <c r="C44" i="39"/>
  <c r="B44" i="39"/>
  <c r="A44" i="39"/>
  <c r="G43" i="39"/>
  <c r="F43" i="39"/>
  <c r="D43" i="39"/>
  <c r="C43" i="39"/>
  <c r="B43" i="39"/>
  <c r="A43" i="39"/>
  <c r="G42" i="39"/>
  <c r="F42" i="39"/>
  <c r="D42" i="39"/>
  <c r="C42" i="39"/>
  <c r="B42" i="39"/>
  <c r="A42" i="39"/>
  <c r="G41" i="39"/>
  <c r="F41" i="39"/>
  <c r="D41" i="39"/>
  <c r="C41" i="39"/>
  <c r="B41" i="39"/>
  <c r="A41" i="39"/>
  <c r="G40" i="39"/>
  <c r="F40" i="39"/>
  <c r="D40" i="39"/>
  <c r="C40" i="39"/>
  <c r="B40" i="39"/>
  <c r="A40" i="39"/>
  <c r="G39" i="39"/>
  <c r="F39" i="39"/>
  <c r="D39" i="39"/>
  <c r="C39" i="39"/>
  <c r="B39" i="39"/>
  <c r="A39" i="39"/>
  <c r="G38" i="39"/>
  <c r="F38" i="39"/>
  <c r="D38" i="39"/>
  <c r="C38" i="39"/>
  <c r="B38" i="39"/>
  <c r="A38" i="39"/>
  <c r="G37" i="39"/>
  <c r="F37" i="39"/>
  <c r="D37" i="39"/>
  <c r="C37" i="39"/>
  <c r="B37" i="39"/>
  <c r="A37" i="39"/>
  <c r="G36" i="39"/>
  <c r="F36" i="39"/>
  <c r="D36" i="39"/>
  <c r="C36" i="39"/>
  <c r="B36" i="39"/>
  <c r="A36" i="39"/>
  <c r="G35" i="39"/>
  <c r="F35" i="39"/>
  <c r="D35" i="39"/>
  <c r="C35" i="39"/>
  <c r="B35" i="39"/>
  <c r="A35" i="39"/>
  <c r="G34" i="39"/>
  <c r="F34" i="39"/>
  <c r="D34" i="39"/>
  <c r="C34" i="39"/>
  <c r="B34" i="39"/>
  <c r="A34" i="39"/>
  <c r="G33" i="39"/>
  <c r="F33" i="39"/>
  <c r="D33" i="39"/>
  <c r="C33" i="39"/>
  <c r="B33" i="39"/>
  <c r="A33" i="39"/>
  <c r="G32" i="39"/>
  <c r="F32" i="39"/>
  <c r="D32" i="39"/>
  <c r="C32" i="39"/>
  <c r="B32" i="39"/>
  <c r="A32" i="39"/>
  <c r="G31" i="39"/>
  <c r="F31" i="39"/>
  <c r="D31" i="39"/>
  <c r="C31" i="39"/>
  <c r="B31" i="39"/>
  <c r="A31" i="39"/>
  <c r="G30" i="39"/>
  <c r="F30" i="39"/>
  <c r="D30" i="39"/>
  <c r="C30" i="39"/>
  <c r="B30" i="39"/>
  <c r="A30" i="39"/>
  <c r="G29" i="39"/>
  <c r="F29" i="39"/>
  <c r="D29" i="39"/>
  <c r="C29" i="39"/>
  <c r="B29" i="39"/>
  <c r="A29" i="39"/>
  <c r="G28" i="39"/>
  <c r="F28" i="39"/>
  <c r="D28" i="39"/>
  <c r="C28" i="39"/>
  <c r="B28" i="39"/>
  <c r="A28" i="39"/>
  <c r="G27" i="39"/>
  <c r="F27" i="39"/>
  <c r="D27" i="39"/>
  <c r="C27" i="39"/>
  <c r="B27" i="39"/>
  <c r="A27" i="39"/>
  <c r="G26" i="39"/>
  <c r="F26" i="39"/>
  <c r="D26" i="39"/>
  <c r="C26" i="39"/>
  <c r="B26" i="39"/>
  <c r="A26" i="39"/>
  <c r="G25" i="39"/>
  <c r="F25" i="39"/>
  <c r="D25" i="39"/>
  <c r="C25" i="39"/>
  <c r="B25" i="39"/>
  <c r="A25" i="39"/>
  <c r="G24" i="39"/>
  <c r="F24" i="39"/>
  <c r="D24" i="39"/>
  <c r="C24" i="39"/>
  <c r="B24" i="39"/>
  <c r="A24" i="39"/>
  <c r="G23" i="39"/>
  <c r="F23" i="39"/>
  <c r="D23" i="39"/>
  <c r="C23" i="39"/>
  <c r="B23" i="39"/>
  <c r="A23" i="39"/>
  <c r="G22" i="39"/>
  <c r="F22" i="39"/>
  <c r="D22" i="39"/>
  <c r="C22" i="39"/>
  <c r="B22" i="39"/>
  <c r="A22" i="39"/>
  <c r="G21" i="39"/>
  <c r="F21" i="39"/>
  <c r="D21" i="39"/>
  <c r="C21" i="39"/>
  <c r="B21" i="39"/>
  <c r="A21" i="39"/>
  <c r="G20" i="39"/>
  <c r="F20" i="39"/>
  <c r="D20" i="39"/>
  <c r="C20" i="39"/>
  <c r="B20" i="39"/>
  <c r="A20" i="39"/>
  <c r="G19" i="39"/>
  <c r="F19" i="39"/>
  <c r="D19" i="39"/>
  <c r="C19" i="39"/>
  <c r="B19" i="39"/>
  <c r="A19" i="39"/>
  <c r="G18" i="39"/>
  <c r="F18" i="39"/>
  <c r="D18" i="39"/>
  <c r="C18" i="39"/>
  <c r="B18" i="39"/>
  <c r="A18" i="39"/>
  <c r="G17" i="39"/>
  <c r="F17" i="39"/>
  <c r="D17" i="39"/>
  <c r="C17" i="39"/>
  <c r="B17" i="39"/>
  <c r="A17" i="39"/>
  <c r="G16" i="39"/>
  <c r="F16" i="39"/>
  <c r="D16" i="39"/>
  <c r="C16" i="39"/>
  <c r="B16" i="39"/>
  <c r="A16" i="39"/>
  <c r="G15" i="39"/>
  <c r="F15" i="39"/>
  <c r="D15" i="39"/>
  <c r="C15" i="39"/>
  <c r="B15" i="39"/>
  <c r="A15" i="39"/>
  <c r="G14" i="39"/>
  <c r="F14" i="39"/>
  <c r="D14" i="39"/>
  <c r="C14" i="39"/>
  <c r="B14" i="39"/>
  <c r="A14" i="39"/>
  <c r="G13" i="39"/>
  <c r="F13" i="39"/>
  <c r="D13" i="39"/>
  <c r="C13" i="39"/>
  <c r="B13" i="39"/>
  <c r="A13" i="39"/>
  <c r="G12" i="39"/>
  <c r="F12" i="39"/>
  <c r="D12" i="39"/>
  <c r="C12" i="39"/>
  <c r="B12" i="39"/>
  <c r="A12" i="39"/>
  <c r="G11" i="39"/>
  <c r="F11" i="39"/>
  <c r="D11" i="39"/>
  <c r="C11" i="39"/>
  <c r="B11" i="39"/>
  <c r="A11" i="39"/>
  <c r="G10" i="39"/>
  <c r="F10" i="39"/>
  <c r="D10" i="39"/>
  <c r="C10" i="39"/>
  <c r="B10" i="39"/>
  <c r="A10" i="39"/>
  <c r="G9" i="39"/>
  <c r="F9" i="39"/>
  <c r="D9" i="39"/>
  <c r="C9" i="39"/>
  <c r="B9" i="39"/>
  <c r="A9" i="39"/>
  <c r="G8" i="39"/>
  <c r="F8" i="39"/>
  <c r="D8" i="39"/>
  <c r="C8" i="39"/>
  <c r="B8" i="39"/>
  <c r="A8" i="39"/>
  <c r="G7" i="39"/>
  <c r="F7" i="39"/>
  <c r="D7" i="39"/>
  <c r="C7" i="39"/>
  <c r="B7" i="39"/>
  <c r="A7" i="39"/>
  <c r="G6" i="39"/>
  <c r="F6" i="39"/>
  <c r="D6" i="39"/>
  <c r="C6" i="39"/>
  <c r="B6" i="39"/>
  <c r="A6" i="39"/>
  <c r="G5" i="39"/>
  <c r="F5" i="39"/>
  <c r="D5" i="39"/>
  <c r="C5" i="39"/>
  <c r="B5" i="39"/>
  <c r="A5" i="39"/>
  <c r="G4" i="39"/>
  <c r="F4" i="39"/>
  <c r="D4" i="39"/>
  <c r="C4" i="39"/>
  <c r="B4" i="39"/>
  <c r="A4" i="39"/>
  <c r="G3" i="39"/>
  <c r="F3" i="39"/>
  <c r="D3" i="39"/>
  <c r="C3" i="39"/>
  <c r="B3" i="39"/>
  <c r="A3" i="39"/>
  <c r="C110" i="38"/>
  <c r="B110" i="38"/>
  <c r="C105" i="38"/>
  <c r="C106" i="38" s="1"/>
  <c r="B105" i="38"/>
  <c r="B106" i="38" s="1"/>
  <c r="C100" i="38"/>
  <c r="C101" i="38" s="1"/>
  <c r="B100" i="38"/>
  <c r="B101" i="38" s="1"/>
  <c r="C95" i="38"/>
  <c r="C96" i="38" s="1"/>
  <c r="B95" i="38"/>
  <c r="B96" i="38" s="1"/>
  <c r="B90" i="38"/>
  <c r="B91" i="38" s="1"/>
  <c r="C90" i="38"/>
  <c r="C91" i="38" s="1"/>
  <c r="B85" i="38"/>
  <c r="B86" i="38" s="1"/>
  <c r="C85" i="38"/>
  <c r="C86" i="38" s="1"/>
  <c r="C81" i="38"/>
  <c r="B81" i="38"/>
  <c r="C77" i="38"/>
  <c r="B77" i="38"/>
  <c r="C68" i="38"/>
  <c r="A46" i="38"/>
  <c r="A108" i="38" s="1"/>
  <c r="A41" i="38"/>
  <c r="A103" i="38" s="1"/>
  <c r="A36" i="38"/>
  <c r="A98" i="38" s="1"/>
  <c r="A31" i="38"/>
  <c r="A93" i="38" s="1"/>
  <c r="A26" i="38"/>
  <c r="A88" i="38" s="1"/>
  <c r="A21" i="38"/>
  <c r="A83" i="38" s="1"/>
  <c r="A17" i="38"/>
  <c r="A79" i="38" s="1"/>
  <c r="A13" i="38"/>
  <c r="A75" i="38" s="1"/>
  <c r="F150" i="37"/>
  <c r="F149" i="37"/>
  <c r="F148" i="37"/>
  <c r="F147" i="37"/>
  <c r="F146" i="37"/>
  <c r="F145" i="37"/>
  <c r="F144" i="37"/>
  <c r="F143" i="37"/>
  <c r="F142" i="37"/>
  <c r="F141" i="37"/>
  <c r="F140" i="37"/>
  <c r="F135" i="37"/>
  <c r="L44" i="38" s="1"/>
  <c r="L44" i="11" s="1"/>
  <c r="E135" i="37"/>
  <c r="L39" i="38" s="1"/>
  <c r="L39" i="11" s="1"/>
  <c r="D135" i="37"/>
  <c r="L34" i="38" s="1"/>
  <c r="L34" i="11" s="1"/>
  <c r="C135" i="37"/>
  <c r="L29" i="38" s="1"/>
  <c r="L29" i="11" s="1"/>
  <c r="B135" i="37"/>
  <c r="L24" i="38" s="1"/>
  <c r="L24" i="11" s="1"/>
  <c r="F134" i="37"/>
  <c r="K44" i="38" s="1"/>
  <c r="K44" i="11" s="1"/>
  <c r="E134" i="37"/>
  <c r="K39" i="38" s="1"/>
  <c r="K39" i="11" s="1"/>
  <c r="D134" i="37"/>
  <c r="K34" i="38" s="1"/>
  <c r="K34" i="11" s="1"/>
  <c r="C134" i="37"/>
  <c r="K29" i="38" s="1"/>
  <c r="K29" i="11" s="1"/>
  <c r="B134" i="37"/>
  <c r="K24" i="38" s="1"/>
  <c r="K24" i="11" s="1"/>
  <c r="F133" i="37"/>
  <c r="J44" i="38" s="1"/>
  <c r="J44" i="11" s="1"/>
  <c r="E133" i="37"/>
  <c r="J39" i="38" s="1"/>
  <c r="J39" i="11" s="1"/>
  <c r="D133" i="37"/>
  <c r="J34" i="38" s="1"/>
  <c r="J34" i="11" s="1"/>
  <c r="C133" i="37"/>
  <c r="J29" i="38" s="1"/>
  <c r="J29" i="11" s="1"/>
  <c r="B133" i="37"/>
  <c r="J24" i="38" s="1"/>
  <c r="J24" i="11" s="1"/>
  <c r="F132" i="37"/>
  <c r="I44" i="38" s="1"/>
  <c r="I44" i="11" s="1"/>
  <c r="E132" i="37"/>
  <c r="I39" i="38" s="1"/>
  <c r="I39" i="11" s="1"/>
  <c r="D132" i="37"/>
  <c r="I34" i="38" s="1"/>
  <c r="I34" i="11" s="1"/>
  <c r="C132" i="37"/>
  <c r="I29" i="38" s="1"/>
  <c r="I29" i="11" s="1"/>
  <c r="B132" i="37"/>
  <c r="I24" i="38" s="1"/>
  <c r="I24" i="11" s="1"/>
  <c r="F131" i="37"/>
  <c r="H44" i="38" s="1"/>
  <c r="H44" i="11" s="1"/>
  <c r="E131" i="37"/>
  <c r="H39" i="38" s="1"/>
  <c r="H39" i="11" s="1"/>
  <c r="D131" i="37"/>
  <c r="H34" i="38" s="1"/>
  <c r="H34" i="11" s="1"/>
  <c r="C131" i="37"/>
  <c r="H29" i="38" s="1"/>
  <c r="H29" i="11" s="1"/>
  <c r="B131" i="37"/>
  <c r="H24" i="38" s="1"/>
  <c r="H24" i="11" s="1"/>
  <c r="F130" i="37"/>
  <c r="G44" i="38" s="1"/>
  <c r="G44" i="11" s="1"/>
  <c r="E130" i="37"/>
  <c r="G39" i="38" s="1"/>
  <c r="G39" i="11" s="1"/>
  <c r="D130" i="37"/>
  <c r="G34" i="38" s="1"/>
  <c r="G34" i="11" s="1"/>
  <c r="C130" i="37"/>
  <c r="G29" i="38" s="1"/>
  <c r="G29" i="11" s="1"/>
  <c r="B130" i="37"/>
  <c r="G24" i="38" s="1"/>
  <c r="G24" i="11" s="1"/>
  <c r="F129" i="37"/>
  <c r="F44" i="38" s="1"/>
  <c r="F44" i="11" s="1"/>
  <c r="E129" i="37"/>
  <c r="F39" i="38" s="1"/>
  <c r="F39" i="11" s="1"/>
  <c r="D129" i="37"/>
  <c r="F34" i="38" s="1"/>
  <c r="F34" i="11" s="1"/>
  <c r="C129" i="37"/>
  <c r="F29" i="38" s="1"/>
  <c r="F29" i="11" s="1"/>
  <c r="B129" i="37"/>
  <c r="F24" i="38" s="1"/>
  <c r="F24" i="11" s="1"/>
  <c r="F128" i="37"/>
  <c r="E44" i="38" s="1"/>
  <c r="E44" i="11" s="1"/>
  <c r="E128" i="37"/>
  <c r="E39" i="38" s="1"/>
  <c r="E39" i="11" s="1"/>
  <c r="D128" i="37"/>
  <c r="E34" i="38" s="1"/>
  <c r="E34" i="11" s="1"/>
  <c r="C128" i="37"/>
  <c r="E29" i="38" s="1"/>
  <c r="E29" i="11" s="1"/>
  <c r="B128" i="37"/>
  <c r="E24" i="38" s="1"/>
  <c r="E24" i="11" s="1"/>
  <c r="F127" i="37"/>
  <c r="D44" i="38" s="1"/>
  <c r="D44" i="11" s="1"/>
  <c r="E127" i="37"/>
  <c r="D39" i="38" s="1"/>
  <c r="D39" i="11" s="1"/>
  <c r="D127" i="37"/>
  <c r="D34" i="38" s="1"/>
  <c r="D34" i="11" s="1"/>
  <c r="C127" i="37"/>
  <c r="D29" i="38" s="1"/>
  <c r="D29" i="11" s="1"/>
  <c r="B127" i="37"/>
  <c r="D24" i="38" s="1"/>
  <c r="D24" i="11" s="1"/>
  <c r="F126" i="37"/>
  <c r="C44" i="38" s="1"/>
  <c r="C44" i="11" s="1"/>
  <c r="E126" i="37"/>
  <c r="C39" i="38" s="1"/>
  <c r="C39" i="11" s="1"/>
  <c r="D126" i="37"/>
  <c r="C34" i="38" s="1"/>
  <c r="C34" i="11" s="1"/>
  <c r="C126" i="37"/>
  <c r="C29" i="38" s="1"/>
  <c r="C29" i="11" s="1"/>
  <c r="B126" i="37"/>
  <c r="C24" i="38" s="1"/>
  <c r="C24" i="11" s="1"/>
  <c r="F125" i="37"/>
  <c r="B44" i="38" s="1"/>
  <c r="B44" i="11" s="1"/>
  <c r="E125" i="37"/>
  <c r="B39" i="38" s="1"/>
  <c r="B39" i="11" s="1"/>
  <c r="D125" i="37"/>
  <c r="B34" i="38" s="1"/>
  <c r="B34" i="11" s="1"/>
  <c r="C125" i="37"/>
  <c r="B29" i="38" s="1"/>
  <c r="B29" i="11" s="1"/>
  <c r="B125" i="37"/>
  <c r="B24" i="38" s="1"/>
  <c r="B24" i="11" s="1"/>
  <c r="N32" i="38" l="1"/>
  <c r="F19" i="17"/>
  <c r="G96" i="38"/>
  <c r="I106" i="38"/>
  <c r="E86" i="38"/>
  <c r="D106" i="38"/>
  <c r="E91" i="38"/>
  <c r="E106" i="38"/>
  <c r="F96" i="38"/>
  <c r="H106" i="38"/>
  <c r="H101" i="38"/>
  <c r="F91" i="38"/>
  <c r="E101" i="38"/>
  <c r="H86" i="38"/>
  <c r="F86" i="38"/>
  <c r="H91" i="38"/>
  <c r="D96" i="38"/>
  <c r="H96" i="38"/>
  <c r="F101" i="38"/>
  <c r="F106" i="38"/>
  <c r="D101" i="38"/>
  <c r="I101" i="38"/>
  <c r="G86" i="38"/>
  <c r="I91" i="38"/>
  <c r="E96" i="38"/>
  <c r="I96" i="38"/>
  <c r="G101" i="38"/>
  <c r="G106" i="38"/>
  <c r="D91" i="38"/>
  <c r="F67" i="44"/>
  <c r="F46" i="37" s="1"/>
  <c r="J84" i="38"/>
  <c r="M22" i="11"/>
  <c r="J94" i="38"/>
  <c r="M32" i="11"/>
  <c r="B53" i="38"/>
  <c r="J53" i="38"/>
  <c r="C114" i="38"/>
  <c r="D53" i="38"/>
  <c r="H53" i="38"/>
  <c r="L53" i="38"/>
  <c r="G91" i="38"/>
  <c r="G53" i="38"/>
  <c r="D86" i="38"/>
  <c r="I86" i="38"/>
  <c r="E53" i="38"/>
  <c r="I53" i="38"/>
  <c r="C53" i="38"/>
  <c r="K53" i="38"/>
  <c r="F53" i="38"/>
  <c r="B115" i="38"/>
  <c r="C115" i="38"/>
  <c r="B114" i="38"/>
  <c r="F157" i="37"/>
  <c r="F161" i="37"/>
  <c r="F162" i="37"/>
  <c r="F165" i="37"/>
  <c r="F155" i="37"/>
  <c r="F159" i="37"/>
  <c r="G131" i="37"/>
  <c r="H10" i="38" s="1"/>
  <c r="G133" i="37"/>
  <c r="J10" i="38" s="1"/>
  <c r="F163" i="37"/>
  <c r="G126" i="37"/>
  <c r="C10" i="38" s="1"/>
  <c r="F156" i="37"/>
  <c r="G130" i="37"/>
  <c r="G10" i="38" s="1"/>
  <c r="F160" i="37"/>
  <c r="G134" i="37"/>
  <c r="K10" i="38" s="1"/>
  <c r="F164" i="37"/>
  <c r="F158" i="37"/>
  <c r="G129" i="37"/>
  <c r="F10" i="38" s="1"/>
  <c r="G127" i="37"/>
  <c r="D10" i="38" s="1"/>
  <c r="G135" i="37"/>
  <c r="L10" i="38" s="1"/>
  <c r="G128" i="37"/>
  <c r="E10" i="38" s="1"/>
  <c r="G125" i="37"/>
  <c r="B10" i="38" s="1"/>
  <c r="G132" i="37"/>
  <c r="I10" i="38" s="1"/>
  <c r="F168" i="37" l="1"/>
  <c r="O32" i="38"/>
  <c r="G115" i="38"/>
  <c r="F115" i="38"/>
  <c r="E115" i="38"/>
  <c r="H115" i="38"/>
  <c r="E10" i="11"/>
  <c r="E58" i="38"/>
  <c r="E58" i="11" s="1"/>
  <c r="K10" i="11"/>
  <c r="K58" i="38"/>
  <c r="K58" i="11" s="1"/>
  <c r="C10" i="11"/>
  <c r="C58" i="38"/>
  <c r="C58" i="11" s="1"/>
  <c r="I10" i="11"/>
  <c r="I58" i="38"/>
  <c r="I58" i="11" s="1"/>
  <c r="H10" i="11"/>
  <c r="H58" i="38"/>
  <c r="H58" i="11" s="1"/>
  <c r="I115" i="38"/>
  <c r="L10" i="11"/>
  <c r="L58" i="38"/>
  <c r="L58" i="11" s="1"/>
  <c r="G10" i="11"/>
  <c r="G58" i="38"/>
  <c r="G58" i="11" s="1"/>
  <c r="D10" i="11"/>
  <c r="D58" i="38"/>
  <c r="D58" i="11" s="1"/>
  <c r="F58" i="38"/>
  <c r="F58" i="11" s="1"/>
  <c r="F10" i="11"/>
  <c r="J58" i="38"/>
  <c r="J58" i="11" s="1"/>
  <c r="J10" i="11"/>
  <c r="B58" i="38"/>
  <c r="B58" i="11" s="1"/>
  <c r="B10" i="11"/>
  <c r="K63" i="38"/>
  <c r="D115" i="38"/>
  <c r="B63" i="38"/>
  <c r="F68" i="44"/>
  <c r="F47" i="37" s="1"/>
  <c r="C33" i="17"/>
  <c r="C42" i="17" s="1"/>
  <c r="C40" i="17" l="1"/>
  <c r="C40" i="44"/>
  <c r="P32" i="38"/>
  <c r="I63" i="38"/>
  <c r="E63" i="38"/>
  <c r="C63" i="38"/>
  <c r="G63" i="38"/>
  <c r="J63" i="38"/>
  <c r="F63" i="38"/>
  <c r="D63" i="38"/>
  <c r="H63" i="38"/>
  <c r="F69" i="44"/>
  <c r="F48" i="37" s="1"/>
  <c r="C65" i="44"/>
  <c r="C44" i="37" s="1"/>
  <c r="C39" i="44" l="1"/>
  <c r="C48" i="44" s="1"/>
  <c r="C49" i="44" s="1"/>
  <c r="C50" i="44" s="1"/>
  <c r="C51" i="44" s="1"/>
  <c r="C52" i="44" s="1"/>
  <c r="C15" i="17"/>
  <c r="C16" i="17" s="1"/>
  <c r="Q32" i="38"/>
  <c r="M18" i="38"/>
  <c r="F70" i="44"/>
  <c r="F49" i="37" s="1"/>
  <c r="C17" i="17"/>
  <c r="B24" i="17"/>
  <c r="B23" i="17"/>
  <c r="C66" i="44" l="1"/>
  <c r="C45" i="37" s="1"/>
  <c r="R32" i="38"/>
  <c r="N18" i="38"/>
  <c r="J80" i="38"/>
  <c r="M18" i="11"/>
  <c r="C67" i="44"/>
  <c r="C46" i="37" s="1"/>
  <c r="C18" i="17"/>
  <c r="J31" i="37"/>
  <c r="F6" i="37" s="1"/>
  <c r="J30" i="37"/>
  <c r="F5" i="37" s="1"/>
  <c r="A174" i="37" l="1"/>
  <c r="A176" i="37"/>
  <c r="A172" i="37"/>
  <c r="A173" i="37"/>
  <c r="A175" i="37"/>
  <c r="O18" i="38"/>
  <c r="E14" i="38"/>
  <c r="B18" i="38"/>
  <c r="B18" i="11" s="1"/>
  <c r="C22" i="38"/>
  <c r="C22" i="11" s="1"/>
  <c r="D27" i="38"/>
  <c r="D27" i="11" s="1"/>
  <c r="E32" i="38"/>
  <c r="F18" i="38"/>
  <c r="G22" i="38"/>
  <c r="G42" i="38"/>
  <c r="H27" i="38"/>
  <c r="H47" i="38"/>
  <c r="J18" i="38"/>
  <c r="J37" i="38"/>
  <c r="K22" i="38"/>
  <c r="K42" i="38"/>
  <c r="L27" i="38"/>
  <c r="L47" i="38"/>
  <c r="B14" i="38"/>
  <c r="J14" i="38"/>
  <c r="B22" i="38"/>
  <c r="B22" i="11" s="1"/>
  <c r="C27" i="38"/>
  <c r="C27" i="11" s="1"/>
  <c r="D32" i="38"/>
  <c r="D32" i="11" s="1"/>
  <c r="E18" i="38"/>
  <c r="F22" i="38"/>
  <c r="G27" i="38"/>
  <c r="H32" i="38"/>
  <c r="I37" i="38"/>
  <c r="J42" i="38"/>
  <c r="K47" i="38"/>
  <c r="C14" i="38"/>
  <c r="G14" i="38"/>
  <c r="K14" i="38"/>
  <c r="B27" i="38"/>
  <c r="B27" i="11" s="1"/>
  <c r="B47" i="38"/>
  <c r="B47" i="11" s="1"/>
  <c r="C32" i="38"/>
  <c r="C32" i="11" s="1"/>
  <c r="D18" i="38"/>
  <c r="D18" i="11" s="1"/>
  <c r="D37" i="38"/>
  <c r="D37" i="11" s="1"/>
  <c r="E22" i="38"/>
  <c r="E42" i="38"/>
  <c r="F27" i="38"/>
  <c r="F47" i="38"/>
  <c r="G32" i="38"/>
  <c r="H18" i="38"/>
  <c r="H37" i="38"/>
  <c r="I22" i="38"/>
  <c r="I42" i="38"/>
  <c r="J27" i="38"/>
  <c r="J47" i="38"/>
  <c r="K32" i="38"/>
  <c r="L18" i="38"/>
  <c r="L37" i="38"/>
  <c r="I14" i="38"/>
  <c r="B37" i="38"/>
  <c r="B37" i="11" s="1"/>
  <c r="C42" i="38"/>
  <c r="C42" i="11" s="1"/>
  <c r="D47" i="38"/>
  <c r="D47" i="11" s="1"/>
  <c r="F37" i="38"/>
  <c r="I32" i="38"/>
  <c r="F14" i="38"/>
  <c r="B42" i="38"/>
  <c r="B42" i="11" s="1"/>
  <c r="C47" i="38"/>
  <c r="C47" i="11" s="1"/>
  <c r="E37" i="38"/>
  <c r="F42" i="38"/>
  <c r="G47" i="38"/>
  <c r="I18" i="38"/>
  <c r="J22" i="38"/>
  <c r="K27" i="38"/>
  <c r="L32" i="38"/>
  <c r="D14" i="38"/>
  <c r="H14" i="38"/>
  <c r="L14" i="38"/>
  <c r="B32" i="38"/>
  <c r="B32" i="11" s="1"/>
  <c r="C18" i="38"/>
  <c r="C18" i="11" s="1"/>
  <c r="C37" i="38"/>
  <c r="C37" i="11" s="1"/>
  <c r="D22" i="38"/>
  <c r="D22" i="11" s="1"/>
  <c r="D42" i="38"/>
  <c r="D42" i="11" s="1"/>
  <c r="E27" i="38"/>
  <c r="E47" i="38"/>
  <c r="F32" i="38"/>
  <c r="G18" i="38"/>
  <c r="G37" i="38"/>
  <c r="H22" i="38"/>
  <c r="H42" i="38"/>
  <c r="I27" i="38"/>
  <c r="I47" i="38"/>
  <c r="J32" i="38"/>
  <c r="K18" i="38"/>
  <c r="K37" i="38"/>
  <c r="L22" i="38"/>
  <c r="L42" i="38"/>
  <c r="C68" i="44"/>
  <c r="C47" i="37" s="1"/>
  <c r="C19" i="17"/>
  <c r="J36" i="37"/>
  <c r="F11" i="37" s="1"/>
  <c r="J40" i="37"/>
  <c r="F15" i="37" s="1"/>
  <c r="J35" i="37"/>
  <c r="F10" i="37" s="1"/>
  <c r="J37" i="37"/>
  <c r="F12" i="37" s="1"/>
  <c r="J39" i="37"/>
  <c r="F14" i="37" s="1"/>
  <c r="J41" i="37"/>
  <c r="F16" i="37" s="1"/>
  <c r="J43" i="37"/>
  <c r="F18" i="37" s="1"/>
  <c r="J42" i="37"/>
  <c r="F17" i="37" s="1"/>
  <c r="J34" i="37"/>
  <c r="F9" i="37" s="1"/>
  <c r="J38" i="37"/>
  <c r="F13" i="37" s="1"/>
  <c r="J33" i="37"/>
  <c r="B56" i="38" l="1"/>
  <c r="F8" i="37"/>
  <c r="P18" i="38"/>
  <c r="H80" i="38"/>
  <c r="K18" i="11"/>
  <c r="F89" i="38"/>
  <c r="I27" i="11"/>
  <c r="G37" i="11"/>
  <c r="D99" i="38"/>
  <c r="E47" i="11"/>
  <c r="B109" i="38"/>
  <c r="D14" i="11"/>
  <c r="D51" i="38"/>
  <c r="C76" i="38"/>
  <c r="F14" i="11"/>
  <c r="F51" i="38"/>
  <c r="H94" i="38"/>
  <c r="K32" i="11"/>
  <c r="D76" i="38"/>
  <c r="G14" i="11"/>
  <c r="G51" i="38"/>
  <c r="I89" i="38"/>
  <c r="L27" i="11"/>
  <c r="J37" i="11"/>
  <c r="G99" i="38"/>
  <c r="B94" i="38"/>
  <c r="E32" i="11"/>
  <c r="H99" i="38"/>
  <c r="K37" i="11"/>
  <c r="F109" i="38"/>
  <c r="I47" i="11"/>
  <c r="H51" i="38"/>
  <c r="E76" i="38"/>
  <c r="H14" i="11"/>
  <c r="H89" i="38"/>
  <c r="K27" i="11"/>
  <c r="D109" i="38"/>
  <c r="G47" i="11"/>
  <c r="F37" i="11"/>
  <c r="C99" i="38"/>
  <c r="I14" i="11"/>
  <c r="I51" i="38"/>
  <c r="F76" i="38"/>
  <c r="G89" i="38"/>
  <c r="J27" i="11"/>
  <c r="E99" i="38"/>
  <c r="H37" i="11"/>
  <c r="C109" i="38"/>
  <c r="F47" i="11"/>
  <c r="E22" i="11"/>
  <c r="B84" i="38"/>
  <c r="H76" i="38"/>
  <c r="K14" i="11"/>
  <c r="D89" i="38"/>
  <c r="G27" i="11"/>
  <c r="H84" i="38"/>
  <c r="K22" i="11"/>
  <c r="E89" i="38"/>
  <c r="H27" i="11"/>
  <c r="F18" i="11"/>
  <c r="C80" i="38"/>
  <c r="E104" i="38"/>
  <c r="H42" i="11"/>
  <c r="F32" i="11"/>
  <c r="C94" i="38"/>
  <c r="F80" i="38"/>
  <c r="I18" i="11"/>
  <c r="I80" i="38"/>
  <c r="L18" i="11"/>
  <c r="G109" i="38"/>
  <c r="J47" i="11"/>
  <c r="F84" i="38"/>
  <c r="I22" i="11"/>
  <c r="B104" i="38"/>
  <c r="E42" i="11"/>
  <c r="H109" i="38"/>
  <c r="K47" i="11"/>
  <c r="E18" i="11"/>
  <c r="B80" i="38"/>
  <c r="I109" i="38"/>
  <c r="L47" i="11"/>
  <c r="E109" i="38"/>
  <c r="H47" i="11"/>
  <c r="D84" i="38"/>
  <c r="G22" i="11"/>
  <c r="B76" i="38"/>
  <c r="E51" i="38"/>
  <c r="E14" i="11"/>
  <c r="C104" i="38"/>
  <c r="F42" i="11"/>
  <c r="I99" i="38"/>
  <c r="L37" i="11"/>
  <c r="E80" i="38"/>
  <c r="H18" i="11"/>
  <c r="F27" i="11"/>
  <c r="C89" i="38"/>
  <c r="F99" i="38"/>
  <c r="I37" i="11"/>
  <c r="G76" i="38"/>
  <c r="J14" i="11"/>
  <c r="E84" i="38"/>
  <c r="H22" i="11"/>
  <c r="I84" i="38"/>
  <c r="L22" i="11"/>
  <c r="G94" i="38"/>
  <c r="J32" i="11"/>
  <c r="D80" i="38"/>
  <c r="G18" i="11"/>
  <c r="E27" i="11"/>
  <c r="B89" i="38"/>
  <c r="I76" i="38"/>
  <c r="L14" i="11"/>
  <c r="I94" i="38"/>
  <c r="L32" i="11"/>
  <c r="G84" i="38"/>
  <c r="J22" i="11"/>
  <c r="E37" i="11"/>
  <c r="B99" i="38"/>
  <c r="F94" i="38"/>
  <c r="I32" i="11"/>
  <c r="F104" i="38"/>
  <c r="I42" i="11"/>
  <c r="D94" i="38"/>
  <c r="G32" i="11"/>
  <c r="C14" i="11"/>
  <c r="C51" i="38"/>
  <c r="E94" i="38"/>
  <c r="H32" i="11"/>
  <c r="C84" i="38"/>
  <c r="F22" i="11"/>
  <c r="B14" i="11"/>
  <c r="B51" i="38"/>
  <c r="G80" i="38"/>
  <c r="J18" i="11"/>
  <c r="D104" i="38"/>
  <c r="G42" i="11"/>
  <c r="F56" i="38"/>
  <c r="L56" i="38"/>
  <c r="D56" i="38"/>
  <c r="G56" i="38"/>
  <c r="J56" i="38"/>
  <c r="I56" i="38"/>
  <c r="K56" i="38"/>
  <c r="C56" i="38"/>
  <c r="H56" i="38"/>
  <c r="E56" i="38"/>
  <c r="C69" i="44"/>
  <c r="C48" i="37" s="1"/>
  <c r="Q18" i="38" l="1"/>
  <c r="F113" i="38"/>
  <c r="C113" i="38"/>
  <c r="E113" i="38"/>
  <c r="B113" i="38"/>
  <c r="D113" i="38"/>
  <c r="C70" i="44"/>
  <c r="C49" i="37" s="1"/>
  <c r="H68" i="37"/>
  <c r="H93" i="37" s="1"/>
  <c r="H66" i="37"/>
  <c r="H91" i="37" s="1"/>
  <c r="H65" i="37"/>
  <c r="H90" i="37" s="1"/>
  <c r="H64" i="37"/>
  <c r="H89" i="37" s="1"/>
  <c r="H63" i="37"/>
  <c r="H88" i="37" s="1"/>
  <c r="H62" i="37"/>
  <c r="H87" i="37" s="1"/>
  <c r="H61" i="37"/>
  <c r="H86" i="37" s="1"/>
  <c r="I60" i="37"/>
  <c r="I85" i="37" s="1"/>
  <c r="H60" i="37"/>
  <c r="H85" i="37" s="1"/>
  <c r="I59" i="37"/>
  <c r="I84" i="37" s="1"/>
  <c r="H59" i="37"/>
  <c r="H84" i="37" s="1"/>
  <c r="I58" i="37"/>
  <c r="I83" i="37" s="1"/>
  <c r="H58" i="37"/>
  <c r="H83" i="37" s="1"/>
  <c r="H67" i="37"/>
  <c r="H92" i="37" s="1"/>
  <c r="J55" i="37"/>
  <c r="R18" i="38" l="1"/>
  <c r="C48" i="38"/>
  <c r="C48" i="11" s="1"/>
  <c r="B48" i="38"/>
  <c r="B48" i="11" s="1"/>
  <c r="F43" i="38"/>
  <c r="F43" i="11" s="1"/>
  <c r="J43" i="38"/>
  <c r="D48" i="38"/>
  <c r="D48" i="11" s="1"/>
  <c r="B43" i="38"/>
  <c r="B43" i="11" s="1"/>
  <c r="D43" i="38"/>
  <c r="D43" i="11" s="1"/>
  <c r="H43" i="38"/>
  <c r="K43" i="38"/>
  <c r="C43" i="38"/>
  <c r="C43" i="11" s="1"/>
  <c r="E43" i="38"/>
  <c r="E43" i="11" s="1"/>
  <c r="G43" i="38"/>
  <c r="I43" i="38"/>
  <c r="L43" i="38"/>
  <c r="B72" i="38"/>
  <c r="J80" i="37"/>
  <c r="J104" i="37" s="1"/>
  <c r="J82" i="44" l="1"/>
  <c r="L43" i="11"/>
  <c r="I105" i="38"/>
  <c r="I43" i="11"/>
  <c r="F105" i="38"/>
  <c r="K43" i="11"/>
  <c r="H105" i="38"/>
  <c r="H43" i="11"/>
  <c r="E105" i="38"/>
  <c r="J43" i="11"/>
  <c r="G105" i="38"/>
  <c r="G43" i="11"/>
  <c r="D105" i="38"/>
  <c r="J56" i="37"/>
  <c r="E123" i="28"/>
  <c r="E2" i="28"/>
  <c r="E123" i="27"/>
  <c r="E2" i="27"/>
  <c r="E123" i="23"/>
  <c r="E2" i="23"/>
  <c r="E123" i="26"/>
  <c r="E2" i="26"/>
  <c r="E123" i="22"/>
  <c r="E2" i="22"/>
  <c r="E2" i="21"/>
  <c r="E2" i="20"/>
  <c r="C72" i="38" l="1"/>
  <c r="J81" i="37"/>
  <c r="J105" i="37" s="1"/>
  <c r="E123" i="32"/>
  <c r="N123" i="39" s="1"/>
  <c r="E2" i="33"/>
  <c r="E2" i="32"/>
  <c r="J83" i="44" l="1"/>
  <c r="E133" i="19" l="1"/>
  <c r="E130" i="19"/>
  <c r="E118" i="19"/>
  <c r="E115" i="19"/>
  <c r="E109" i="19"/>
  <c r="E103" i="19"/>
  <c r="E100" i="19"/>
  <c r="E97" i="19"/>
  <c r="E91" i="19"/>
  <c r="E73" i="19"/>
  <c r="E70" i="19"/>
  <c r="E49" i="19"/>
  <c r="E43" i="19"/>
  <c r="E16" i="19"/>
  <c r="E13" i="19"/>
  <c r="E7" i="19"/>
  <c r="E124" i="19"/>
  <c r="E121" i="19"/>
  <c r="E82" i="19"/>
  <c r="E46" i="19"/>
  <c r="E4" i="19"/>
  <c r="E101" i="19" l="1"/>
  <c r="E100" i="39"/>
  <c r="E100" i="28"/>
  <c r="E100" i="23"/>
  <c r="E100" i="27"/>
  <c r="E100" i="22"/>
  <c r="E100" i="26"/>
  <c r="E100" i="32"/>
  <c r="N100" i="39" s="1"/>
  <c r="E5" i="19"/>
  <c r="E4" i="39"/>
  <c r="E4" i="28"/>
  <c r="E4" i="23"/>
  <c r="E4" i="27"/>
  <c r="E4" i="22"/>
  <c r="E4" i="26"/>
  <c r="E4" i="32"/>
  <c r="N4" i="39" s="1"/>
  <c r="E92" i="19"/>
  <c r="E91" i="39"/>
  <c r="E91" i="28"/>
  <c r="E91" i="23"/>
  <c r="E91" i="26"/>
  <c r="E91" i="27"/>
  <c r="E91" i="22"/>
  <c r="E91" i="32"/>
  <c r="N91" i="39" s="1"/>
  <c r="E28" i="19"/>
  <c r="E27" i="39"/>
  <c r="E27" i="28"/>
  <c r="E27" i="26"/>
  <c r="E27" i="27"/>
  <c r="E27" i="23"/>
  <c r="E27" i="22"/>
  <c r="E27" i="32"/>
  <c r="N27" i="39" s="1"/>
  <c r="E64" i="19"/>
  <c r="E63" i="39"/>
  <c r="E63" i="28"/>
  <c r="E63" i="23"/>
  <c r="E63" i="27"/>
  <c r="E63" i="26"/>
  <c r="E63" i="22"/>
  <c r="E63" i="32"/>
  <c r="N63" i="39" s="1"/>
  <c r="E87" i="39"/>
  <c r="E87" i="28"/>
  <c r="E87" i="23"/>
  <c r="E87" i="26"/>
  <c r="E87" i="27"/>
  <c r="E87" i="22"/>
  <c r="E87" i="32"/>
  <c r="N87" i="39" s="1"/>
  <c r="E111" i="39"/>
  <c r="E111" i="28"/>
  <c r="E111" i="23"/>
  <c r="E111" i="27"/>
  <c r="E111" i="26"/>
  <c r="E111" i="22"/>
  <c r="E111" i="32"/>
  <c r="N111" i="39" s="1"/>
  <c r="E44" i="19"/>
  <c r="E43" i="39"/>
  <c r="E43" i="28"/>
  <c r="E43" i="26"/>
  <c r="E43" i="23"/>
  <c r="E43" i="27"/>
  <c r="E43" i="22"/>
  <c r="E43" i="32"/>
  <c r="N43" i="39" s="1"/>
  <c r="E74" i="19"/>
  <c r="E73" i="39"/>
  <c r="E73" i="27"/>
  <c r="E73" i="22"/>
  <c r="E73" i="28"/>
  <c r="E73" i="23"/>
  <c r="E73" i="26"/>
  <c r="E73" i="32"/>
  <c r="N73" i="39" s="1"/>
  <c r="E98" i="19"/>
  <c r="E97" i="39"/>
  <c r="E97" i="27"/>
  <c r="E97" i="28"/>
  <c r="E97" i="23"/>
  <c r="E97" i="22"/>
  <c r="E97" i="26"/>
  <c r="E97" i="32"/>
  <c r="N97" i="39" s="1"/>
  <c r="E112" i="19"/>
  <c r="E6" i="39"/>
  <c r="E6" i="27"/>
  <c r="E6" i="28"/>
  <c r="E6" i="23"/>
  <c r="E6" i="26"/>
  <c r="E6" i="22"/>
  <c r="E6" i="32"/>
  <c r="N6" i="39" s="1"/>
  <c r="E19" i="19"/>
  <c r="E18" i="39"/>
  <c r="E18" i="27"/>
  <c r="E18" i="28"/>
  <c r="E18" i="23"/>
  <c r="E18" i="22"/>
  <c r="E18" i="26"/>
  <c r="E18" i="32"/>
  <c r="N18" i="39" s="1"/>
  <c r="E31" i="19"/>
  <c r="E30" i="39"/>
  <c r="E30" i="27"/>
  <c r="E30" i="28"/>
  <c r="E30" i="23"/>
  <c r="E30" i="22"/>
  <c r="E30" i="26"/>
  <c r="E30" i="32"/>
  <c r="N30" i="39" s="1"/>
  <c r="E42" i="39"/>
  <c r="E42" i="27"/>
  <c r="E42" i="28"/>
  <c r="E42" i="23"/>
  <c r="E42" i="26"/>
  <c r="E42" i="22"/>
  <c r="E42" i="32"/>
  <c r="N42" i="39" s="1"/>
  <c r="E55" i="19"/>
  <c r="E54" i="39"/>
  <c r="E54" i="27"/>
  <c r="E54" i="28"/>
  <c r="E54" i="23"/>
  <c r="E54" i="26"/>
  <c r="E54" i="22"/>
  <c r="E54" i="32"/>
  <c r="N54" i="39" s="1"/>
  <c r="E67" i="19"/>
  <c r="E66" i="39"/>
  <c r="E66" i="27"/>
  <c r="E66" i="28"/>
  <c r="E66" i="23"/>
  <c r="E66" i="26"/>
  <c r="E66" i="22"/>
  <c r="E66" i="32"/>
  <c r="N66" i="39" s="1"/>
  <c r="E79" i="19"/>
  <c r="E78" i="39"/>
  <c r="E78" i="27"/>
  <c r="E78" i="28"/>
  <c r="E78" i="23"/>
  <c r="E78" i="26"/>
  <c r="E78" i="22"/>
  <c r="E78" i="32"/>
  <c r="N78" i="39" s="1"/>
  <c r="E90" i="39"/>
  <c r="E90" i="27"/>
  <c r="E90" i="28"/>
  <c r="E90" i="23"/>
  <c r="E90" i="26"/>
  <c r="E90" i="22"/>
  <c r="E90" i="32"/>
  <c r="N90" i="39" s="1"/>
  <c r="E102" i="39"/>
  <c r="E102" i="27"/>
  <c r="E102" i="28"/>
  <c r="E102" i="23"/>
  <c r="E102" i="26"/>
  <c r="E102" i="22"/>
  <c r="E102" i="32"/>
  <c r="N102" i="39" s="1"/>
  <c r="E114" i="39"/>
  <c r="E114" i="27"/>
  <c r="E114" i="28"/>
  <c r="E114" i="23"/>
  <c r="E114" i="26"/>
  <c r="E114" i="22"/>
  <c r="E114" i="32"/>
  <c r="N114" i="39" s="1"/>
  <c r="E129" i="39"/>
  <c r="E129" i="28"/>
  <c r="E129" i="23"/>
  <c r="E129" i="27"/>
  <c r="E129" i="26"/>
  <c r="E129" i="22"/>
  <c r="E129" i="32"/>
  <c r="N129" i="39" s="1"/>
  <c r="E17" i="19"/>
  <c r="E16" i="39"/>
  <c r="E16" i="28"/>
  <c r="E16" i="23"/>
  <c r="E16" i="27"/>
  <c r="E16" i="22"/>
  <c r="E16" i="26"/>
  <c r="E16" i="32"/>
  <c r="N16" i="39" s="1"/>
  <c r="E71" i="19"/>
  <c r="E70" i="39"/>
  <c r="E70" i="27"/>
  <c r="E70" i="28"/>
  <c r="E70" i="23"/>
  <c r="E70" i="22"/>
  <c r="E70" i="26"/>
  <c r="E70" i="32"/>
  <c r="N70" i="39" s="1"/>
  <c r="E122" i="19"/>
  <c r="E121" i="39"/>
  <c r="E121" i="27"/>
  <c r="E121" i="22"/>
  <c r="E121" i="28"/>
  <c r="E121" i="23"/>
  <c r="E121" i="26"/>
  <c r="E121" i="32"/>
  <c r="N121" i="39" s="1"/>
  <c r="E134" i="19"/>
  <c r="E133" i="39"/>
  <c r="E133" i="28"/>
  <c r="E133" i="23"/>
  <c r="E133" i="26"/>
  <c r="E133" i="22"/>
  <c r="E133" i="27"/>
  <c r="E133" i="32"/>
  <c r="N133" i="39" s="1"/>
  <c r="E40" i="19"/>
  <c r="E39" i="39"/>
  <c r="E39" i="28"/>
  <c r="E39" i="26"/>
  <c r="E39" i="23"/>
  <c r="E39" i="27"/>
  <c r="E39" i="22"/>
  <c r="E39" i="32"/>
  <c r="N39" i="39" s="1"/>
  <c r="E76" i="19"/>
  <c r="E75" i="39"/>
  <c r="E75" i="28"/>
  <c r="E75" i="23"/>
  <c r="E75" i="26"/>
  <c r="E75" i="27"/>
  <c r="E75" i="22"/>
  <c r="E75" i="32"/>
  <c r="N75" i="39" s="1"/>
  <c r="E126" i="39"/>
  <c r="E126" i="28"/>
  <c r="E126" i="23"/>
  <c r="E126" i="27"/>
  <c r="E126" i="26"/>
  <c r="E126" i="22"/>
  <c r="E126" i="32"/>
  <c r="N126" i="39" s="1"/>
  <c r="E8" i="19"/>
  <c r="E7" i="39"/>
  <c r="E7" i="28"/>
  <c r="E7" i="26"/>
  <c r="E7" i="23"/>
  <c r="E7" i="27"/>
  <c r="E7" i="22"/>
  <c r="E7" i="32"/>
  <c r="N7" i="39" s="1"/>
  <c r="E83" i="19"/>
  <c r="E82" i="39"/>
  <c r="E82" i="27"/>
  <c r="E82" i="28"/>
  <c r="E82" i="23"/>
  <c r="E82" i="22"/>
  <c r="E82" i="26"/>
  <c r="E82" i="32"/>
  <c r="N82" i="39" s="1"/>
  <c r="E116" i="19"/>
  <c r="E115" i="39"/>
  <c r="E115" i="28"/>
  <c r="E115" i="23"/>
  <c r="E115" i="26"/>
  <c r="E115" i="22"/>
  <c r="E115" i="27"/>
  <c r="E115" i="32"/>
  <c r="N115" i="39" s="1"/>
  <c r="E127" i="19"/>
  <c r="E10" i="19"/>
  <c r="E9" i="39"/>
  <c r="E9" i="27"/>
  <c r="E9" i="23"/>
  <c r="E9" i="22"/>
  <c r="E9" i="28"/>
  <c r="E9" i="26"/>
  <c r="E9" i="32"/>
  <c r="N9" i="39" s="1"/>
  <c r="E22" i="19"/>
  <c r="E21" i="39"/>
  <c r="E21" i="27"/>
  <c r="E21" i="22"/>
  <c r="E21" i="23"/>
  <c r="E21" i="26"/>
  <c r="E21" i="28"/>
  <c r="E21" i="32"/>
  <c r="N21" i="39" s="1"/>
  <c r="E34" i="19"/>
  <c r="E33" i="39"/>
  <c r="E33" i="27"/>
  <c r="E33" i="28"/>
  <c r="E33" i="23"/>
  <c r="E33" i="22"/>
  <c r="E33" i="26"/>
  <c r="E33" i="32"/>
  <c r="N33" i="39" s="1"/>
  <c r="E45" i="39"/>
  <c r="E45" i="27"/>
  <c r="E45" i="22"/>
  <c r="E45" i="28"/>
  <c r="E45" i="23"/>
  <c r="E45" i="26"/>
  <c r="E45" i="32"/>
  <c r="N45" i="39" s="1"/>
  <c r="E58" i="19"/>
  <c r="E57" i="39"/>
  <c r="E57" i="27"/>
  <c r="E57" i="22"/>
  <c r="E57" i="28"/>
  <c r="E57" i="23"/>
  <c r="E57" i="26"/>
  <c r="E57" i="32"/>
  <c r="N57" i="39" s="1"/>
  <c r="E69" i="39"/>
  <c r="E69" i="27"/>
  <c r="E69" i="22"/>
  <c r="E69" i="23"/>
  <c r="E69" i="26"/>
  <c r="E69" i="28"/>
  <c r="E69" i="32"/>
  <c r="N69" i="39" s="1"/>
  <c r="E81" i="39"/>
  <c r="E81" i="27"/>
  <c r="E81" i="28"/>
  <c r="E81" i="23"/>
  <c r="E81" i="22"/>
  <c r="E81" i="26"/>
  <c r="E81" i="32"/>
  <c r="N81" i="39" s="1"/>
  <c r="E94" i="19"/>
  <c r="E93" i="39"/>
  <c r="E93" i="27"/>
  <c r="E93" i="22"/>
  <c r="E93" i="28"/>
  <c r="E93" i="23"/>
  <c r="E93" i="26"/>
  <c r="E93" i="32"/>
  <c r="N93" i="39" s="1"/>
  <c r="E106" i="19"/>
  <c r="E105" i="39"/>
  <c r="E105" i="27"/>
  <c r="E105" i="22"/>
  <c r="E105" i="28"/>
  <c r="E105" i="23"/>
  <c r="E105" i="26"/>
  <c r="E105" i="32"/>
  <c r="N105" i="39" s="1"/>
  <c r="E117" i="39"/>
  <c r="E117" i="27"/>
  <c r="E117" i="22"/>
  <c r="E117" i="28"/>
  <c r="E117" i="23"/>
  <c r="E117" i="26"/>
  <c r="E117" i="32"/>
  <c r="N117" i="39" s="1"/>
  <c r="E132" i="39"/>
  <c r="E132" i="27"/>
  <c r="E132" i="26"/>
  <c r="E132" i="28"/>
  <c r="E132" i="23"/>
  <c r="E132" i="22"/>
  <c r="E132" i="32"/>
  <c r="N132" i="39" s="1"/>
  <c r="E3" i="39"/>
  <c r="E3" i="28"/>
  <c r="E3" i="26"/>
  <c r="E3" i="23"/>
  <c r="E3" i="22"/>
  <c r="E3" i="27"/>
  <c r="E3" i="32"/>
  <c r="N3" i="39" s="1"/>
  <c r="E110" i="19"/>
  <c r="E109" i="39"/>
  <c r="E109" i="27"/>
  <c r="E109" i="22"/>
  <c r="E109" i="28"/>
  <c r="E109" i="23"/>
  <c r="E109" i="26"/>
  <c r="E109" i="32"/>
  <c r="N109" i="39" s="1"/>
  <c r="E15" i="39"/>
  <c r="E15" i="28"/>
  <c r="E15" i="27"/>
  <c r="E15" i="26"/>
  <c r="E15" i="23"/>
  <c r="E15" i="22"/>
  <c r="E15" i="32"/>
  <c r="N15" i="39" s="1"/>
  <c r="E52" i="19"/>
  <c r="E51" i="39"/>
  <c r="E51" i="28"/>
  <c r="E51" i="23"/>
  <c r="E51" i="26"/>
  <c r="E51" i="22"/>
  <c r="E51" i="27"/>
  <c r="E51" i="32"/>
  <c r="N51" i="39" s="1"/>
  <c r="E99" i="39"/>
  <c r="E99" i="28"/>
  <c r="E99" i="23"/>
  <c r="E99" i="26"/>
  <c r="E99" i="27"/>
  <c r="E99" i="22"/>
  <c r="E99" i="32"/>
  <c r="N99" i="39" s="1"/>
  <c r="E47" i="19"/>
  <c r="E46" i="39"/>
  <c r="E46" i="27"/>
  <c r="E46" i="28"/>
  <c r="E46" i="23"/>
  <c r="E46" i="22"/>
  <c r="E46" i="26"/>
  <c r="E46" i="32"/>
  <c r="N46" i="39" s="1"/>
  <c r="E14" i="19"/>
  <c r="E13" i="39"/>
  <c r="E13" i="27"/>
  <c r="E13" i="22"/>
  <c r="E13" i="28"/>
  <c r="E13" i="23"/>
  <c r="E13" i="26"/>
  <c r="E13" i="32"/>
  <c r="N13" i="39" s="1"/>
  <c r="E50" i="19"/>
  <c r="E49" i="39"/>
  <c r="E49" i="27"/>
  <c r="E49" i="28"/>
  <c r="E49" i="23"/>
  <c r="E49" i="22"/>
  <c r="E49" i="26"/>
  <c r="E49" i="32"/>
  <c r="N49" i="39" s="1"/>
  <c r="E88" i="19"/>
  <c r="E104" i="19"/>
  <c r="E103" i="39"/>
  <c r="E103" i="28"/>
  <c r="E103" i="23"/>
  <c r="E103" i="26"/>
  <c r="E103" i="27"/>
  <c r="E103" i="22"/>
  <c r="E103" i="32"/>
  <c r="N103" i="39" s="1"/>
  <c r="E119" i="19"/>
  <c r="E118" i="39"/>
  <c r="E118" i="27"/>
  <c r="E118" i="28"/>
  <c r="E118" i="23"/>
  <c r="E118" i="22"/>
  <c r="E118" i="26"/>
  <c r="E118" i="32"/>
  <c r="N118" i="39" s="1"/>
  <c r="E131" i="19"/>
  <c r="E130" i="39"/>
  <c r="E130" i="28"/>
  <c r="E130" i="23"/>
  <c r="E130" i="27"/>
  <c r="E130" i="26"/>
  <c r="E130" i="22"/>
  <c r="E130" i="32"/>
  <c r="N130" i="39" s="1"/>
  <c r="E12" i="39"/>
  <c r="E12" i="28"/>
  <c r="E12" i="23"/>
  <c r="E12" i="27"/>
  <c r="E12" i="22"/>
  <c r="E12" i="26"/>
  <c r="E12" i="32"/>
  <c r="N12" i="39" s="1"/>
  <c r="E25" i="19"/>
  <c r="E24" i="39"/>
  <c r="E24" i="28"/>
  <c r="E24" i="23"/>
  <c r="E24" i="27"/>
  <c r="E24" i="22"/>
  <c r="E24" i="26"/>
  <c r="E24" i="32"/>
  <c r="N24" i="39" s="1"/>
  <c r="E37" i="19"/>
  <c r="E36" i="39"/>
  <c r="E36" i="28"/>
  <c r="E36" i="23"/>
  <c r="E36" i="27"/>
  <c r="E36" i="26"/>
  <c r="E36" i="22"/>
  <c r="E36" i="32"/>
  <c r="N36" i="39" s="1"/>
  <c r="E48" i="39"/>
  <c r="E48" i="28"/>
  <c r="E48" i="23"/>
  <c r="E48" i="27"/>
  <c r="E48" i="26"/>
  <c r="E48" i="22"/>
  <c r="E48" i="32"/>
  <c r="N48" i="39" s="1"/>
  <c r="E61" i="19"/>
  <c r="E60" i="39"/>
  <c r="E60" i="28"/>
  <c r="E60" i="23"/>
  <c r="E60" i="27"/>
  <c r="E60" i="26"/>
  <c r="E60" i="22"/>
  <c r="E60" i="32"/>
  <c r="N60" i="39" s="1"/>
  <c r="E72" i="39"/>
  <c r="E72" i="28"/>
  <c r="E72" i="23"/>
  <c r="E72" i="27"/>
  <c r="E72" i="22"/>
  <c r="E72" i="26"/>
  <c r="E72" i="32"/>
  <c r="N72" i="39" s="1"/>
  <c r="E85" i="19"/>
  <c r="E84" i="39"/>
  <c r="E84" i="28"/>
  <c r="E84" i="23"/>
  <c r="E84" i="27"/>
  <c r="E84" i="22"/>
  <c r="E84" i="26"/>
  <c r="E84" i="32"/>
  <c r="N84" i="39" s="1"/>
  <c r="E96" i="39"/>
  <c r="E96" i="28"/>
  <c r="E96" i="23"/>
  <c r="E96" i="27"/>
  <c r="E96" i="22"/>
  <c r="E96" i="26"/>
  <c r="E96" i="32"/>
  <c r="N96" i="39" s="1"/>
  <c r="E108" i="39"/>
  <c r="E108" i="28"/>
  <c r="E108" i="23"/>
  <c r="E108" i="27"/>
  <c r="E108" i="22"/>
  <c r="E108" i="26"/>
  <c r="E108" i="32"/>
  <c r="N108" i="39" s="1"/>
  <c r="E120" i="39"/>
  <c r="E120" i="28"/>
  <c r="E120" i="23"/>
  <c r="E120" i="27"/>
  <c r="E120" i="26"/>
  <c r="E120" i="22"/>
  <c r="E120" i="32"/>
  <c r="N120" i="39" s="1"/>
  <c r="E125" i="19"/>
  <c r="E124" i="39"/>
  <c r="E124" i="27"/>
  <c r="E124" i="26"/>
  <c r="E124" i="22"/>
  <c r="E124" i="23"/>
  <c r="E124" i="28"/>
  <c r="E124" i="32"/>
  <c r="N124" i="39" s="1"/>
  <c r="F35" i="18"/>
  <c r="F34" i="18"/>
  <c r="F33" i="18"/>
  <c r="F32" i="18"/>
  <c r="F31" i="18"/>
  <c r="F30" i="18"/>
  <c r="F29" i="18"/>
  <c r="F28" i="18"/>
  <c r="F27" i="18"/>
  <c r="F26" i="18"/>
  <c r="F25" i="18"/>
  <c r="G12" i="18"/>
  <c r="L63" i="38" s="1"/>
  <c r="N40" i="9"/>
  <c r="N59" i="9" s="1"/>
  <c r="N39" i="9"/>
  <c r="N38" i="9"/>
  <c r="N37" i="9"/>
  <c r="N36" i="9"/>
  <c r="N35" i="9"/>
  <c r="N34" i="9"/>
  <c r="N33" i="9"/>
  <c r="N32" i="9"/>
  <c r="N31" i="9"/>
  <c r="I32" i="17"/>
  <c r="I31" i="17"/>
  <c r="I30" i="17"/>
  <c r="I29" i="17"/>
  <c r="F45" i="18" l="1"/>
  <c r="E95" i="19"/>
  <c r="E94" i="39"/>
  <c r="E94" i="27"/>
  <c r="E94" i="28"/>
  <c r="E94" i="23"/>
  <c r="E94" i="22"/>
  <c r="E94" i="26"/>
  <c r="E94" i="32"/>
  <c r="N94" i="39" s="1"/>
  <c r="E44" i="39"/>
  <c r="E44" i="28"/>
  <c r="E44" i="23"/>
  <c r="E44" i="27"/>
  <c r="E44" i="22"/>
  <c r="E44" i="26"/>
  <c r="E44" i="32"/>
  <c r="N44" i="39" s="1"/>
  <c r="E86" i="19"/>
  <c r="E85" i="39"/>
  <c r="E85" i="27"/>
  <c r="E85" i="22"/>
  <c r="E85" i="23"/>
  <c r="E85" i="26"/>
  <c r="E85" i="28"/>
  <c r="E85" i="32"/>
  <c r="N85" i="39" s="1"/>
  <c r="E110" i="39"/>
  <c r="E110" i="27"/>
  <c r="E110" i="28"/>
  <c r="E110" i="23"/>
  <c r="E110" i="22"/>
  <c r="E110" i="26"/>
  <c r="E110" i="32"/>
  <c r="N110" i="39" s="1"/>
  <c r="E53" i="19"/>
  <c r="E52" i="39"/>
  <c r="E52" i="28"/>
  <c r="E52" i="23"/>
  <c r="E52" i="27"/>
  <c r="E52" i="22"/>
  <c r="E52" i="26"/>
  <c r="E52" i="32"/>
  <c r="N52" i="39" s="1"/>
  <c r="E107" i="19"/>
  <c r="E106" i="39"/>
  <c r="E106" i="27"/>
  <c r="E106" i="28"/>
  <c r="E106" i="23"/>
  <c r="E106" i="26"/>
  <c r="E106" i="22"/>
  <c r="E106" i="32"/>
  <c r="N106" i="39" s="1"/>
  <c r="E113" i="19"/>
  <c r="E112" i="39"/>
  <c r="E112" i="28"/>
  <c r="E112" i="23"/>
  <c r="E112" i="27"/>
  <c r="E112" i="26"/>
  <c r="E112" i="22"/>
  <c r="E112" i="32"/>
  <c r="N112" i="39" s="1"/>
  <c r="E98" i="39"/>
  <c r="E98" i="27"/>
  <c r="E98" i="28"/>
  <c r="E98" i="23"/>
  <c r="E98" i="26"/>
  <c r="E98" i="22"/>
  <c r="E98" i="32"/>
  <c r="N98" i="39" s="1"/>
  <c r="E38" i="19"/>
  <c r="E37" i="39"/>
  <c r="E37" i="27"/>
  <c r="E37" i="22"/>
  <c r="E37" i="23"/>
  <c r="E37" i="26"/>
  <c r="E37" i="28"/>
  <c r="E37" i="32"/>
  <c r="N37" i="39" s="1"/>
  <c r="E26" i="19"/>
  <c r="E25" i="39"/>
  <c r="E25" i="27"/>
  <c r="E25" i="23"/>
  <c r="E25" i="22"/>
  <c r="E25" i="28"/>
  <c r="E25" i="26"/>
  <c r="E25" i="32"/>
  <c r="N25" i="39" s="1"/>
  <c r="E89" i="19"/>
  <c r="E88" i="39"/>
  <c r="E88" i="28"/>
  <c r="E88" i="23"/>
  <c r="E88" i="27"/>
  <c r="E88" i="26"/>
  <c r="E88" i="22"/>
  <c r="E88" i="32"/>
  <c r="N88" i="39" s="1"/>
  <c r="E50" i="39"/>
  <c r="E50" i="27"/>
  <c r="E50" i="28"/>
  <c r="E50" i="23"/>
  <c r="E50" i="26"/>
  <c r="E50" i="22"/>
  <c r="E50" i="32"/>
  <c r="N50" i="39" s="1"/>
  <c r="E14" i="39"/>
  <c r="E14" i="27"/>
  <c r="E14" i="28"/>
  <c r="E14" i="23"/>
  <c r="E14" i="26"/>
  <c r="E14" i="22"/>
  <c r="E14" i="32"/>
  <c r="N14" i="39" s="1"/>
  <c r="E47" i="39"/>
  <c r="E47" i="28"/>
  <c r="E47" i="27"/>
  <c r="E47" i="26"/>
  <c r="E47" i="23"/>
  <c r="E47" i="22"/>
  <c r="E47" i="32"/>
  <c r="N47" i="39" s="1"/>
  <c r="E35" i="19"/>
  <c r="E34" i="39"/>
  <c r="E34" i="27"/>
  <c r="E34" i="28"/>
  <c r="E34" i="23"/>
  <c r="E34" i="26"/>
  <c r="E34" i="22"/>
  <c r="E34" i="32"/>
  <c r="N34" i="39" s="1"/>
  <c r="E23" i="19"/>
  <c r="E22" i="39"/>
  <c r="E22" i="27"/>
  <c r="E22" i="28"/>
  <c r="E22" i="23"/>
  <c r="E22" i="26"/>
  <c r="E22" i="22"/>
  <c r="E22" i="32"/>
  <c r="N22" i="39" s="1"/>
  <c r="E11" i="19"/>
  <c r="E10" i="39"/>
  <c r="E10" i="27"/>
  <c r="E10" i="28"/>
  <c r="E10" i="23"/>
  <c r="E10" i="22"/>
  <c r="E10" i="26"/>
  <c r="E10" i="32"/>
  <c r="N10" i="39" s="1"/>
  <c r="E77" i="19"/>
  <c r="E76" i="39"/>
  <c r="E76" i="28"/>
  <c r="E76" i="23"/>
  <c r="E76" i="27"/>
  <c r="E76" i="22"/>
  <c r="E76" i="26"/>
  <c r="E76" i="32"/>
  <c r="N76" i="39" s="1"/>
  <c r="E41" i="19"/>
  <c r="E40" i="39"/>
  <c r="E40" i="28"/>
  <c r="E40" i="23"/>
  <c r="E40" i="27"/>
  <c r="E40" i="22"/>
  <c r="E40" i="26"/>
  <c r="E40" i="32"/>
  <c r="N40" i="39" s="1"/>
  <c r="E134" i="39"/>
  <c r="E134" i="27"/>
  <c r="E134" i="28"/>
  <c r="E134" i="23"/>
  <c r="E134" i="26"/>
  <c r="E134" i="22"/>
  <c r="E134" i="21"/>
  <c r="E134" i="32"/>
  <c r="N134" i="39" s="1"/>
  <c r="E122" i="39"/>
  <c r="E122" i="27"/>
  <c r="E122" i="26"/>
  <c r="E122" i="28"/>
  <c r="E122" i="23"/>
  <c r="E122" i="22"/>
  <c r="E122" i="32"/>
  <c r="N122" i="39" s="1"/>
  <c r="E71" i="39"/>
  <c r="E71" i="28"/>
  <c r="E71" i="23"/>
  <c r="E71" i="26"/>
  <c r="E71" i="27"/>
  <c r="E71" i="22"/>
  <c r="E71" i="32"/>
  <c r="N71" i="39" s="1"/>
  <c r="E17" i="39"/>
  <c r="E17" i="27"/>
  <c r="E17" i="28"/>
  <c r="E17" i="23"/>
  <c r="E17" i="22"/>
  <c r="E17" i="26"/>
  <c r="E17" i="32"/>
  <c r="N17" i="39" s="1"/>
  <c r="E80" i="19"/>
  <c r="E79" i="39"/>
  <c r="E79" i="28"/>
  <c r="E79" i="23"/>
  <c r="E79" i="27"/>
  <c r="E79" i="26"/>
  <c r="E79" i="22"/>
  <c r="E79" i="32"/>
  <c r="N79" i="39" s="1"/>
  <c r="E68" i="19"/>
  <c r="E67" i="39"/>
  <c r="E67" i="28"/>
  <c r="E67" i="23"/>
  <c r="E67" i="26"/>
  <c r="E67" i="27"/>
  <c r="E67" i="22"/>
  <c r="E67" i="32"/>
  <c r="N67" i="39" s="1"/>
  <c r="E56" i="19"/>
  <c r="E55" i="39"/>
  <c r="E55" i="28"/>
  <c r="E55" i="23"/>
  <c r="E55" i="26"/>
  <c r="E55" i="27"/>
  <c r="E55" i="22"/>
  <c r="E55" i="32"/>
  <c r="N55" i="39" s="1"/>
  <c r="E131" i="39"/>
  <c r="E131" i="27"/>
  <c r="E131" i="22"/>
  <c r="E131" i="23"/>
  <c r="E131" i="26"/>
  <c r="E131" i="28"/>
  <c r="E131" i="32"/>
  <c r="N131" i="39" s="1"/>
  <c r="E119" i="39"/>
  <c r="E119" i="28"/>
  <c r="E119" i="23"/>
  <c r="E119" i="26"/>
  <c r="E119" i="27"/>
  <c r="E119" i="22"/>
  <c r="E119" i="32"/>
  <c r="N119" i="39" s="1"/>
  <c r="E104" i="39"/>
  <c r="E104" i="28"/>
  <c r="E104" i="23"/>
  <c r="E104" i="27"/>
  <c r="E104" i="22"/>
  <c r="E104" i="26"/>
  <c r="E104" i="32"/>
  <c r="N104" i="39" s="1"/>
  <c r="E32" i="19"/>
  <c r="E31" i="39"/>
  <c r="E31" i="28"/>
  <c r="E31" i="27"/>
  <c r="E31" i="26"/>
  <c r="E31" i="23"/>
  <c r="E31" i="22"/>
  <c r="E31" i="32"/>
  <c r="N31" i="39" s="1"/>
  <c r="E20" i="19"/>
  <c r="E19" i="39"/>
  <c r="E19" i="28"/>
  <c r="E19" i="26"/>
  <c r="E19" i="27"/>
  <c r="E19" i="23"/>
  <c r="E19" i="22"/>
  <c r="E19" i="32"/>
  <c r="N19" i="39" s="1"/>
  <c r="E74" i="39"/>
  <c r="E74" i="27"/>
  <c r="E74" i="28"/>
  <c r="E74" i="23"/>
  <c r="E74" i="26"/>
  <c r="E74" i="22"/>
  <c r="E74" i="32"/>
  <c r="N74" i="39" s="1"/>
  <c r="E62" i="19"/>
  <c r="E61" i="39"/>
  <c r="E61" i="27"/>
  <c r="E61" i="22"/>
  <c r="E61" i="28"/>
  <c r="E61" i="23"/>
  <c r="E61" i="26"/>
  <c r="E61" i="32"/>
  <c r="N61" i="39" s="1"/>
  <c r="E59" i="19"/>
  <c r="E58" i="39"/>
  <c r="E58" i="27"/>
  <c r="E58" i="28"/>
  <c r="E58" i="23"/>
  <c r="E58" i="22"/>
  <c r="E58" i="26"/>
  <c r="E58" i="32"/>
  <c r="N58" i="39" s="1"/>
  <c r="E128" i="19"/>
  <c r="E127" i="39"/>
  <c r="E127" i="27"/>
  <c r="E127" i="28"/>
  <c r="E127" i="23"/>
  <c r="E127" i="26"/>
  <c r="E127" i="22"/>
  <c r="E127" i="32"/>
  <c r="N127" i="39" s="1"/>
  <c r="E116" i="39"/>
  <c r="E116" i="28"/>
  <c r="E116" i="23"/>
  <c r="E116" i="27"/>
  <c r="E116" i="22"/>
  <c r="E116" i="26"/>
  <c r="E116" i="32"/>
  <c r="N116" i="39" s="1"/>
  <c r="E83" i="39"/>
  <c r="E83" i="28"/>
  <c r="E83" i="23"/>
  <c r="E83" i="26"/>
  <c r="E83" i="22"/>
  <c r="E83" i="27"/>
  <c r="E83" i="32"/>
  <c r="N83" i="39" s="1"/>
  <c r="E8" i="39"/>
  <c r="E8" i="28"/>
  <c r="E8" i="23"/>
  <c r="E8" i="27"/>
  <c r="E8" i="22"/>
  <c r="E8" i="26"/>
  <c r="E8" i="32"/>
  <c r="N8" i="39" s="1"/>
  <c r="E65" i="19"/>
  <c r="E64" i="39"/>
  <c r="E64" i="28"/>
  <c r="E64" i="23"/>
  <c r="E64" i="27"/>
  <c r="E64" i="22"/>
  <c r="E64" i="26"/>
  <c r="E64" i="32"/>
  <c r="N64" i="39" s="1"/>
  <c r="E29" i="19"/>
  <c r="E28" i="39"/>
  <c r="E28" i="28"/>
  <c r="E28" i="23"/>
  <c r="E28" i="27"/>
  <c r="E28" i="22"/>
  <c r="E28" i="26"/>
  <c r="E28" i="32"/>
  <c r="N28" i="39" s="1"/>
  <c r="E92" i="39"/>
  <c r="E92" i="28"/>
  <c r="E92" i="23"/>
  <c r="E92" i="27"/>
  <c r="E92" i="22"/>
  <c r="E92" i="26"/>
  <c r="E92" i="32"/>
  <c r="N92" i="39" s="1"/>
  <c r="E5" i="39"/>
  <c r="E5" i="27"/>
  <c r="E5" i="22"/>
  <c r="E5" i="23"/>
  <c r="E5" i="26"/>
  <c r="E5" i="28"/>
  <c r="E5" i="32"/>
  <c r="N5" i="39" s="1"/>
  <c r="E101" i="39"/>
  <c r="E101" i="27"/>
  <c r="E101" i="22"/>
  <c r="E101" i="26"/>
  <c r="E101" i="28"/>
  <c r="E101" i="23"/>
  <c r="E101" i="32"/>
  <c r="N101" i="39" s="1"/>
  <c r="N56" i="9"/>
  <c r="E125" i="39"/>
  <c r="E125" i="23"/>
  <c r="E125" i="27"/>
  <c r="E125" i="26"/>
  <c r="E125" i="28"/>
  <c r="E125" i="22"/>
  <c r="E125" i="32"/>
  <c r="N125" i="39" s="1"/>
  <c r="N57" i="9"/>
  <c r="N58" i="9"/>
  <c r="J53" i="11"/>
  <c r="J63" i="11" s="1"/>
  <c r="L53" i="11"/>
  <c r="K53" i="11"/>
  <c r="K63" i="11" s="1"/>
  <c r="E135" i="33" l="1"/>
  <c r="E135" i="32"/>
  <c r="N135" i="39" s="1"/>
  <c r="E135" i="27"/>
  <c r="E135" i="39"/>
  <c r="E135" i="28"/>
  <c r="E135" i="23"/>
  <c r="E135" i="26"/>
  <c r="E135" i="22"/>
  <c r="E136" i="19"/>
  <c r="E77" i="39"/>
  <c r="E77" i="27"/>
  <c r="E77" i="22"/>
  <c r="E77" i="28"/>
  <c r="E77" i="23"/>
  <c r="E77" i="26"/>
  <c r="E77" i="32"/>
  <c r="N77" i="39" s="1"/>
  <c r="E11" i="39"/>
  <c r="E11" i="28"/>
  <c r="E11" i="26"/>
  <c r="E11" i="27"/>
  <c r="E11" i="22"/>
  <c r="E11" i="23"/>
  <c r="E11" i="32"/>
  <c r="N11" i="39" s="1"/>
  <c r="E53" i="39"/>
  <c r="E53" i="27"/>
  <c r="E53" i="22"/>
  <c r="E53" i="26"/>
  <c r="E53" i="28"/>
  <c r="E53" i="23"/>
  <c r="E53" i="32"/>
  <c r="N53" i="39" s="1"/>
  <c r="E59" i="39"/>
  <c r="E59" i="28"/>
  <c r="E59" i="23"/>
  <c r="E59" i="26"/>
  <c r="E59" i="27"/>
  <c r="E59" i="22"/>
  <c r="E59" i="32"/>
  <c r="N59" i="39" s="1"/>
  <c r="E80" i="39"/>
  <c r="E80" i="28"/>
  <c r="E80" i="23"/>
  <c r="E80" i="27"/>
  <c r="E80" i="22"/>
  <c r="E80" i="26"/>
  <c r="E80" i="32"/>
  <c r="N80" i="39" s="1"/>
  <c r="E86" i="39"/>
  <c r="E86" i="27"/>
  <c r="E86" i="28"/>
  <c r="E86" i="23"/>
  <c r="E86" i="26"/>
  <c r="E86" i="22"/>
  <c r="E86" i="32"/>
  <c r="N86" i="39" s="1"/>
  <c r="E113" i="39"/>
  <c r="E113" i="27"/>
  <c r="E113" i="28"/>
  <c r="E113" i="23"/>
  <c r="E113" i="22"/>
  <c r="E113" i="26"/>
  <c r="E113" i="32"/>
  <c r="N113" i="39" s="1"/>
  <c r="E29" i="39"/>
  <c r="E29" i="27"/>
  <c r="E29" i="22"/>
  <c r="E29" i="28"/>
  <c r="E29" i="23"/>
  <c r="E29" i="26"/>
  <c r="E29" i="32"/>
  <c r="N29" i="39" s="1"/>
  <c r="E20" i="39"/>
  <c r="E20" i="28"/>
  <c r="E20" i="23"/>
  <c r="E20" i="27"/>
  <c r="E20" i="22"/>
  <c r="E20" i="26"/>
  <c r="E20" i="32"/>
  <c r="N20" i="39" s="1"/>
  <c r="E32" i="39"/>
  <c r="E32" i="28"/>
  <c r="E32" i="23"/>
  <c r="E32" i="27"/>
  <c r="E32" i="22"/>
  <c r="E32" i="26"/>
  <c r="E32" i="32"/>
  <c r="N32" i="39" s="1"/>
  <c r="E89" i="39"/>
  <c r="E89" i="27"/>
  <c r="E89" i="22"/>
  <c r="E89" i="28"/>
  <c r="E89" i="23"/>
  <c r="E89" i="26"/>
  <c r="E89" i="32"/>
  <c r="N89" i="39" s="1"/>
  <c r="E26" i="39"/>
  <c r="E26" i="27"/>
  <c r="E26" i="28"/>
  <c r="E26" i="23"/>
  <c r="E26" i="26"/>
  <c r="E26" i="22"/>
  <c r="E26" i="32"/>
  <c r="N26" i="39" s="1"/>
  <c r="E38" i="39"/>
  <c r="E38" i="27"/>
  <c r="E38" i="28"/>
  <c r="E38" i="23"/>
  <c r="E38" i="26"/>
  <c r="E38" i="22"/>
  <c r="E38" i="32"/>
  <c r="N38" i="39" s="1"/>
  <c r="E41" i="39"/>
  <c r="E41" i="27"/>
  <c r="E41" i="23"/>
  <c r="E41" i="22"/>
  <c r="E41" i="28"/>
  <c r="E41" i="26"/>
  <c r="E41" i="32"/>
  <c r="N41" i="39" s="1"/>
  <c r="E23" i="39"/>
  <c r="E23" i="28"/>
  <c r="E23" i="26"/>
  <c r="E23" i="23"/>
  <c r="E23" i="27"/>
  <c r="E23" i="22"/>
  <c r="E23" i="32"/>
  <c r="N23" i="39" s="1"/>
  <c r="E35" i="39"/>
  <c r="E35" i="28"/>
  <c r="E35" i="26"/>
  <c r="E35" i="27"/>
  <c r="E35" i="22"/>
  <c r="E35" i="23"/>
  <c r="E35" i="32"/>
  <c r="N35" i="39" s="1"/>
  <c r="E107" i="39"/>
  <c r="E107" i="28"/>
  <c r="E107" i="23"/>
  <c r="E107" i="26"/>
  <c r="E107" i="27"/>
  <c r="E107" i="22"/>
  <c r="E107" i="32"/>
  <c r="N107" i="39" s="1"/>
  <c r="E65" i="39"/>
  <c r="E65" i="27"/>
  <c r="E65" i="28"/>
  <c r="E65" i="23"/>
  <c r="E65" i="22"/>
  <c r="E65" i="26"/>
  <c r="E65" i="32"/>
  <c r="N65" i="39" s="1"/>
  <c r="E128" i="39"/>
  <c r="E128" i="27"/>
  <c r="E128" i="26"/>
  <c r="E128" i="28"/>
  <c r="E128" i="23"/>
  <c r="E128" i="22"/>
  <c r="E128" i="32"/>
  <c r="N128" i="39" s="1"/>
  <c r="E62" i="39"/>
  <c r="E62" i="27"/>
  <c r="E62" i="28"/>
  <c r="E62" i="23"/>
  <c r="E62" i="26"/>
  <c r="E62" i="22"/>
  <c r="E62" i="32"/>
  <c r="N62" i="39" s="1"/>
  <c r="E56" i="39"/>
  <c r="E56" i="28"/>
  <c r="E56" i="23"/>
  <c r="E56" i="27"/>
  <c r="E56" i="22"/>
  <c r="E56" i="26"/>
  <c r="E56" i="32"/>
  <c r="N56" i="39" s="1"/>
  <c r="E68" i="39"/>
  <c r="E68" i="28"/>
  <c r="E68" i="23"/>
  <c r="E68" i="27"/>
  <c r="E68" i="22"/>
  <c r="E68" i="26"/>
  <c r="E68" i="32"/>
  <c r="N68" i="39" s="1"/>
  <c r="E95" i="39"/>
  <c r="E95" i="28"/>
  <c r="E95" i="23"/>
  <c r="E95" i="27"/>
  <c r="E95" i="26"/>
  <c r="E95" i="22"/>
  <c r="E95" i="32"/>
  <c r="N95" i="39" s="1"/>
  <c r="L63" i="11"/>
  <c r="H32" i="17"/>
  <c r="G32" i="17"/>
  <c r="D32" i="17"/>
  <c r="H31" i="17"/>
  <c r="G31" i="17"/>
  <c r="H30" i="17"/>
  <c r="G30" i="17"/>
  <c r="F31" i="17"/>
  <c r="E31" i="17"/>
  <c r="D31" i="17"/>
  <c r="B31" i="17"/>
  <c r="N30" i="9"/>
  <c r="E136" i="33" l="1"/>
  <c r="E136" i="32"/>
  <c r="N136" i="39" s="1"/>
  <c r="E137" i="19"/>
  <c r="E136" i="39"/>
  <c r="E136" i="27"/>
  <c r="E136" i="26"/>
  <c r="E136" i="22"/>
  <c r="E136" i="28"/>
  <c r="E136" i="23"/>
  <c r="E33" i="17"/>
  <c r="F34" i="17"/>
  <c r="D34" i="17"/>
  <c r="C34" i="17"/>
  <c r="J13" i="17"/>
  <c r="D13" i="30" s="1"/>
  <c r="F32" i="17"/>
  <c r="E32" i="17"/>
  <c r="E137" i="33" l="1"/>
  <c r="E137" i="32"/>
  <c r="N137" i="39" s="1"/>
  <c r="I65" i="44"/>
  <c r="I44" i="37" s="1"/>
  <c r="E137" i="39"/>
  <c r="E137" i="27"/>
  <c r="E137" i="26"/>
  <c r="E137" i="28"/>
  <c r="E137" i="23"/>
  <c r="E137" i="22"/>
  <c r="K80" i="38"/>
  <c r="N18" i="11"/>
  <c r="J89" i="38"/>
  <c r="M27" i="11"/>
  <c r="K94" i="38"/>
  <c r="N32" i="11"/>
  <c r="K84" i="38"/>
  <c r="N22" i="11"/>
  <c r="E34" i="17"/>
  <c r="F35" i="17"/>
  <c r="D35" i="17"/>
  <c r="C35" i="17"/>
  <c r="E138" i="33" l="1"/>
  <c r="E138" i="32"/>
  <c r="N138" i="39" s="1"/>
  <c r="M47" i="38"/>
  <c r="E139" i="19"/>
  <c r="E138" i="39"/>
  <c r="E138" i="28"/>
  <c r="E138" i="23"/>
  <c r="E138" i="27"/>
  <c r="E138" i="22"/>
  <c r="E138" i="26"/>
  <c r="K89" i="38"/>
  <c r="N27" i="11"/>
  <c r="L94" i="38"/>
  <c r="O32" i="11"/>
  <c r="L56" i="11"/>
  <c r="L80" i="38"/>
  <c r="O18" i="11"/>
  <c r="L84" i="38"/>
  <c r="O22" i="11"/>
  <c r="E35" i="17"/>
  <c r="F36" i="17"/>
  <c r="D36" i="17"/>
  <c r="C36" i="17"/>
  <c r="E139" i="33" l="1"/>
  <c r="E139" i="32"/>
  <c r="E140" i="19"/>
  <c r="E139" i="39"/>
  <c r="E139" i="28"/>
  <c r="E139" i="23"/>
  <c r="E139" i="27"/>
  <c r="E139" i="26"/>
  <c r="E139" i="22"/>
  <c r="N139" i="39"/>
  <c r="L89" i="38"/>
  <c r="O27" i="11"/>
  <c r="M84" i="38"/>
  <c r="P22" i="11"/>
  <c r="M80" i="38"/>
  <c r="P18" i="11"/>
  <c r="M94" i="38"/>
  <c r="P32" i="11"/>
  <c r="E36" i="17"/>
  <c r="F37" i="17"/>
  <c r="D37" i="17"/>
  <c r="C37" i="17"/>
  <c r="A22" i="9"/>
  <c r="A45" i="9" s="1"/>
  <c r="A23" i="9"/>
  <c r="A46" i="9" s="1"/>
  <c r="A17" i="9"/>
  <c r="A40" i="9" s="1"/>
  <c r="A18" i="9"/>
  <c r="A41" i="9" s="1"/>
  <c r="A19" i="9"/>
  <c r="A42" i="9" s="1"/>
  <c r="A20" i="9"/>
  <c r="A43" i="9" s="1"/>
  <c r="A21" i="9"/>
  <c r="A44" i="9" s="1"/>
  <c r="E140" i="33" l="1"/>
  <c r="E140" i="32"/>
  <c r="N140" i="39" s="1"/>
  <c r="E140" i="39"/>
  <c r="E140" i="27"/>
  <c r="E140" i="22"/>
  <c r="E140" i="28"/>
  <c r="E140" i="23"/>
  <c r="E140" i="26"/>
  <c r="N84" i="38"/>
  <c r="Q22" i="11"/>
  <c r="M89" i="38"/>
  <c r="P27" i="11"/>
  <c r="N94" i="38"/>
  <c r="Q32" i="11"/>
  <c r="N80" i="38"/>
  <c r="Q18" i="11"/>
  <c r="E37" i="17"/>
  <c r="E141" i="33" l="1"/>
  <c r="E141" i="32"/>
  <c r="N141" i="39" s="1"/>
  <c r="E142" i="19"/>
  <c r="E141" i="39"/>
  <c r="E141" i="27"/>
  <c r="E141" i="26"/>
  <c r="E141" i="28"/>
  <c r="E141" i="23"/>
  <c r="E141" i="22"/>
  <c r="O84" i="38"/>
  <c r="R22" i="11"/>
  <c r="O80" i="38"/>
  <c r="R18" i="11"/>
  <c r="O94" i="38"/>
  <c r="R32" i="11"/>
  <c r="N89" i="38"/>
  <c r="Q27" i="11"/>
  <c r="G206" i="33"/>
  <c r="Y206" i="39" s="1"/>
  <c r="F206" i="33"/>
  <c r="X206" i="39" s="1"/>
  <c r="G205" i="33"/>
  <c r="Y205" i="39" s="1"/>
  <c r="F205" i="33"/>
  <c r="X205" i="39" s="1"/>
  <c r="G204" i="33"/>
  <c r="Y204" i="39" s="1"/>
  <c r="F204" i="33"/>
  <c r="X204" i="39" s="1"/>
  <c r="G203" i="33"/>
  <c r="Y203" i="39" s="1"/>
  <c r="F203" i="33"/>
  <c r="X203" i="39" s="1"/>
  <c r="G202" i="33"/>
  <c r="Y202" i="39" s="1"/>
  <c r="F202" i="33"/>
  <c r="X202" i="39" s="1"/>
  <c r="G201" i="33"/>
  <c r="Y201" i="39" s="1"/>
  <c r="F201" i="33"/>
  <c r="X201" i="39" s="1"/>
  <c r="G200" i="33"/>
  <c r="Y200" i="39" s="1"/>
  <c r="F200" i="33"/>
  <c r="X200" i="39" s="1"/>
  <c r="G199" i="33"/>
  <c r="Y199" i="39" s="1"/>
  <c r="F199" i="33"/>
  <c r="X199" i="39" s="1"/>
  <c r="G198" i="33"/>
  <c r="Y198" i="39" s="1"/>
  <c r="F198" i="33"/>
  <c r="X198" i="39" s="1"/>
  <c r="G197" i="33"/>
  <c r="Y197" i="39" s="1"/>
  <c r="F197" i="33"/>
  <c r="X197" i="39" s="1"/>
  <c r="G196" i="33"/>
  <c r="Y196" i="39" s="1"/>
  <c r="F196" i="33"/>
  <c r="X196" i="39" s="1"/>
  <c r="G195" i="33"/>
  <c r="Y195" i="39" s="1"/>
  <c r="F195" i="33"/>
  <c r="X195" i="39" s="1"/>
  <c r="G194" i="33"/>
  <c r="Y194" i="39" s="1"/>
  <c r="F194" i="33"/>
  <c r="X194" i="39" s="1"/>
  <c r="G193" i="33"/>
  <c r="Y193" i="39" s="1"/>
  <c r="F193" i="33"/>
  <c r="X193" i="39" s="1"/>
  <c r="G192" i="33"/>
  <c r="Y192" i="39" s="1"/>
  <c r="F192" i="33"/>
  <c r="X192" i="39" s="1"/>
  <c r="G191" i="33"/>
  <c r="Y191" i="39" s="1"/>
  <c r="F191" i="33"/>
  <c r="X191" i="39" s="1"/>
  <c r="G190" i="33"/>
  <c r="Y190" i="39" s="1"/>
  <c r="F190" i="33"/>
  <c r="X190" i="39" s="1"/>
  <c r="G189" i="33"/>
  <c r="Y189" i="39" s="1"/>
  <c r="F189" i="33"/>
  <c r="X189" i="39" s="1"/>
  <c r="G188" i="33"/>
  <c r="Y188" i="39" s="1"/>
  <c r="F188" i="33"/>
  <c r="X188" i="39" s="1"/>
  <c r="G187" i="33"/>
  <c r="Y187" i="39" s="1"/>
  <c r="F187" i="33"/>
  <c r="X187" i="39" s="1"/>
  <c r="G186" i="33"/>
  <c r="Y186" i="39" s="1"/>
  <c r="F186" i="33"/>
  <c r="X186" i="39" s="1"/>
  <c r="G185" i="33"/>
  <c r="Y185" i="39" s="1"/>
  <c r="F185" i="33"/>
  <c r="X185" i="39" s="1"/>
  <c r="G184" i="33"/>
  <c r="Y184" i="39" s="1"/>
  <c r="F184" i="33"/>
  <c r="X184" i="39" s="1"/>
  <c r="G183" i="33"/>
  <c r="Y183" i="39" s="1"/>
  <c r="F183" i="33"/>
  <c r="X183" i="39" s="1"/>
  <c r="G182" i="33"/>
  <c r="Y182" i="39" s="1"/>
  <c r="F182" i="33"/>
  <c r="X182" i="39" s="1"/>
  <c r="G181" i="33"/>
  <c r="Y181" i="39" s="1"/>
  <c r="F181" i="33"/>
  <c r="X181" i="39" s="1"/>
  <c r="G180" i="33"/>
  <c r="Y180" i="39" s="1"/>
  <c r="F180" i="33"/>
  <c r="X180" i="39" s="1"/>
  <c r="G179" i="33"/>
  <c r="Y179" i="39" s="1"/>
  <c r="F179" i="33"/>
  <c r="X179" i="39" s="1"/>
  <c r="G178" i="33"/>
  <c r="Y178" i="39" s="1"/>
  <c r="F178" i="33"/>
  <c r="X178" i="39" s="1"/>
  <c r="G177" i="33"/>
  <c r="Y177" i="39" s="1"/>
  <c r="F177" i="33"/>
  <c r="X177" i="39" s="1"/>
  <c r="G176" i="33"/>
  <c r="Y176" i="39" s="1"/>
  <c r="F176" i="33"/>
  <c r="X176" i="39" s="1"/>
  <c r="G175" i="33"/>
  <c r="Y175" i="39" s="1"/>
  <c r="F175" i="33"/>
  <c r="X175" i="39" s="1"/>
  <c r="G174" i="33"/>
  <c r="Y174" i="39" s="1"/>
  <c r="F174" i="33"/>
  <c r="X174" i="39" s="1"/>
  <c r="G173" i="33"/>
  <c r="Y173" i="39" s="1"/>
  <c r="F173" i="33"/>
  <c r="X173" i="39" s="1"/>
  <c r="G172" i="33"/>
  <c r="Y172" i="39" s="1"/>
  <c r="F172" i="33"/>
  <c r="X172" i="39" s="1"/>
  <c r="G171" i="33"/>
  <c r="Y171" i="39" s="1"/>
  <c r="F171" i="33"/>
  <c r="X171" i="39" s="1"/>
  <c r="G170" i="33"/>
  <c r="Y170" i="39" s="1"/>
  <c r="F170" i="33"/>
  <c r="X170" i="39" s="1"/>
  <c r="G169" i="33"/>
  <c r="Y169" i="39" s="1"/>
  <c r="F169" i="33"/>
  <c r="X169" i="39" s="1"/>
  <c r="G168" i="33"/>
  <c r="Y168" i="39" s="1"/>
  <c r="F168" i="33"/>
  <c r="X168" i="39" s="1"/>
  <c r="G167" i="33"/>
  <c r="Y167" i="39" s="1"/>
  <c r="F167" i="33"/>
  <c r="X167" i="39" s="1"/>
  <c r="G166" i="33"/>
  <c r="Y166" i="39" s="1"/>
  <c r="F166" i="33"/>
  <c r="X166" i="39" s="1"/>
  <c r="G165" i="33"/>
  <c r="Y165" i="39" s="1"/>
  <c r="F165" i="33"/>
  <c r="X165" i="39" s="1"/>
  <c r="G164" i="33"/>
  <c r="Y164" i="39" s="1"/>
  <c r="F164" i="33"/>
  <c r="X164" i="39" s="1"/>
  <c r="G163" i="33"/>
  <c r="Y163" i="39" s="1"/>
  <c r="F163" i="33"/>
  <c r="X163" i="39" s="1"/>
  <c r="G162" i="33"/>
  <c r="Y162" i="39" s="1"/>
  <c r="F162" i="33"/>
  <c r="X162" i="39" s="1"/>
  <c r="G161" i="33"/>
  <c r="Y161" i="39" s="1"/>
  <c r="F161" i="33"/>
  <c r="X161" i="39" s="1"/>
  <c r="G160" i="33"/>
  <c r="Y160" i="39" s="1"/>
  <c r="F160" i="33"/>
  <c r="X160" i="39" s="1"/>
  <c r="G159" i="33"/>
  <c r="Y159" i="39" s="1"/>
  <c r="F159" i="33"/>
  <c r="X159" i="39" s="1"/>
  <c r="G158" i="33"/>
  <c r="Y158" i="39" s="1"/>
  <c r="F158" i="33"/>
  <c r="X158" i="39" s="1"/>
  <c r="G157" i="33"/>
  <c r="Y157" i="39" s="1"/>
  <c r="F157" i="33"/>
  <c r="X157" i="39" s="1"/>
  <c r="G156" i="33"/>
  <c r="Y156" i="39" s="1"/>
  <c r="F156" i="33"/>
  <c r="X156" i="39" s="1"/>
  <c r="G155" i="33"/>
  <c r="Y155" i="39" s="1"/>
  <c r="F155" i="33"/>
  <c r="X155" i="39" s="1"/>
  <c r="G154" i="33"/>
  <c r="Y154" i="39" s="1"/>
  <c r="F154" i="33"/>
  <c r="X154" i="39" s="1"/>
  <c r="G153" i="33"/>
  <c r="Y153" i="39" s="1"/>
  <c r="F153" i="33"/>
  <c r="X153" i="39" s="1"/>
  <c r="G152" i="33"/>
  <c r="Y152" i="39" s="1"/>
  <c r="F152" i="33"/>
  <c r="X152" i="39" s="1"/>
  <c r="G151" i="33"/>
  <c r="Y151" i="39" s="1"/>
  <c r="F151" i="33"/>
  <c r="X151" i="39" s="1"/>
  <c r="G150" i="33"/>
  <c r="Y150" i="39" s="1"/>
  <c r="F150" i="33"/>
  <c r="X150" i="39" s="1"/>
  <c r="G149" i="33"/>
  <c r="Y149" i="39" s="1"/>
  <c r="F149" i="33"/>
  <c r="X149" i="39" s="1"/>
  <c r="G148" i="33"/>
  <c r="Y148" i="39" s="1"/>
  <c r="F148" i="33"/>
  <c r="X148" i="39" s="1"/>
  <c r="G147" i="33"/>
  <c r="Y147" i="39" s="1"/>
  <c r="F147" i="33"/>
  <c r="X147" i="39" s="1"/>
  <c r="Y146" i="39"/>
  <c r="X146" i="39"/>
  <c r="Y145" i="39"/>
  <c r="X145" i="39"/>
  <c r="Y144" i="39"/>
  <c r="X144" i="39"/>
  <c r="Y143" i="39"/>
  <c r="X143" i="39"/>
  <c r="Y142" i="39"/>
  <c r="X142" i="39"/>
  <c r="Y141" i="39"/>
  <c r="X141" i="39"/>
  <c r="Y140" i="39"/>
  <c r="X140" i="39"/>
  <c r="Y139" i="39"/>
  <c r="X139" i="39"/>
  <c r="Y138" i="39"/>
  <c r="X138" i="39"/>
  <c r="Y137" i="39"/>
  <c r="X137" i="39"/>
  <c r="Y136" i="39"/>
  <c r="X136" i="39"/>
  <c r="Y135" i="39"/>
  <c r="X135" i="39"/>
  <c r="G134" i="33"/>
  <c r="Y134" i="39" s="1"/>
  <c r="F134" i="33"/>
  <c r="X134" i="39" s="1"/>
  <c r="G133" i="33"/>
  <c r="Y133" i="39" s="1"/>
  <c r="F133" i="33"/>
  <c r="X133" i="39" s="1"/>
  <c r="B133" i="33"/>
  <c r="T133" i="39" s="1"/>
  <c r="G132" i="33"/>
  <c r="Y132" i="39" s="1"/>
  <c r="F132" i="33"/>
  <c r="X132" i="39" s="1"/>
  <c r="B132" i="33"/>
  <c r="T132" i="39" s="1"/>
  <c r="G131" i="33"/>
  <c r="Y131" i="39" s="1"/>
  <c r="F131" i="33"/>
  <c r="X131" i="39" s="1"/>
  <c r="B131" i="33"/>
  <c r="T131" i="39" s="1"/>
  <c r="G130" i="33"/>
  <c r="Y130" i="39" s="1"/>
  <c r="F130" i="33"/>
  <c r="X130" i="39" s="1"/>
  <c r="B130" i="33"/>
  <c r="T130" i="39" s="1"/>
  <c r="G129" i="33"/>
  <c r="Y129" i="39" s="1"/>
  <c r="F129" i="33"/>
  <c r="X129" i="39" s="1"/>
  <c r="B129" i="33"/>
  <c r="T129" i="39" s="1"/>
  <c r="G128" i="33"/>
  <c r="Y128" i="39" s="1"/>
  <c r="F128" i="33"/>
  <c r="X128" i="39" s="1"/>
  <c r="B128" i="33"/>
  <c r="T128" i="39" s="1"/>
  <c r="G127" i="33"/>
  <c r="Y127" i="39" s="1"/>
  <c r="F127" i="33"/>
  <c r="X127" i="39" s="1"/>
  <c r="B127" i="33"/>
  <c r="T127" i="39" s="1"/>
  <c r="G126" i="33"/>
  <c r="Y126" i="39" s="1"/>
  <c r="F126" i="33"/>
  <c r="X126" i="39" s="1"/>
  <c r="B126" i="33"/>
  <c r="T126" i="39" s="1"/>
  <c r="G125" i="33"/>
  <c r="Y125" i="39" s="1"/>
  <c r="F125" i="33"/>
  <c r="X125" i="39" s="1"/>
  <c r="B125" i="33"/>
  <c r="T125" i="39" s="1"/>
  <c r="G124" i="33"/>
  <c r="Y124" i="39" s="1"/>
  <c r="F124" i="33"/>
  <c r="X124" i="39" s="1"/>
  <c r="B124" i="33"/>
  <c r="T124" i="39" s="1"/>
  <c r="G123" i="33"/>
  <c r="Y123" i="39" s="1"/>
  <c r="F123" i="33"/>
  <c r="X123" i="39" s="1"/>
  <c r="B123" i="33"/>
  <c r="G122" i="33"/>
  <c r="Y122" i="39" s="1"/>
  <c r="F122" i="33"/>
  <c r="X122" i="39" s="1"/>
  <c r="B122" i="33"/>
  <c r="T122" i="39" s="1"/>
  <c r="G121" i="33"/>
  <c r="Y121" i="39" s="1"/>
  <c r="F121" i="33"/>
  <c r="X121" i="39" s="1"/>
  <c r="B121" i="33"/>
  <c r="T121" i="39" s="1"/>
  <c r="G120" i="33"/>
  <c r="Y120" i="39" s="1"/>
  <c r="F120" i="33"/>
  <c r="X120" i="39" s="1"/>
  <c r="B120" i="33"/>
  <c r="T120" i="39" s="1"/>
  <c r="G119" i="33"/>
  <c r="Y119" i="39" s="1"/>
  <c r="F119" i="33"/>
  <c r="X119" i="39" s="1"/>
  <c r="B119" i="33"/>
  <c r="T119" i="39" s="1"/>
  <c r="G118" i="33"/>
  <c r="Y118" i="39" s="1"/>
  <c r="F118" i="33"/>
  <c r="X118" i="39" s="1"/>
  <c r="B118" i="33"/>
  <c r="T118" i="39" s="1"/>
  <c r="G117" i="33"/>
  <c r="Y117" i="39" s="1"/>
  <c r="F117" i="33"/>
  <c r="X117" i="39" s="1"/>
  <c r="B117" i="33"/>
  <c r="T117" i="39" s="1"/>
  <c r="G116" i="33"/>
  <c r="Y116" i="39" s="1"/>
  <c r="F116" i="33"/>
  <c r="X116" i="39" s="1"/>
  <c r="B116" i="33"/>
  <c r="T116" i="39" s="1"/>
  <c r="G115" i="33"/>
  <c r="Y115" i="39" s="1"/>
  <c r="F115" i="33"/>
  <c r="X115" i="39" s="1"/>
  <c r="B115" i="33"/>
  <c r="T115" i="39" s="1"/>
  <c r="G114" i="33"/>
  <c r="Y114" i="39" s="1"/>
  <c r="F114" i="33"/>
  <c r="X114" i="39" s="1"/>
  <c r="B114" i="33"/>
  <c r="T114" i="39" s="1"/>
  <c r="G113" i="33"/>
  <c r="Y113" i="39" s="1"/>
  <c r="F113" i="33"/>
  <c r="X113" i="39" s="1"/>
  <c r="B113" i="33"/>
  <c r="T113" i="39" s="1"/>
  <c r="G112" i="33"/>
  <c r="Y112" i="39" s="1"/>
  <c r="F112" i="33"/>
  <c r="X112" i="39" s="1"/>
  <c r="B112" i="33"/>
  <c r="T112" i="39" s="1"/>
  <c r="G111" i="33"/>
  <c r="Y111" i="39" s="1"/>
  <c r="F111" i="33"/>
  <c r="X111" i="39" s="1"/>
  <c r="B111" i="33"/>
  <c r="T111" i="39" s="1"/>
  <c r="G110" i="33"/>
  <c r="Y110" i="39" s="1"/>
  <c r="F110" i="33"/>
  <c r="X110" i="39" s="1"/>
  <c r="B110" i="33"/>
  <c r="T110" i="39" s="1"/>
  <c r="G109" i="33"/>
  <c r="Y109" i="39" s="1"/>
  <c r="F109" i="33"/>
  <c r="X109" i="39" s="1"/>
  <c r="B109" i="33"/>
  <c r="T109" i="39" s="1"/>
  <c r="G108" i="33"/>
  <c r="Y108" i="39" s="1"/>
  <c r="F108" i="33"/>
  <c r="X108" i="39" s="1"/>
  <c r="B108" i="33"/>
  <c r="T108" i="39" s="1"/>
  <c r="G107" i="33"/>
  <c r="Y107" i="39" s="1"/>
  <c r="F107" i="33"/>
  <c r="X107" i="39" s="1"/>
  <c r="B107" i="33"/>
  <c r="T107" i="39" s="1"/>
  <c r="G106" i="33"/>
  <c r="Y106" i="39" s="1"/>
  <c r="F106" i="33"/>
  <c r="X106" i="39" s="1"/>
  <c r="B106" i="33"/>
  <c r="T106" i="39" s="1"/>
  <c r="G105" i="33"/>
  <c r="Y105" i="39" s="1"/>
  <c r="F105" i="33"/>
  <c r="X105" i="39" s="1"/>
  <c r="B105" i="33"/>
  <c r="T105" i="39" s="1"/>
  <c r="G104" i="33"/>
  <c r="Y104" i="39" s="1"/>
  <c r="F104" i="33"/>
  <c r="X104" i="39" s="1"/>
  <c r="B104" i="33"/>
  <c r="T104" i="39" s="1"/>
  <c r="G103" i="33"/>
  <c r="Y103" i="39" s="1"/>
  <c r="F103" i="33"/>
  <c r="X103" i="39" s="1"/>
  <c r="B103" i="33"/>
  <c r="T103" i="39" s="1"/>
  <c r="G102" i="33"/>
  <c r="Y102" i="39" s="1"/>
  <c r="F102" i="33"/>
  <c r="X102" i="39" s="1"/>
  <c r="B102" i="33"/>
  <c r="T102" i="39" s="1"/>
  <c r="G101" i="33"/>
  <c r="Y101" i="39" s="1"/>
  <c r="F101" i="33"/>
  <c r="X101" i="39" s="1"/>
  <c r="B101" i="33"/>
  <c r="T101" i="39" s="1"/>
  <c r="G100" i="33"/>
  <c r="Y100" i="39" s="1"/>
  <c r="F100" i="33"/>
  <c r="X100" i="39" s="1"/>
  <c r="B100" i="33"/>
  <c r="T100" i="39" s="1"/>
  <c r="G99" i="33"/>
  <c r="Y99" i="39" s="1"/>
  <c r="F99" i="33"/>
  <c r="X99" i="39" s="1"/>
  <c r="B99" i="33"/>
  <c r="T99" i="39" s="1"/>
  <c r="G98" i="33"/>
  <c r="Y98" i="39" s="1"/>
  <c r="F98" i="33"/>
  <c r="X98" i="39" s="1"/>
  <c r="D98" i="33"/>
  <c r="V98" i="39" s="1"/>
  <c r="C98" i="33"/>
  <c r="U98" i="39" s="1"/>
  <c r="B98" i="33"/>
  <c r="T98" i="39" s="1"/>
  <c r="G97" i="33"/>
  <c r="Y97" i="39" s="1"/>
  <c r="F97" i="33"/>
  <c r="X97" i="39" s="1"/>
  <c r="D97" i="33"/>
  <c r="V97" i="39" s="1"/>
  <c r="C97" i="33"/>
  <c r="U97" i="39" s="1"/>
  <c r="B97" i="33"/>
  <c r="T97" i="39" s="1"/>
  <c r="G96" i="33"/>
  <c r="Y96" i="39" s="1"/>
  <c r="F96" i="33"/>
  <c r="X96" i="39" s="1"/>
  <c r="D96" i="33"/>
  <c r="V96" i="39" s="1"/>
  <c r="C96" i="33"/>
  <c r="U96" i="39" s="1"/>
  <c r="B96" i="33"/>
  <c r="T96" i="39" s="1"/>
  <c r="G95" i="33"/>
  <c r="Y95" i="39" s="1"/>
  <c r="F95" i="33"/>
  <c r="X95" i="39" s="1"/>
  <c r="D95" i="33"/>
  <c r="V95" i="39" s="1"/>
  <c r="C95" i="33"/>
  <c r="U95" i="39" s="1"/>
  <c r="B95" i="33"/>
  <c r="T95" i="39" s="1"/>
  <c r="G94" i="33"/>
  <c r="Y94" i="39" s="1"/>
  <c r="F94" i="33"/>
  <c r="X94" i="39" s="1"/>
  <c r="D94" i="33"/>
  <c r="V94" i="39" s="1"/>
  <c r="C94" i="33"/>
  <c r="U94" i="39" s="1"/>
  <c r="B94" i="33"/>
  <c r="T94" i="39" s="1"/>
  <c r="G93" i="33"/>
  <c r="Y93" i="39" s="1"/>
  <c r="F93" i="33"/>
  <c r="X93" i="39" s="1"/>
  <c r="D93" i="33"/>
  <c r="V93" i="39" s="1"/>
  <c r="C93" i="33"/>
  <c r="U93" i="39" s="1"/>
  <c r="B93" i="33"/>
  <c r="T93" i="39" s="1"/>
  <c r="G92" i="33"/>
  <c r="Y92" i="39" s="1"/>
  <c r="F92" i="33"/>
  <c r="X92" i="39" s="1"/>
  <c r="D92" i="33"/>
  <c r="V92" i="39" s="1"/>
  <c r="C92" i="33"/>
  <c r="U92" i="39" s="1"/>
  <c r="B92" i="33"/>
  <c r="T92" i="39" s="1"/>
  <c r="G91" i="33"/>
  <c r="Y91" i="39" s="1"/>
  <c r="F91" i="33"/>
  <c r="X91" i="39" s="1"/>
  <c r="D91" i="33"/>
  <c r="V91" i="39" s="1"/>
  <c r="C91" i="33"/>
  <c r="U91" i="39" s="1"/>
  <c r="B91" i="33"/>
  <c r="T91" i="39" s="1"/>
  <c r="G90" i="33"/>
  <c r="Y90" i="39" s="1"/>
  <c r="F90" i="33"/>
  <c r="X90" i="39" s="1"/>
  <c r="D90" i="33"/>
  <c r="V90" i="39" s="1"/>
  <c r="C90" i="33"/>
  <c r="U90" i="39" s="1"/>
  <c r="B90" i="33"/>
  <c r="T90" i="39" s="1"/>
  <c r="G89" i="33"/>
  <c r="Y89" i="39" s="1"/>
  <c r="F89" i="33"/>
  <c r="X89" i="39" s="1"/>
  <c r="D89" i="33"/>
  <c r="V89" i="39" s="1"/>
  <c r="C89" i="33"/>
  <c r="U89" i="39" s="1"/>
  <c r="B89" i="33"/>
  <c r="T89" i="39" s="1"/>
  <c r="G88" i="33"/>
  <c r="Y88" i="39" s="1"/>
  <c r="F88" i="33"/>
  <c r="X88" i="39" s="1"/>
  <c r="D88" i="33"/>
  <c r="V88" i="39" s="1"/>
  <c r="C88" i="33"/>
  <c r="U88" i="39" s="1"/>
  <c r="B88" i="33"/>
  <c r="T88" i="39" s="1"/>
  <c r="G87" i="33"/>
  <c r="Y87" i="39" s="1"/>
  <c r="F87" i="33"/>
  <c r="X87" i="39" s="1"/>
  <c r="D87" i="33"/>
  <c r="V87" i="39" s="1"/>
  <c r="C87" i="33"/>
  <c r="U87" i="39" s="1"/>
  <c r="B87" i="33"/>
  <c r="T87" i="39" s="1"/>
  <c r="G86" i="33"/>
  <c r="Y86" i="39" s="1"/>
  <c r="F86" i="33"/>
  <c r="X86" i="39" s="1"/>
  <c r="D86" i="33"/>
  <c r="V86" i="39" s="1"/>
  <c r="C86" i="33"/>
  <c r="U86" i="39" s="1"/>
  <c r="B86" i="33"/>
  <c r="T86" i="39" s="1"/>
  <c r="G85" i="33"/>
  <c r="Y85" i="39" s="1"/>
  <c r="F85" i="33"/>
  <c r="X85" i="39" s="1"/>
  <c r="D85" i="33"/>
  <c r="V85" i="39" s="1"/>
  <c r="C85" i="33"/>
  <c r="U85" i="39" s="1"/>
  <c r="B85" i="33"/>
  <c r="T85" i="39" s="1"/>
  <c r="G84" i="33"/>
  <c r="Y84" i="39" s="1"/>
  <c r="F84" i="33"/>
  <c r="X84" i="39" s="1"/>
  <c r="D84" i="33"/>
  <c r="V84" i="39" s="1"/>
  <c r="C84" i="33"/>
  <c r="U84" i="39" s="1"/>
  <c r="B84" i="33"/>
  <c r="T84" i="39" s="1"/>
  <c r="G83" i="33"/>
  <c r="Y83" i="39" s="1"/>
  <c r="F83" i="33"/>
  <c r="X83" i="39" s="1"/>
  <c r="D83" i="33"/>
  <c r="V83" i="39" s="1"/>
  <c r="C83" i="33"/>
  <c r="U83" i="39" s="1"/>
  <c r="B83" i="33"/>
  <c r="T83" i="39" s="1"/>
  <c r="G82" i="33"/>
  <c r="Y82" i="39" s="1"/>
  <c r="F82" i="33"/>
  <c r="X82" i="39" s="1"/>
  <c r="D82" i="33"/>
  <c r="V82" i="39" s="1"/>
  <c r="C82" i="33"/>
  <c r="U82" i="39" s="1"/>
  <c r="B82" i="33"/>
  <c r="T82" i="39" s="1"/>
  <c r="G81" i="33"/>
  <c r="Y81" i="39" s="1"/>
  <c r="F81" i="33"/>
  <c r="X81" i="39" s="1"/>
  <c r="D81" i="33"/>
  <c r="V81" i="39" s="1"/>
  <c r="C81" i="33"/>
  <c r="U81" i="39" s="1"/>
  <c r="B81" i="33"/>
  <c r="T81" i="39" s="1"/>
  <c r="G80" i="33"/>
  <c r="Y80" i="39" s="1"/>
  <c r="F80" i="33"/>
  <c r="X80" i="39" s="1"/>
  <c r="D80" i="33"/>
  <c r="V80" i="39" s="1"/>
  <c r="C80" i="33"/>
  <c r="U80" i="39" s="1"/>
  <c r="B80" i="33"/>
  <c r="T80" i="39" s="1"/>
  <c r="G79" i="33"/>
  <c r="Y79" i="39" s="1"/>
  <c r="F79" i="33"/>
  <c r="X79" i="39" s="1"/>
  <c r="D79" i="33"/>
  <c r="V79" i="39" s="1"/>
  <c r="C79" i="33"/>
  <c r="U79" i="39" s="1"/>
  <c r="B79" i="33"/>
  <c r="T79" i="39" s="1"/>
  <c r="G78" i="33"/>
  <c r="Y78" i="39" s="1"/>
  <c r="F78" i="33"/>
  <c r="X78" i="39" s="1"/>
  <c r="D78" i="33"/>
  <c r="V78" i="39" s="1"/>
  <c r="C78" i="33"/>
  <c r="U78" i="39" s="1"/>
  <c r="B78" i="33"/>
  <c r="T78" i="39" s="1"/>
  <c r="G77" i="33"/>
  <c r="Y77" i="39" s="1"/>
  <c r="F77" i="33"/>
  <c r="X77" i="39" s="1"/>
  <c r="D77" i="33"/>
  <c r="V77" i="39" s="1"/>
  <c r="C77" i="33"/>
  <c r="U77" i="39" s="1"/>
  <c r="B77" i="33"/>
  <c r="T77" i="39" s="1"/>
  <c r="G76" i="33"/>
  <c r="Y76" i="39" s="1"/>
  <c r="F76" i="33"/>
  <c r="X76" i="39" s="1"/>
  <c r="D76" i="33"/>
  <c r="V76" i="39" s="1"/>
  <c r="C76" i="33"/>
  <c r="U76" i="39" s="1"/>
  <c r="B76" i="33"/>
  <c r="T76" i="39" s="1"/>
  <c r="G75" i="33"/>
  <c r="Y75" i="39" s="1"/>
  <c r="F75" i="33"/>
  <c r="X75" i="39" s="1"/>
  <c r="D75" i="33"/>
  <c r="V75" i="39" s="1"/>
  <c r="C75" i="33"/>
  <c r="U75" i="39" s="1"/>
  <c r="B75" i="33"/>
  <c r="T75" i="39" s="1"/>
  <c r="G74" i="33"/>
  <c r="Y74" i="39" s="1"/>
  <c r="F74" i="33"/>
  <c r="X74" i="39" s="1"/>
  <c r="D74" i="33"/>
  <c r="V74" i="39" s="1"/>
  <c r="C74" i="33"/>
  <c r="U74" i="39" s="1"/>
  <c r="B74" i="33"/>
  <c r="T74" i="39" s="1"/>
  <c r="G73" i="33"/>
  <c r="Y73" i="39" s="1"/>
  <c r="F73" i="33"/>
  <c r="X73" i="39" s="1"/>
  <c r="D73" i="33"/>
  <c r="V73" i="39" s="1"/>
  <c r="C73" i="33"/>
  <c r="U73" i="39" s="1"/>
  <c r="B73" i="33"/>
  <c r="T73" i="39" s="1"/>
  <c r="G72" i="33"/>
  <c r="Y72" i="39" s="1"/>
  <c r="F72" i="33"/>
  <c r="X72" i="39" s="1"/>
  <c r="D72" i="33"/>
  <c r="V72" i="39" s="1"/>
  <c r="C72" i="33"/>
  <c r="U72" i="39" s="1"/>
  <c r="B72" i="33"/>
  <c r="T72" i="39" s="1"/>
  <c r="G71" i="33"/>
  <c r="Y71" i="39" s="1"/>
  <c r="F71" i="33"/>
  <c r="X71" i="39" s="1"/>
  <c r="D71" i="33"/>
  <c r="V71" i="39" s="1"/>
  <c r="C71" i="33"/>
  <c r="U71" i="39" s="1"/>
  <c r="B71" i="33"/>
  <c r="T71" i="39" s="1"/>
  <c r="G70" i="33"/>
  <c r="Y70" i="39" s="1"/>
  <c r="F70" i="33"/>
  <c r="X70" i="39" s="1"/>
  <c r="D70" i="33"/>
  <c r="V70" i="39" s="1"/>
  <c r="C70" i="33"/>
  <c r="U70" i="39" s="1"/>
  <c r="B70" i="33"/>
  <c r="T70" i="39" s="1"/>
  <c r="G69" i="33"/>
  <c r="Y69" i="39" s="1"/>
  <c r="F69" i="33"/>
  <c r="X69" i="39" s="1"/>
  <c r="D69" i="33"/>
  <c r="V69" i="39" s="1"/>
  <c r="C69" i="33"/>
  <c r="U69" i="39" s="1"/>
  <c r="B69" i="33"/>
  <c r="T69" i="39" s="1"/>
  <c r="G68" i="33"/>
  <c r="Y68" i="39" s="1"/>
  <c r="F68" i="33"/>
  <c r="X68" i="39" s="1"/>
  <c r="D68" i="33"/>
  <c r="V68" i="39" s="1"/>
  <c r="C68" i="33"/>
  <c r="U68" i="39" s="1"/>
  <c r="B68" i="33"/>
  <c r="T68" i="39" s="1"/>
  <c r="G67" i="33"/>
  <c r="Y67" i="39" s="1"/>
  <c r="F67" i="33"/>
  <c r="X67" i="39" s="1"/>
  <c r="D67" i="33"/>
  <c r="V67" i="39" s="1"/>
  <c r="C67" i="33"/>
  <c r="U67" i="39" s="1"/>
  <c r="B67" i="33"/>
  <c r="T67" i="39" s="1"/>
  <c r="G66" i="33"/>
  <c r="Y66" i="39" s="1"/>
  <c r="F66" i="33"/>
  <c r="X66" i="39" s="1"/>
  <c r="D66" i="33"/>
  <c r="V66" i="39" s="1"/>
  <c r="C66" i="33"/>
  <c r="U66" i="39" s="1"/>
  <c r="B66" i="33"/>
  <c r="T66" i="39" s="1"/>
  <c r="G65" i="33"/>
  <c r="Y65" i="39" s="1"/>
  <c r="F65" i="33"/>
  <c r="X65" i="39" s="1"/>
  <c r="D65" i="33"/>
  <c r="V65" i="39" s="1"/>
  <c r="C65" i="33"/>
  <c r="U65" i="39" s="1"/>
  <c r="B65" i="33"/>
  <c r="T65" i="39" s="1"/>
  <c r="G64" i="33"/>
  <c r="Y64" i="39" s="1"/>
  <c r="F64" i="33"/>
  <c r="X64" i="39" s="1"/>
  <c r="D64" i="33"/>
  <c r="V64" i="39" s="1"/>
  <c r="C64" i="33"/>
  <c r="U64" i="39" s="1"/>
  <c r="B64" i="33"/>
  <c r="T64" i="39" s="1"/>
  <c r="G63" i="33"/>
  <c r="Y63" i="39" s="1"/>
  <c r="F63" i="33"/>
  <c r="X63" i="39" s="1"/>
  <c r="D63" i="33"/>
  <c r="V63" i="39" s="1"/>
  <c r="C63" i="33"/>
  <c r="U63" i="39" s="1"/>
  <c r="B63" i="33"/>
  <c r="T63" i="39" s="1"/>
  <c r="G62" i="33"/>
  <c r="Y62" i="39" s="1"/>
  <c r="F62" i="33"/>
  <c r="X62" i="39" s="1"/>
  <c r="D62" i="33"/>
  <c r="V62" i="39" s="1"/>
  <c r="C62" i="33"/>
  <c r="U62" i="39" s="1"/>
  <c r="B62" i="33"/>
  <c r="T62" i="39" s="1"/>
  <c r="G61" i="33"/>
  <c r="Y61" i="39" s="1"/>
  <c r="F61" i="33"/>
  <c r="X61" i="39" s="1"/>
  <c r="D61" i="33"/>
  <c r="V61" i="39" s="1"/>
  <c r="C61" i="33"/>
  <c r="U61" i="39" s="1"/>
  <c r="B61" i="33"/>
  <c r="T61" i="39" s="1"/>
  <c r="G60" i="33"/>
  <c r="Y60" i="39" s="1"/>
  <c r="F60" i="33"/>
  <c r="X60" i="39" s="1"/>
  <c r="D60" i="33"/>
  <c r="V60" i="39" s="1"/>
  <c r="C60" i="33"/>
  <c r="U60" i="39" s="1"/>
  <c r="B60" i="33"/>
  <c r="T60" i="39" s="1"/>
  <c r="G59" i="33"/>
  <c r="Y59" i="39" s="1"/>
  <c r="F59" i="33"/>
  <c r="X59" i="39" s="1"/>
  <c r="D59" i="33"/>
  <c r="V59" i="39" s="1"/>
  <c r="C59" i="33"/>
  <c r="U59" i="39" s="1"/>
  <c r="B59" i="33"/>
  <c r="T59" i="39" s="1"/>
  <c r="G58" i="33"/>
  <c r="Y58" i="39" s="1"/>
  <c r="F58" i="33"/>
  <c r="X58" i="39" s="1"/>
  <c r="D58" i="33"/>
  <c r="V58" i="39" s="1"/>
  <c r="C58" i="33"/>
  <c r="U58" i="39" s="1"/>
  <c r="B58" i="33"/>
  <c r="T58" i="39" s="1"/>
  <c r="G57" i="33"/>
  <c r="Y57" i="39" s="1"/>
  <c r="F57" i="33"/>
  <c r="X57" i="39" s="1"/>
  <c r="D57" i="33"/>
  <c r="V57" i="39" s="1"/>
  <c r="C57" i="33"/>
  <c r="U57" i="39" s="1"/>
  <c r="B57" i="33"/>
  <c r="T57" i="39" s="1"/>
  <c r="G56" i="33"/>
  <c r="Y56" i="39" s="1"/>
  <c r="F56" i="33"/>
  <c r="X56" i="39" s="1"/>
  <c r="D56" i="33"/>
  <c r="V56" i="39" s="1"/>
  <c r="C56" i="33"/>
  <c r="U56" i="39" s="1"/>
  <c r="B56" i="33"/>
  <c r="T56" i="39" s="1"/>
  <c r="G55" i="33"/>
  <c r="Y55" i="39" s="1"/>
  <c r="F55" i="33"/>
  <c r="X55" i="39" s="1"/>
  <c r="D55" i="33"/>
  <c r="V55" i="39" s="1"/>
  <c r="C55" i="33"/>
  <c r="U55" i="39" s="1"/>
  <c r="B55" i="33"/>
  <c r="T55" i="39" s="1"/>
  <c r="G54" i="33"/>
  <c r="Y54" i="39" s="1"/>
  <c r="F54" i="33"/>
  <c r="X54" i="39" s="1"/>
  <c r="D54" i="33"/>
  <c r="V54" i="39" s="1"/>
  <c r="C54" i="33"/>
  <c r="U54" i="39" s="1"/>
  <c r="B54" i="33"/>
  <c r="T54" i="39" s="1"/>
  <c r="G53" i="33"/>
  <c r="Y53" i="39" s="1"/>
  <c r="F53" i="33"/>
  <c r="X53" i="39" s="1"/>
  <c r="D53" i="33"/>
  <c r="V53" i="39" s="1"/>
  <c r="C53" i="33"/>
  <c r="U53" i="39" s="1"/>
  <c r="B53" i="33"/>
  <c r="T53" i="39" s="1"/>
  <c r="G52" i="33"/>
  <c r="Y52" i="39" s="1"/>
  <c r="F52" i="33"/>
  <c r="X52" i="39" s="1"/>
  <c r="D52" i="33"/>
  <c r="V52" i="39" s="1"/>
  <c r="C52" i="33"/>
  <c r="U52" i="39" s="1"/>
  <c r="B52" i="33"/>
  <c r="T52" i="39" s="1"/>
  <c r="G51" i="33"/>
  <c r="Y51" i="39" s="1"/>
  <c r="F51" i="33"/>
  <c r="X51" i="39" s="1"/>
  <c r="D51" i="33"/>
  <c r="V51" i="39" s="1"/>
  <c r="C51" i="33"/>
  <c r="U51" i="39" s="1"/>
  <c r="B51" i="33"/>
  <c r="T51" i="39" s="1"/>
  <c r="G50" i="33"/>
  <c r="Y50" i="39" s="1"/>
  <c r="F50" i="33"/>
  <c r="X50" i="39" s="1"/>
  <c r="D50" i="33"/>
  <c r="V50" i="39" s="1"/>
  <c r="C50" i="33"/>
  <c r="U50" i="39" s="1"/>
  <c r="B50" i="33"/>
  <c r="T50" i="39" s="1"/>
  <c r="G49" i="33"/>
  <c r="Y49" i="39" s="1"/>
  <c r="F49" i="33"/>
  <c r="X49" i="39" s="1"/>
  <c r="D49" i="33"/>
  <c r="V49" i="39" s="1"/>
  <c r="C49" i="33"/>
  <c r="U49" i="39" s="1"/>
  <c r="B49" i="33"/>
  <c r="T49" i="39" s="1"/>
  <c r="G48" i="33"/>
  <c r="Y48" i="39" s="1"/>
  <c r="F48" i="33"/>
  <c r="X48" i="39" s="1"/>
  <c r="D48" i="33"/>
  <c r="V48" i="39" s="1"/>
  <c r="C48" i="33"/>
  <c r="U48" i="39" s="1"/>
  <c r="B48" i="33"/>
  <c r="T48" i="39" s="1"/>
  <c r="G47" i="33"/>
  <c r="Y47" i="39" s="1"/>
  <c r="F47" i="33"/>
  <c r="X47" i="39" s="1"/>
  <c r="D47" i="33"/>
  <c r="V47" i="39" s="1"/>
  <c r="C47" i="33"/>
  <c r="U47" i="39" s="1"/>
  <c r="B47" i="33"/>
  <c r="T47" i="39" s="1"/>
  <c r="G46" i="33"/>
  <c r="Y46" i="39" s="1"/>
  <c r="F46" i="33"/>
  <c r="X46" i="39" s="1"/>
  <c r="D46" i="33"/>
  <c r="V46" i="39" s="1"/>
  <c r="C46" i="33"/>
  <c r="U46" i="39" s="1"/>
  <c r="B46" i="33"/>
  <c r="T46" i="39" s="1"/>
  <c r="G45" i="33"/>
  <c r="Y45" i="39" s="1"/>
  <c r="F45" i="33"/>
  <c r="X45" i="39" s="1"/>
  <c r="D45" i="33"/>
  <c r="V45" i="39" s="1"/>
  <c r="C45" i="33"/>
  <c r="U45" i="39" s="1"/>
  <c r="B45" i="33"/>
  <c r="T45" i="39" s="1"/>
  <c r="G44" i="33"/>
  <c r="Y44" i="39" s="1"/>
  <c r="F44" i="33"/>
  <c r="X44" i="39" s="1"/>
  <c r="D44" i="33"/>
  <c r="V44" i="39" s="1"/>
  <c r="C44" i="33"/>
  <c r="U44" i="39" s="1"/>
  <c r="B44" i="33"/>
  <c r="T44" i="39" s="1"/>
  <c r="G43" i="33"/>
  <c r="Y43" i="39" s="1"/>
  <c r="F43" i="33"/>
  <c r="X43" i="39" s="1"/>
  <c r="D43" i="33"/>
  <c r="V43" i="39" s="1"/>
  <c r="C43" i="33"/>
  <c r="U43" i="39" s="1"/>
  <c r="B43" i="33"/>
  <c r="T43" i="39" s="1"/>
  <c r="G42" i="33"/>
  <c r="Y42" i="39" s="1"/>
  <c r="F42" i="33"/>
  <c r="X42" i="39" s="1"/>
  <c r="D42" i="33"/>
  <c r="V42" i="39" s="1"/>
  <c r="C42" i="33"/>
  <c r="U42" i="39" s="1"/>
  <c r="B42" i="33"/>
  <c r="T42" i="39" s="1"/>
  <c r="G41" i="33"/>
  <c r="Y41" i="39" s="1"/>
  <c r="F41" i="33"/>
  <c r="X41" i="39" s="1"/>
  <c r="D41" i="33"/>
  <c r="V41" i="39" s="1"/>
  <c r="C41" i="33"/>
  <c r="U41" i="39" s="1"/>
  <c r="B41" i="33"/>
  <c r="T41" i="39" s="1"/>
  <c r="G40" i="33"/>
  <c r="Y40" i="39" s="1"/>
  <c r="F40" i="33"/>
  <c r="X40" i="39" s="1"/>
  <c r="D40" i="33"/>
  <c r="V40" i="39" s="1"/>
  <c r="C40" i="33"/>
  <c r="U40" i="39" s="1"/>
  <c r="B40" i="33"/>
  <c r="T40" i="39" s="1"/>
  <c r="G39" i="33"/>
  <c r="Y39" i="39" s="1"/>
  <c r="F39" i="33"/>
  <c r="X39" i="39" s="1"/>
  <c r="D39" i="33"/>
  <c r="V39" i="39" s="1"/>
  <c r="C39" i="33"/>
  <c r="U39" i="39" s="1"/>
  <c r="B39" i="33"/>
  <c r="G38" i="33"/>
  <c r="Y38" i="39" s="1"/>
  <c r="F38" i="33"/>
  <c r="X38" i="39" s="1"/>
  <c r="D38" i="33"/>
  <c r="V38" i="39" s="1"/>
  <c r="C38" i="33"/>
  <c r="U38" i="39" s="1"/>
  <c r="B38" i="33"/>
  <c r="T38" i="39" s="1"/>
  <c r="G37" i="33"/>
  <c r="Y37" i="39" s="1"/>
  <c r="F37" i="33"/>
  <c r="X37" i="39" s="1"/>
  <c r="D37" i="33"/>
  <c r="V37" i="39" s="1"/>
  <c r="C37" i="33"/>
  <c r="U37" i="39" s="1"/>
  <c r="B37" i="33"/>
  <c r="T37" i="39" s="1"/>
  <c r="G36" i="33"/>
  <c r="Y36" i="39" s="1"/>
  <c r="F36" i="33"/>
  <c r="X36" i="39" s="1"/>
  <c r="D36" i="33"/>
  <c r="V36" i="39" s="1"/>
  <c r="C36" i="33"/>
  <c r="U36" i="39" s="1"/>
  <c r="B36" i="33"/>
  <c r="T36" i="39" s="1"/>
  <c r="G35" i="33"/>
  <c r="Y35" i="39" s="1"/>
  <c r="F35" i="33"/>
  <c r="X35" i="39" s="1"/>
  <c r="D35" i="33"/>
  <c r="V35" i="39" s="1"/>
  <c r="C35" i="33"/>
  <c r="U35" i="39" s="1"/>
  <c r="B35" i="33"/>
  <c r="T35" i="39" s="1"/>
  <c r="G34" i="33"/>
  <c r="Y34" i="39" s="1"/>
  <c r="F34" i="33"/>
  <c r="X34" i="39" s="1"/>
  <c r="D34" i="33"/>
  <c r="V34" i="39" s="1"/>
  <c r="C34" i="33"/>
  <c r="U34" i="39" s="1"/>
  <c r="B34" i="33"/>
  <c r="T34" i="39" s="1"/>
  <c r="G33" i="33"/>
  <c r="Y33" i="39" s="1"/>
  <c r="F33" i="33"/>
  <c r="X33" i="39" s="1"/>
  <c r="D33" i="33"/>
  <c r="V33" i="39" s="1"/>
  <c r="C33" i="33"/>
  <c r="U33" i="39" s="1"/>
  <c r="B33" i="33"/>
  <c r="T33" i="39" s="1"/>
  <c r="G32" i="33"/>
  <c r="Y32" i="39" s="1"/>
  <c r="F32" i="33"/>
  <c r="X32" i="39" s="1"/>
  <c r="D32" i="33"/>
  <c r="V32" i="39" s="1"/>
  <c r="C32" i="33"/>
  <c r="U32" i="39" s="1"/>
  <c r="B32" i="33"/>
  <c r="T32" i="39" s="1"/>
  <c r="G31" i="33"/>
  <c r="Y31" i="39" s="1"/>
  <c r="F31" i="33"/>
  <c r="X31" i="39" s="1"/>
  <c r="D31" i="33"/>
  <c r="V31" i="39" s="1"/>
  <c r="C31" i="33"/>
  <c r="U31" i="39" s="1"/>
  <c r="B31" i="33"/>
  <c r="T31" i="39" s="1"/>
  <c r="G30" i="33"/>
  <c r="Y30" i="39" s="1"/>
  <c r="F30" i="33"/>
  <c r="X30" i="39" s="1"/>
  <c r="D30" i="33"/>
  <c r="V30" i="39" s="1"/>
  <c r="C30" i="33"/>
  <c r="U30" i="39" s="1"/>
  <c r="B30" i="33"/>
  <c r="T30" i="39" s="1"/>
  <c r="G29" i="33"/>
  <c r="Y29" i="39" s="1"/>
  <c r="F29" i="33"/>
  <c r="X29" i="39" s="1"/>
  <c r="D29" i="33"/>
  <c r="V29" i="39" s="1"/>
  <c r="C29" i="33"/>
  <c r="U29" i="39" s="1"/>
  <c r="B29" i="33"/>
  <c r="T29" i="39" s="1"/>
  <c r="G28" i="33"/>
  <c r="Y28" i="39" s="1"/>
  <c r="F28" i="33"/>
  <c r="X28" i="39" s="1"/>
  <c r="D28" i="33"/>
  <c r="V28" i="39" s="1"/>
  <c r="C28" i="33"/>
  <c r="U28" i="39" s="1"/>
  <c r="B28" i="33"/>
  <c r="T28" i="39" s="1"/>
  <c r="G27" i="33"/>
  <c r="Y27" i="39" s="1"/>
  <c r="F27" i="33"/>
  <c r="X27" i="39" s="1"/>
  <c r="D27" i="33"/>
  <c r="V27" i="39" s="1"/>
  <c r="C27" i="33"/>
  <c r="U27" i="39" s="1"/>
  <c r="B27" i="33"/>
  <c r="T27" i="39" s="1"/>
  <c r="G26" i="33"/>
  <c r="Y26" i="39" s="1"/>
  <c r="F26" i="33"/>
  <c r="X26" i="39" s="1"/>
  <c r="D26" i="33"/>
  <c r="V26" i="39" s="1"/>
  <c r="C26" i="33"/>
  <c r="U26" i="39" s="1"/>
  <c r="B26" i="33"/>
  <c r="T26" i="39" s="1"/>
  <c r="G25" i="33"/>
  <c r="Y25" i="39" s="1"/>
  <c r="F25" i="33"/>
  <c r="X25" i="39" s="1"/>
  <c r="D25" i="33"/>
  <c r="V25" i="39" s="1"/>
  <c r="C25" i="33"/>
  <c r="U25" i="39" s="1"/>
  <c r="B25" i="33"/>
  <c r="T25" i="39" s="1"/>
  <c r="G24" i="33"/>
  <c r="Y24" i="39" s="1"/>
  <c r="F24" i="33"/>
  <c r="X24" i="39" s="1"/>
  <c r="D24" i="33"/>
  <c r="V24" i="39" s="1"/>
  <c r="C24" i="33"/>
  <c r="U24" i="39" s="1"/>
  <c r="B24" i="33"/>
  <c r="T24" i="39" s="1"/>
  <c r="G23" i="33"/>
  <c r="Y23" i="39" s="1"/>
  <c r="F23" i="33"/>
  <c r="X23" i="39" s="1"/>
  <c r="D23" i="33"/>
  <c r="V23" i="39" s="1"/>
  <c r="C23" i="33"/>
  <c r="U23" i="39" s="1"/>
  <c r="B23" i="33"/>
  <c r="T23" i="39" s="1"/>
  <c r="G22" i="33"/>
  <c r="Y22" i="39" s="1"/>
  <c r="F22" i="33"/>
  <c r="X22" i="39" s="1"/>
  <c r="D22" i="33"/>
  <c r="V22" i="39" s="1"/>
  <c r="C22" i="33"/>
  <c r="U22" i="39" s="1"/>
  <c r="B22" i="33"/>
  <c r="T22" i="39" s="1"/>
  <c r="G21" i="33"/>
  <c r="Y21" i="39" s="1"/>
  <c r="F21" i="33"/>
  <c r="X21" i="39" s="1"/>
  <c r="D21" i="33"/>
  <c r="V21" i="39" s="1"/>
  <c r="C21" i="33"/>
  <c r="U21" i="39" s="1"/>
  <c r="B21" i="33"/>
  <c r="T21" i="39" s="1"/>
  <c r="G20" i="33"/>
  <c r="Y20" i="39" s="1"/>
  <c r="F20" i="33"/>
  <c r="X20" i="39" s="1"/>
  <c r="D20" i="33"/>
  <c r="V20" i="39" s="1"/>
  <c r="C20" i="33"/>
  <c r="U20" i="39" s="1"/>
  <c r="B20" i="33"/>
  <c r="T20" i="39" s="1"/>
  <c r="G19" i="33"/>
  <c r="Y19" i="39" s="1"/>
  <c r="F19" i="33"/>
  <c r="X19" i="39" s="1"/>
  <c r="D19" i="33"/>
  <c r="V19" i="39" s="1"/>
  <c r="C19" i="33"/>
  <c r="U19" i="39" s="1"/>
  <c r="B19" i="33"/>
  <c r="T19" i="39" s="1"/>
  <c r="G18" i="33"/>
  <c r="Y18" i="39" s="1"/>
  <c r="F18" i="33"/>
  <c r="X18" i="39" s="1"/>
  <c r="D18" i="33"/>
  <c r="V18" i="39" s="1"/>
  <c r="C18" i="33"/>
  <c r="U18" i="39" s="1"/>
  <c r="B18" i="33"/>
  <c r="T18" i="39" s="1"/>
  <c r="G17" i="33"/>
  <c r="Y17" i="39" s="1"/>
  <c r="F17" i="33"/>
  <c r="X17" i="39" s="1"/>
  <c r="D17" i="33"/>
  <c r="V17" i="39" s="1"/>
  <c r="C17" i="33"/>
  <c r="U17" i="39" s="1"/>
  <c r="B17" i="33"/>
  <c r="T17" i="39" s="1"/>
  <c r="G16" i="33"/>
  <c r="Y16" i="39" s="1"/>
  <c r="F16" i="33"/>
  <c r="X16" i="39" s="1"/>
  <c r="D16" i="33"/>
  <c r="V16" i="39" s="1"/>
  <c r="C16" i="33"/>
  <c r="U16" i="39" s="1"/>
  <c r="B16" i="33"/>
  <c r="T16" i="39" s="1"/>
  <c r="G15" i="33"/>
  <c r="Y15" i="39" s="1"/>
  <c r="F15" i="33"/>
  <c r="X15" i="39" s="1"/>
  <c r="D15" i="33"/>
  <c r="V15" i="39" s="1"/>
  <c r="C15" i="33"/>
  <c r="U15" i="39" s="1"/>
  <c r="B15" i="33"/>
  <c r="T15" i="39" s="1"/>
  <c r="G14" i="33"/>
  <c r="Y14" i="39" s="1"/>
  <c r="F14" i="33"/>
  <c r="X14" i="39" s="1"/>
  <c r="D14" i="33"/>
  <c r="V14" i="39" s="1"/>
  <c r="C14" i="33"/>
  <c r="U14" i="39" s="1"/>
  <c r="B14" i="33"/>
  <c r="T14" i="39" s="1"/>
  <c r="G13" i="33"/>
  <c r="Y13" i="39" s="1"/>
  <c r="F13" i="33"/>
  <c r="X13" i="39" s="1"/>
  <c r="D13" i="33"/>
  <c r="V13" i="39" s="1"/>
  <c r="C13" i="33"/>
  <c r="U13" i="39" s="1"/>
  <c r="B13" i="33"/>
  <c r="T13" i="39" s="1"/>
  <c r="G12" i="33"/>
  <c r="Y12" i="39" s="1"/>
  <c r="F12" i="33"/>
  <c r="X12" i="39" s="1"/>
  <c r="D12" i="33"/>
  <c r="V12" i="39" s="1"/>
  <c r="C12" i="33"/>
  <c r="U12" i="39" s="1"/>
  <c r="B12" i="33"/>
  <c r="T12" i="39" s="1"/>
  <c r="G11" i="33"/>
  <c r="Y11" i="39" s="1"/>
  <c r="F11" i="33"/>
  <c r="X11" i="39" s="1"/>
  <c r="D11" i="33"/>
  <c r="V11" i="39" s="1"/>
  <c r="C11" i="33"/>
  <c r="U11" i="39" s="1"/>
  <c r="B11" i="33"/>
  <c r="T11" i="39" s="1"/>
  <c r="G10" i="33"/>
  <c r="Y10" i="39" s="1"/>
  <c r="F10" i="33"/>
  <c r="X10" i="39" s="1"/>
  <c r="D10" i="33"/>
  <c r="V10" i="39" s="1"/>
  <c r="C10" i="33"/>
  <c r="U10" i="39" s="1"/>
  <c r="B10" i="33"/>
  <c r="T10" i="39" s="1"/>
  <c r="G9" i="33"/>
  <c r="Y9" i="39" s="1"/>
  <c r="F9" i="33"/>
  <c r="X9" i="39" s="1"/>
  <c r="D9" i="33"/>
  <c r="V9" i="39" s="1"/>
  <c r="C9" i="33"/>
  <c r="U9" i="39" s="1"/>
  <c r="B9" i="33"/>
  <c r="T9" i="39" s="1"/>
  <c r="G8" i="33"/>
  <c r="Y8" i="39" s="1"/>
  <c r="F8" i="33"/>
  <c r="X8" i="39" s="1"/>
  <c r="D8" i="33"/>
  <c r="V8" i="39" s="1"/>
  <c r="C8" i="33"/>
  <c r="U8" i="39" s="1"/>
  <c r="B8" i="33"/>
  <c r="T8" i="39" s="1"/>
  <c r="G7" i="33"/>
  <c r="Y7" i="39" s="1"/>
  <c r="F7" i="33"/>
  <c r="X7" i="39" s="1"/>
  <c r="D7" i="33"/>
  <c r="V7" i="39" s="1"/>
  <c r="C7" i="33"/>
  <c r="U7" i="39" s="1"/>
  <c r="B7" i="33"/>
  <c r="T7" i="39" s="1"/>
  <c r="G6" i="33"/>
  <c r="Y6" i="39" s="1"/>
  <c r="F6" i="33"/>
  <c r="X6" i="39" s="1"/>
  <c r="D6" i="33"/>
  <c r="V6" i="39" s="1"/>
  <c r="C6" i="33"/>
  <c r="U6" i="39" s="1"/>
  <c r="B6" i="33"/>
  <c r="T6" i="39" s="1"/>
  <c r="G5" i="33"/>
  <c r="Y5" i="39" s="1"/>
  <c r="F5" i="33"/>
  <c r="X5" i="39" s="1"/>
  <c r="D5" i="33"/>
  <c r="V5" i="39" s="1"/>
  <c r="C5" i="33"/>
  <c r="U5" i="39" s="1"/>
  <c r="B5" i="33"/>
  <c r="T5" i="39" s="1"/>
  <c r="G4" i="33"/>
  <c r="Y4" i="39" s="1"/>
  <c r="F4" i="33"/>
  <c r="X4" i="39" s="1"/>
  <c r="D4" i="33"/>
  <c r="V4" i="39" s="1"/>
  <c r="C4" i="33"/>
  <c r="U4" i="39" s="1"/>
  <c r="B4" i="33"/>
  <c r="T4" i="39" s="1"/>
  <c r="G3" i="33"/>
  <c r="Y3" i="39" s="1"/>
  <c r="F3" i="33"/>
  <c r="X3" i="39" s="1"/>
  <c r="D3" i="33"/>
  <c r="V3" i="39" s="1"/>
  <c r="C3" i="33"/>
  <c r="U3" i="39" s="1"/>
  <c r="B3" i="33"/>
  <c r="T3" i="39" s="1"/>
  <c r="G206" i="32"/>
  <c r="P206" i="39" s="1"/>
  <c r="F206" i="32"/>
  <c r="O206" i="39" s="1"/>
  <c r="G205" i="32"/>
  <c r="P205" i="39" s="1"/>
  <c r="F205" i="32"/>
  <c r="O205" i="39" s="1"/>
  <c r="G204" i="32"/>
  <c r="P204" i="39" s="1"/>
  <c r="F204" i="32"/>
  <c r="O204" i="39" s="1"/>
  <c r="G203" i="32"/>
  <c r="P203" i="39" s="1"/>
  <c r="F203" i="32"/>
  <c r="O203" i="39" s="1"/>
  <c r="G202" i="32"/>
  <c r="P202" i="39" s="1"/>
  <c r="F202" i="32"/>
  <c r="O202" i="39" s="1"/>
  <c r="G201" i="32"/>
  <c r="P201" i="39" s="1"/>
  <c r="F201" i="32"/>
  <c r="O201" i="39" s="1"/>
  <c r="G200" i="32"/>
  <c r="P200" i="39" s="1"/>
  <c r="F200" i="32"/>
  <c r="O200" i="39" s="1"/>
  <c r="G199" i="32"/>
  <c r="P199" i="39" s="1"/>
  <c r="F199" i="32"/>
  <c r="O199" i="39" s="1"/>
  <c r="G198" i="32"/>
  <c r="P198" i="39" s="1"/>
  <c r="F198" i="32"/>
  <c r="O198" i="39" s="1"/>
  <c r="G197" i="32"/>
  <c r="P197" i="39" s="1"/>
  <c r="F197" i="32"/>
  <c r="O197" i="39" s="1"/>
  <c r="G196" i="32"/>
  <c r="P196" i="39" s="1"/>
  <c r="F196" i="32"/>
  <c r="O196" i="39" s="1"/>
  <c r="G195" i="32"/>
  <c r="P195" i="39" s="1"/>
  <c r="F195" i="32"/>
  <c r="O195" i="39" s="1"/>
  <c r="G194" i="32"/>
  <c r="P194" i="39" s="1"/>
  <c r="F194" i="32"/>
  <c r="O194" i="39" s="1"/>
  <c r="G193" i="32"/>
  <c r="P193" i="39" s="1"/>
  <c r="F193" i="32"/>
  <c r="O193" i="39" s="1"/>
  <c r="G192" i="32"/>
  <c r="P192" i="39" s="1"/>
  <c r="F192" i="32"/>
  <c r="O192" i="39" s="1"/>
  <c r="G191" i="32"/>
  <c r="P191" i="39" s="1"/>
  <c r="F191" i="32"/>
  <c r="O191" i="39" s="1"/>
  <c r="G190" i="32"/>
  <c r="P190" i="39" s="1"/>
  <c r="F190" i="32"/>
  <c r="O190" i="39" s="1"/>
  <c r="G189" i="32"/>
  <c r="P189" i="39" s="1"/>
  <c r="F189" i="32"/>
  <c r="O189" i="39" s="1"/>
  <c r="G188" i="32"/>
  <c r="P188" i="39" s="1"/>
  <c r="F188" i="32"/>
  <c r="O188" i="39" s="1"/>
  <c r="G187" i="32"/>
  <c r="P187" i="39" s="1"/>
  <c r="F187" i="32"/>
  <c r="O187" i="39" s="1"/>
  <c r="G186" i="32"/>
  <c r="P186" i="39" s="1"/>
  <c r="F186" i="32"/>
  <c r="O186" i="39" s="1"/>
  <c r="G185" i="32"/>
  <c r="P185" i="39" s="1"/>
  <c r="F185" i="32"/>
  <c r="O185" i="39" s="1"/>
  <c r="G184" i="32"/>
  <c r="P184" i="39" s="1"/>
  <c r="F184" i="32"/>
  <c r="O184" i="39" s="1"/>
  <c r="G183" i="32"/>
  <c r="P183" i="39" s="1"/>
  <c r="F183" i="32"/>
  <c r="O183" i="39" s="1"/>
  <c r="G182" i="32"/>
  <c r="P182" i="39" s="1"/>
  <c r="F182" i="32"/>
  <c r="O182" i="39" s="1"/>
  <c r="G181" i="32"/>
  <c r="P181" i="39" s="1"/>
  <c r="F181" i="32"/>
  <c r="O181" i="39" s="1"/>
  <c r="G180" i="32"/>
  <c r="P180" i="39" s="1"/>
  <c r="F180" i="32"/>
  <c r="O180" i="39" s="1"/>
  <c r="G179" i="32"/>
  <c r="P179" i="39" s="1"/>
  <c r="F179" i="32"/>
  <c r="O179" i="39" s="1"/>
  <c r="G178" i="32"/>
  <c r="P178" i="39" s="1"/>
  <c r="F178" i="32"/>
  <c r="O178" i="39" s="1"/>
  <c r="G177" i="32"/>
  <c r="P177" i="39" s="1"/>
  <c r="F177" i="32"/>
  <c r="O177" i="39" s="1"/>
  <c r="G176" i="32"/>
  <c r="P176" i="39" s="1"/>
  <c r="F176" i="32"/>
  <c r="O176" i="39" s="1"/>
  <c r="G175" i="32"/>
  <c r="P175" i="39" s="1"/>
  <c r="F175" i="32"/>
  <c r="O175" i="39" s="1"/>
  <c r="G174" i="32"/>
  <c r="P174" i="39" s="1"/>
  <c r="F174" i="32"/>
  <c r="O174" i="39" s="1"/>
  <c r="G173" i="32"/>
  <c r="P173" i="39" s="1"/>
  <c r="F173" i="32"/>
  <c r="O173" i="39" s="1"/>
  <c r="G172" i="32"/>
  <c r="P172" i="39" s="1"/>
  <c r="F172" i="32"/>
  <c r="O172" i="39" s="1"/>
  <c r="G171" i="32"/>
  <c r="P171" i="39" s="1"/>
  <c r="F171" i="32"/>
  <c r="O171" i="39" s="1"/>
  <c r="G170" i="32"/>
  <c r="P170" i="39" s="1"/>
  <c r="F170" i="32"/>
  <c r="O170" i="39" s="1"/>
  <c r="G169" i="32"/>
  <c r="P169" i="39" s="1"/>
  <c r="F169" i="32"/>
  <c r="O169" i="39" s="1"/>
  <c r="G168" i="32"/>
  <c r="P168" i="39" s="1"/>
  <c r="F168" i="32"/>
  <c r="O168" i="39" s="1"/>
  <c r="G167" i="32"/>
  <c r="P167" i="39" s="1"/>
  <c r="F167" i="32"/>
  <c r="O167" i="39" s="1"/>
  <c r="G166" i="32"/>
  <c r="P166" i="39" s="1"/>
  <c r="F166" i="32"/>
  <c r="O166" i="39" s="1"/>
  <c r="G165" i="32"/>
  <c r="P165" i="39" s="1"/>
  <c r="F165" i="32"/>
  <c r="O165" i="39" s="1"/>
  <c r="G164" i="32"/>
  <c r="P164" i="39" s="1"/>
  <c r="F164" i="32"/>
  <c r="O164" i="39" s="1"/>
  <c r="G163" i="32"/>
  <c r="P163" i="39" s="1"/>
  <c r="F163" i="32"/>
  <c r="O163" i="39" s="1"/>
  <c r="G162" i="32"/>
  <c r="P162" i="39" s="1"/>
  <c r="F162" i="32"/>
  <c r="O162" i="39" s="1"/>
  <c r="G161" i="32"/>
  <c r="P161" i="39" s="1"/>
  <c r="F161" i="32"/>
  <c r="O161" i="39" s="1"/>
  <c r="G160" i="32"/>
  <c r="P160" i="39" s="1"/>
  <c r="F160" i="32"/>
  <c r="O160" i="39" s="1"/>
  <c r="G159" i="32"/>
  <c r="P159" i="39" s="1"/>
  <c r="F159" i="32"/>
  <c r="O159" i="39" s="1"/>
  <c r="G158" i="32"/>
  <c r="P158" i="39" s="1"/>
  <c r="F158" i="32"/>
  <c r="O158" i="39" s="1"/>
  <c r="G157" i="32"/>
  <c r="P157" i="39" s="1"/>
  <c r="F157" i="32"/>
  <c r="O157" i="39" s="1"/>
  <c r="G156" i="32"/>
  <c r="P156" i="39" s="1"/>
  <c r="F156" i="32"/>
  <c r="O156" i="39" s="1"/>
  <c r="G155" i="32"/>
  <c r="P155" i="39" s="1"/>
  <c r="F155" i="32"/>
  <c r="O155" i="39" s="1"/>
  <c r="G154" i="32"/>
  <c r="P154" i="39" s="1"/>
  <c r="F154" i="32"/>
  <c r="O154" i="39" s="1"/>
  <c r="G153" i="32"/>
  <c r="P153" i="39" s="1"/>
  <c r="F153" i="32"/>
  <c r="O153" i="39" s="1"/>
  <c r="G152" i="32"/>
  <c r="P152" i="39" s="1"/>
  <c r="F152" i="32"/>
  <c r="O152" i="39" s="1"/>
  <c r="G151" i="32"/>
  <c r="P151" i="39" s="1"/>
  <c r="F151" i="32"/>
  <c r="O151" i="39" s="1"/>
  <c r="G150" i="32"/>
  <c r="P150" i="39" s="1"/>
  <c r="F150" i="32"/>
  <c r="O150" i="39" s="1"/>
  <c r="G149" i="32"/>
  <c r="P149" i="39" s="1"/>
  <c r="F149" i="32"/>
  <c r="O149" i="39" s="1"/>
  <c r="G148" i="32"/>
  <c r="P148" i="39" s="1"/>
  <c r="F148" i="32"/>
  <c r="O148" i="39" s="1"/>
  <c r="G147" i="32"/>
  <c r="P147" i="39" s="1"/>
  <c r="F147" i="32"/>
  <c r="O147" i="39" s="1"/>
  <c r="P146" i="39"/>
  <c r="O146" i="39"/>
  <c r="P145" i="39"/>
  <c r="O145" i="39"/>
  <c r="P144" i="39"/>
  <c r="O144" i="39"/>
  <c r="P143" i="39"/>
  <c r="O143" i="39"/>
  <c r="P142" i="39"/>
  <c r="O142" i="39"/>
  <c r="P141" i="39"/>
  <c r="O141" i="39"/>
  <c r="P140" i="39"/>
  <c r="O140" i="39"/>
  <c r="P139" i="39"/>
  <c r="O139" i="39"/>
  <c r="P138" i="39"/>
  <c r="O138" i="39"/>
  <c r="P137" i="39"/>
  <c r="O137" i="39"/>
  <c r="P136" i="39"/>
  <c r="O136" i="39"/>
  <c r="P135" i="39"/>
  <c r="O135" i="39"/>
  <c r="G134" i="32"/>
  <c r="P134" i="39" s="1"/>
  <c r="F134" i="32"/>
  <c r="O134" i="39" s="1"/>
  <c r="G133" i="32"/>
  <c r="P133" i="39" s="1"/>
  <c r="F133" i="32"/>
  <c r="O133" i="39" s="1"/>
  <c r="B133" i="32"/>
  <c r="K133" i="39" s="1"/>
  <c r="G132" i="32"/>
  <c r="P132" i="39" s="1"/>
  <c r="F132" i="32"/>
  <c r="O132" i="39" s="1"/>
  <c r="B132" i="32"/>
  <c r="K132" i="39" s="1"/>
  <c r="G131" i="32"/>
  <c r="P131" i="39" s="1"/>
  <c r="F131" i="32"/>
  <c r="O131" i="39" s="1"/>
  <c r="B131" i="32"/>
  <c r="K131" i="39" s="1"/>
  <c r="G130" i="32"/>
  <c r="P130" i="39" s="1"/>
  <c r="F130" i="32"/>
  <c r="O130" i="39" s="1"/>
  <c r="B130" i="32"/>
  <c r="K130" i="39" s="1"/>
  <c r="G129" i="32"/>
  <c r="P129" i="39" s="1"/>
  <c r="F129" i="32"/>
  <c r="O129" i="39" s="1"/>
  <c r="B129" i="32"/>
  <c r="K129" i="39" s="1"/>
  <c r="G128" i="32"/>
  <c r="P128" i="39" s="1"/>
  <c r="F128" i="32"/>
  <c r="O128" i="39" s="1"/>
  <c r="B128" i="32"/>
  <c r="K128" i="39" s="1"/>
  <c r="G127" i="32"/>
  <c r="P127" i="39" s="1"/>
  <c r="F127" i="32"/>
  <c r="O127" i="39" s="1"/>
  <c r="B127" i="32"/>
  <c r="K127" i="39" s="1"/>
  <c r="G126" i="32"/>
  <c r="P126" i="39" s="1"/>
  <c r="F126" i="32"/>
  <c r="O126" i="39" s="1"/>
  <c r="B126" i="32"/>
  <c r="K126" i="39" s="1"/>
  <c r="G125" i="32"/>
  <c r="P125" i="39" s="1"/>
  <c r="F125" i="32"/>
  <c r="O125" i="39" s="1"/>
  <c r="B125" i="32"/>
  <c r="K125" i="39" s="1"/>
  <c r="G124" i="32"/>
  <c r="P124" i="39" s="1"/>
  <c r="F124" i="32"/>
  <c r="O124" i="39" s="1"/>
  <c r="B124" i="32"/>
  <c r="K124" i="39" s="1"/>
  <c r="G123" i="32"/>
  <c r="P123" i="39" s="1"/>
  <c r="F123" i="32"/>
  <c r="O123" i="39" s="1"/>
  <c r="B123" i="32"/>
  <c r="G122" i="32"/>
  <c r="P122" i="39" s="1"/>
  <c r="F122" i="32"/>
  <c r="O122" i="39" s="1"/>
  <c r="B122" i="32"/>
  <c r="K122" i="39" s="1"/>
  <c r="G121" i="32"/>
  <c r="P121" i="39" s="1"/>
  <c r="F121" i="32"/>
  <c r="O121" i="39" s="1"/>
  <c r="B121" i="32"/>
  <c r="K121" i="39" s="1"/>
  <c r="G120" i="32"/>
  <c r="P120" i="39" s="1"/>
  <c r="F120" i="32"/>
  <c r="O120" i="39" s="1"/>
  <c r="B120" i="32"/>
  <c r="K120" i="39" s="1"/>
  <c r="G119" i="32"/>
  <c r="P119" i="39" s="1"/>
  <c r="F119" i="32"/>
  <c r="O119" i="39" s="1"/>
  <c r="B119" i="32"/>
  <c r="K119" i="39" s="1"/>
  <c r="G118" i="32"/>
  <c r="P118" i="39" s="1"/>
  <c r="F118" i="32"/>
  <c r="O118" i="39" s="1"/>
  <c r="B118" i="32"/>
  <c r="K118" i="39" s="1"/>
  <c r="G117" i="32"/>
  <c r="P117" i="39" s="1"/>
  <c r="F117" i="32"/>
  <c r="O117" i="39" s="1"/>
  <c r="B117" i="32"/>
  <c r="K117" i="39" s="1"/>
  <c r="G116" i="32"/>
  <c r="P116" i="39" s="1"/>
  <c r="F116" i="32"/>
  <c r="O116" i="39" s="1"/>
  <c r="B116" i="32"/>
  <c r="K116" i="39" s="1"/>
  <c r="G115" i="32"/>
  <c r="P115" i="39" s="1"/>
  <c r="F115" i="32"/>
  <c r="O115" i="39" s="1"/>
  <c r="B115" i="32"/>
  <c r="K115" i="39" s="1"/>
  <c r="G114" i="32"/>
  <c r="P114" i="39" s="1"/>
  <c r="F114" i="32"/>
  <c r="O114" i="39" s="1"/>
  <c r="B114" i="32"/>
  <c r="K114" i="39" s="1"/>
  <c r="G113" i="32"/>
  <c r="P113" i="39" s="1"/>
  <c r="F113" i="32"/>
  <c r="O113" i="39" s="1"/>
  <c r="B113" i="32"/>
  <c r="K113" i="39" s="1"/>
  <c r="G112" i="32"/>
  <c r="P112" i="39" s="1"/>
  <c r="F112" i="32"/>
  <c r="O112" i="39" s="1"/>
  <c r="B112" i="32"/>
  <c r="K112" i="39" s="1"/>
  <c r="G111" i="32"/>
  <c r="P111" i="39" s="1"/>
  <c r="F111" i="32"/>
  <c r="O111" i="39" s="1"/>
  <c r="B111" i="32"/>
  <c r="G110" i="32"/>
  <c r="P110" i="39" s="1"/>
  <c r="F110" i="32"/>
  <c r="O110" i="39" s="1"/>
  <c r="B110" i="32"/>
  <c r="K110" i="39" s="1"/>
  <c r="G109" i="32"/>
  <c r="P109" i="39" s="1"/>
  <c r="F109" i="32"/>
  <c r="O109" i="39" s="1"/>
  <c r="B109" i="32"/>
  <c r="K109" i="39" s="1"/>
  <c r="G108" i="32"/>
  <c r="P108" i="39" s="1"/>
  <c r="F108" i="32"/>
  <c r="O108" i="39" s="1"/>
  <c r="B108" i="32"/>
  <c r="K108" i="39" s="1"/>
  <c r="G107" i="32"/>
  <c r="P107" i="39" s="1"/>
  <c r="F107" i="32"/>
  <c r="O107" i="39" s="1"/>
  <c r="B107" i="32"/>
  <c r="K107" i="39" s="1"/>
  <c r="G106" i="32"/>
  <c r="P106" i="39" s="1"/>
  <c r="F106" i="32"/>
  <c r="O106" i="39" s="1"/>
  <c r="B106" i="32"/>
  <c r="K106" i="39" s="1"/>
  <c r="G105" i="32"/>
  <c r="P105" i="39" s="1"/>
  <c r="F105" i="32"/>
  <c r="O105" i="39" s="1"/>
  <c r="B105" i="32"/>
  <c r="K105" i="39" s="1"/>
  <c r="G104" i="32"/>
  <c r="P104" i="39" s="1"/>
  <c r="F104" i="32"/>
  <c r="O104" i="39" s="1"/>
  <c r="B104" i="32"/>
  <c r="K104" i="39" s="1"/>
  <c r="G103" i="32"/>
  <c r="P103" i="39" s="1"/>
  <c r="F103" i="32"/>
  <c r="O103" i="39" s="1"/>
  <c r="B103" i="32"/>
  <c r="K103" i="39" s="1"/>
  <c r="G102" i="32"/>
  <c r="P102" i="39" s="1"/>
  <c r="F102" i="32"/>
  <c r="O102" i="39" s="1"/>
  <c r="B102" i="32"/>
  <c r="K102" i="39" s="1"/>
  <c r="G101" i="32"/>
  <c r="P101" i="39" s="1"/>
  <c r="F101" i="32"/>
  <c r="O101" i="39" s="1"/>
  <c r="B101" i="32"/>
  <c r="K101" i="39" s="1"/>
  <c r="G100" i="32"/>
  <c r="P100" i="39" s="1"/>
  <c r="F100" i="32"/>
  <c r="O100" i="39" s="1"/>
  <c r="B100" i="32"/>
  <c r="K100" i="39" s="1"/>
  <c r="G99" i="32"/>
  <c r="P99" i="39" s="1"/>
  <c r="F99" i="32"/>
  <c r="O99" i="39" s="1"/>
  <c r="B99" i="32"/>
  <c r="G98" i="32"/>
  <c r="P98" i="39" s="1"/>
  <c r="F98" i="32"/>
  <c r="O98" i="39" s="1"/>
  <c r="D98" i="32"/>
  <c r="M98" i="39" s="1"/>
  <c r="C98" i="32"/>
  <c r="L98" i="39" s="1"/>
  <c r="B98" i="32"/>
  <c r="K98" i="39" s="1"/>
  <c r="G97" i="32"/>
  <c r="P97" i="39" s="1"/>
  <c r="F97" i="32"/>
  <c r="O97" i="39" s="1"/>
  <c r="D97" i="32"/>
  <c r="M97" i="39" s="1"/>
  <c r="C97" i="32"/>
  <c r="L97" i="39" s="1"/>
  <c r="B97" i="32"/>
  <c r="K97" i="39" s="1"/>
  <c r="G96" i="32"/>
  <c r="P96" i="39" s="1"/>
  <c r="F96" i="32"/>
  <c r="O96" i="39" s="1"/>
  <c r="D96" i="32"/>
  <c r="M96" i="39" s="1"/>
  <c r="C96" i="32"/>
  <c r="L96" i="39" s="1"/>
  <c r="B96" i="32"/>
  <c r="K96" i="39" s="1"/>
  <c r="G95" i="32"/>
  <c r="P95" i="39" s="1"/>
  <c r="F95" i="32"/>
  <c r="O95" i="39" s="1"/>
  <c r="D95" i="32"/>
  <c r="M95" i="39" s="1"/>
  <c r="C95" i="32"/>
  <c r="L95" i="39" s="1"/>
  <c r="B95" i="32"/>
  <c r="K95" i="39" s="1"/>
  <c r="G94" i="32"/>
  <c r="P94" i="39" s="1"/>
  <c r="F94" i="32"/>
  <c r="O94" i="39" s="1"/>
  <c r="D94" i="32"/>
  <c r="M94" i="39" s="1"/>
  <c r="C94" i="32"/>
  <c r="L94" i="39" s="1"/>
  <c r="B94" i="32"/>
  <c r="K94" i="39" s="1"/>
  <c r="G93" i="32"/>
  <c r="P93" i="39" s="1"/>
  <c r="F93" i="32"/>
  <c r="O93" i="39" s="1"/>
  <c r="D93" i="32"/>
  <c r="M93" i="39" s="1"/>
  <c r="C93" i="32"/>
  <c r="L93" i="39" s="1"/>
  <c r="B93" i="32"/>
  <c r="K93" i="39" s="1"/>
  <c r="G92" i="32"/>
  <c r="P92" i="39" s="1"/>
  <c r="F92" i="32"/>
  <c r="O92" i="39" s="1"/>
  <c r="D92" i="32"/>
  <c r="M92" i="39" s="1"/>
  <c r="C92" i="32"/>
  <c r="L92" i="39" s="1"/>
  <c r="B92" i="32"/>
  <c r="K92" i="39" s="1"/>
  <c r="G91" i="32"/>
  <c r="P91" i="39" s="1"/>
  <c r="F91" i="32"/>
  <c r="O91" i="39" s="1"/>
  <c r="D91" i="32"/>
  <c r="M91" i="39" s="1"/>
  <c r="C91" i="32"/>
  <c r="L91" i="39" s="1"/>
  <c r="B91" i="32"/>
  <c r="K91" i="39" s="1"/>
  <c r="G90" i="32"/>
  <c r="P90" i="39" s="1"/>
  <c r="F90" i="32"/>
  <c r="O90" i="39" s="1"/>
  <c r="D90" i="32"/>
  <c r="M90" i="39" s="1"/>
  <c r="C90" i="32"/>
  <c r="L90" i="39" s="1"/>
  <c r="B90" i="32"/>
  <c r="K90" i="39" s="1"/>
  <c r="G89" i="32"/>
  <c r="P89" i="39" s="1"/>
  <c r="F89" i="32"/>
  <c r="O89" i="39" s="1"/>
  <c r="D89" i="32"/>
  <c r="M89" i="39" s="1"/>
  <c r="C89" i="32"/>
  <c r="L89" i="39" s="1"/>
  <c r="B89" i="32"/>
  <c r="K89" i="39" s="1"/>
  <c r="G88" i="32"/>
  <c r="P88" i="39" s="1"/>
  <c r="F88" i="32"/>
  <c r="O88" i="39" s="1"/>
  <c r="D88" i="32"/>
  <c r="M88" i="39" s="1"/>
  <c r="C88" i="32"/>
  <c r="L88" i="39" s="1"/>
  <c r="B88" i="32"/>
  <c r="K88" i="39" s="1"/>
  <c r="G87" i="32"/>
  <c r="P87" i="39" s="1"/>
  <c r="F87" i="32"/>
  <c r="O87" i="39" s="1"/>
  <c r="D87" i="32"/>
  <c r="M87" i="39" s="1"/>
  <c r="C87" i="32"/>
  <c r="L87" i="39" s="1"/>
  <c r="B87" i="32"/>
  <c r="G86" i="32"/>
  <c r="P86" i="39" s="1"/>
  <c r="F86" i="32"/>
  <c r="O86" i="39" s="1"/>
  <c r="D86" i="32"/>
  <c r="M86" i="39" s="1"/>
  <c r="C86" i="32"/>
  <c r="L86" i="39" s="1"/>
  <c r="B86" i="32"/>
  <c r="K86" i="39" s="1"/>
  <c r="G85" i="32"/>
  <c r="P85" i="39" s="1"/>
  <c r="F85" i="32"/>
  <c r="O85" i="39" s="1"/>
  <c r="D85" i="32"/>
  <c r="M85" i="39" s="1"/>
  <c r="C85" i="32"/>
  <c r="L85" i="39" s="1"/>
  <c r="B85" i="32"/>
  <c r="K85" i="39" s="1"/>
  <c r="G84" i="32"/>
  <c r="P84" i="39" s="1"/>
  <c r="F84" i="32"/>
  <c r="O84" i="39" s="1"/>
  <c r="D84" i="32"/>
  <c r="M84" i="39" s="1"/>
  <c r="C84" i="32"/>
  <c r="L84" i="39" s="1"/>
  <c r="B84" i="32"/>
  <c r="K84" i="39" s="1"/>
  <c r="G83" i="32"/>
  <c r="P83" i="39" s="1"/>
  <c r="F83" i="32"/>
  <c r="O83" i="39" s="1"/>
  <c r="D83" i="32"/>
  <c r="M83" i="39" s="1"/>
  <c r="C83" i="32"/>
  <c r="L83" i="39" s="1"/>
  <c r="B83" i="32"/>
  <c r="K83" i="39" s="1"/>
  <c r="G82" i="32"/>
  <c r="P82" i="39" s="1"/>
  <c r="F82" i="32"/>
  <c r="O82" i="39" s="1"/>
  <c r="D82" i="32"/>
  <c r="M82" i="39" s="1"/>
  <c r="C82" i="32"/>
  <c r="L82" i="39" s="1"/>
  <c r="B82" i="32"/>
  <c r="K82" i="39" s="1"/>
  <c r="G81" i="32"/>
  <c r="P81" i="39" s="1"/>
  <c r="F81" i="32"/>
  <c r="O81" i="39" s="1"/>
  <c r="D81" i="32"/>
  <c r="M81" i="39" s="1"/>
  <c r="C81" i="32"/>
  <c r="L81" i="39" s="1"/>
  <c r="B81" i="32"/>
  <c r="K81" i="39" s="1"/>
  <c r="G80" i="32"/>
  <c r="P80" i="39" s="1"/>
  <c r="F80" i="32"/>
  <c r="O80" i="39" s="1"/>
  <c r="D80" i="32"/>
  <c r="M80" i="39" s="1"/>
  <c r="C80" i="32"/>
  <c r="L80" i="39" s="1"/>
  <c r="B80" i="32"/>
  <c r="K80" i="39" s="1"/>
  <c r="G79" i="32"/>
  <c r="P79" i="39" s="1"/>
  <c r="F79" i="32"/>
  <c r="O79" i="39" s="1"/>
  <c r="D79" i="32"/>
  <c r="M79" i="39" s="1"/>
  <c r="C79" i="32"/>
  <c r="L79" i="39" s="1"/>
  <c r="B79" i="32"/>
  <c r="K79" i="39" s="1"/>
  <c r="G78" i="32"/>
  <c r="P78" i="39" s="1"/>
  <c r="F78" i="32"/>
  <c r="O78" i="39" s="1"/>
  <c r="D78" i="32"/>
  <c r="M78" i="39" s="1"/>
  <c r="C78" i="32"/>
  <c r="L78" i="39" s="1"/>
  <c r="B78" i="32"/>
  <c r="K78" i="39" s="1"/>
  <c r="G77" i="32"/>
  <c r="P77" i="39" s="1"/>
  <c r="F77" i="32"/>
  <c r="O77" i="39" s="1"/>
  <c r="D77" i="32"/>
  <c r="M77" i="39" s="1"/>
  <c r="C77" i="32"/>
  <c r="L77" i="39" s="1"/>
  <c r="B77" i="32"/>
  <c r="K77" i="39" s="1"/>
  <c r="G76" i="32"/>
  <c r="P76" i="39" s="1"/>
  <c r="F76" i="32"/>
  <c r="O76" i="39" s="1"/>
  <c r="D76" i="32"/>
  <c r="M76" i="39" s="1"/>
  <c r="C76" i="32"/>
  <c r="L76" i="39" s="1"/>
  <c r="B76" i="32"/>
  <c r="K76" i="39" s="1"/>
  <c r="G75" i="32"/>
  <c r="P75" i="39" s="1"/>
  <c r="F75" i="32"/>
  <c r="O75" i="39" s="1"/>
  <c r="D75" i="32"/>
  <c r="M75" i="39" s="1"/>
  <c r="C75" i="32"/>
  <c r="L75" i="39" s="1"/>
  <c r="B75" i="32"/>
  <c r="G74" i="32"/>
  <c r="P74" i="39" s="1"/>
  <c r="F74" i="32"/>
  <c r="O74" i="39" s="1"/>
  <c r="D74" i="32"/>
  <c r="M74" i="39" s="1"/>
  <c r="C74" i="32"/>
  <c r="L74" i="39" s="1"/>
  <c r="B74" i="32"/>
  <c r="K74" i="39" s="1"/>
  <c r="G73" i="32"/>
  <c r="P73" i="39" s="1"/>
  <c r="F73" i="32"/>
  <c r="O73" i="39" s="1"/>
  <c r="D73" i="32"/>
  <c r="M73" i="39" s="1"/>
  <c r="C73" i="32"/>
  <c r="L73" i="39" s="1"/>
  <c r="B73" i="32"/>
  <c r="K73" i="39" s="1"/>
  <c r="G72" i="32"/>
  <c r="P72" i="39" s="1"/>
  <c r="F72" i="32"/>
  <c r="O72" i="39" s="1"/>
  <c r="D72" i="32"/>
  <c r="M72" i="39" s="1"/>
  <c r="C72" i="32"/>
  <c r="L72" i="39" s="1"/>
  <c r="B72" i="32"/>
  <c r="K72" i="39" s="1"/>
  <c r="G71" i="32"/>
  <c r="P71" i="39" s="1"/>
  <c r="F71" i="32"/>
  <c r="O71" i="39" s="1"/>
  <c r="D71" i="32"/>
  <c r="M71" i="39" s="1"/>
  <c r="C71" i="32"/>
  <c r="L71" i="39" s="1"/>
  <c r="B71" i="32"/>
  <c r="K71" i="39" s="1"/>
  <c r="G70" i="32"/>
  <c r="P70" i="39" s="1"/>
  <c r="F70" i="32"/>
  <c r="O70" i="39" s="1"/>
  <c r="D70" i="32"/>
  <c r="M70" i="39" s="1"/>
  <c r="C70" i="32"/>
  <c r="L70" i="39" s="1"/>
  <c r="B70" i="32"/>
  <c r="K70" i="39" s="1"/>
  <c r="G69" i="32"/>
  <c r="P69" i="39" s="1"/>
  <c r="F69" i="32"/>
  <c r="O69" i="39" s="1"/>
  <c r="D69" i="32"/>
  <c r="M69" i="39" s="1"/>
  <c r="C69" i="32"/>
  <c r="L69" i="39" s="1"/>
  <c r="B69" i="32"/>
  <c r="K69" i="39" s="1"/>
  <c r="G68" i="32"/>
  <c r="P68" i="39" s="1"/>
  <c r="F68" i="32"/>
  <c r="O68" i="39" s="1"/>
  <c r="D68" i="32"/>
  <c r="M68" i="39" s="1"/>
  <c r="C68" i="32"/>
  <c r="L68" i="39" s="1"/>
  <c r="B68" i="32"/>
  <c r="K68" i="39" s="1"/>
  <c r="G67" i="32"/>
  <c r="P67" i="39" s="1"/>
  <c r="F67" i="32"/>
  <c r="O67" i="39" s="1"/>
  <c r="D67" i="32"/>
  <c r="M67" i="39" s="1"/>
  <c r="C67" i="32"/>
  <c r="L67" i="39" s="1"/>
  <c r="B67" i="32"/>
  <c r="K67" i="39" s="1"/>
  <c r="G66" i="32"/>
  <c r="P66" i="39" s="1"/>
  <c r="F66" i="32"/>
  <c r="O66" i="39" s="1"/>
  <c r="D66" i="32"/>
  <c r="M66" i="39" s="1"/>
  <c r="C66" i="32"/>
  <c r="L66" i="39" s="1"/>
  <c r="B66" i="32"/>
  <c r="K66" i="39" s="1"/>
  <c r="G65" i="32"/>
  <c r="P65" i="39" s="1"/>
  <c r="F65" i="32"/>
  <c r="O65" i="39" s="1"/>
  <c r="D65" i="32"/>
  <c r="M65" i="39" s="1"/>
  <c r="C65" i="32"/>
  <c r="L65" i="39" s="1"/>
  <c r="B65" i="32"/>
  <c r="K65" i="39" s="1"/>
  <c r="G64" i="32"/>
  <c r="P64" i="39" s="1"/>
  <c r="F64" i="32"/>
  <c r="O64" i="39" s="1"/>
  <c r="D64" i="32"/>
  <c r="M64" i="39" s="1"/>
  <c r="C64" i="32"/>
  <c r="L64" i="39" s="1"/>
  <c r="B64" i="32"/>
  <c r="K64" i="39" s="1"/>
  <c r="G63" i="32"/>
  <c r="P63" i="39" s="1"/>
  <c r="F63" i="32"/>
  <c r="O63" i="39" s="1"/>
  <c r="D63" i="32"/>
  <c r="M63" i="39" s="1"/>
  <c r="C63" i="32"/>
  <c r="L63" i="39" s="1"/>
  <c r="B63" i="32"/>
  <c r="G62" i="32"/>
  <c r="P62" i="39" s="1"/>
  <c r="F62" i="32"/>
  <c r="O62" i="39" s="1"/>
  <c r="D62" i="32"/>
  <c r="M62" i="39" s="1"/>
  <c r="C62" i="32"/>
  <c r="L62" i="39" s="1"/>
  <c r="B62" i="32"/>
  <c r="K62" i="39" s="1"/>
  <c r="G61" i="32"/>
  <c r="P61" i="39" s="1"/>
  <c r="F61" i="32"/>
  <c r="O61" i="39" s="1"/>
  <c r="D61" i="32"/>
  <c r="M61" i="39" s="1"/>
  <c r="C61" i="32"/>
  <c r="L61" i="39" s="1"/>
  <c r="B61" i="32"/>
  <c r="K61" i="39" s="1"/>
  <c r="G60" i="32"/>
  <c r="P60" i="39" s="1"/>
  <c r="F60" i="32"/>
  <c r="O60" i="39" s="1"/>
  <c r="D60" i="32"/>
  <c r="M60" i="39" s="1"/>
  <c r="C60" i="32"/>
  <c r="L60" i="39" s="1"/>
  <c r="B60" i="32"/>
  <c r="K60" i="39" s="1"/>
  <c r="G59" i="32"/>
  <c r="P59" i="39" s="1"/>
  <c r="F59" i="32"/>
  <c r="O59" i="39" s="1"/>
  <c r="D59" i="32"/>
  <c r="M59" i="39" s="1"/>
  <c r="C59" i="32"/>
  <c r="L59" i="39" s="1"/>
  <c r="B59" i="32"/>
  <c r="K59" i="39" s="1"/>
  <c r="G58" i="32"/>
  <c r="P58" i="39" s="1"/>
  <c r="F58" i="32"/>
  <c r="O58" i="39" s="1"/>
  <c r="D58" i="32"/>
  <c r="M58" i="39" s="1"/>
  <c r="C58" i="32"/>
  <c r="L58" i="39" s="1"/>
  <c r="B58" i="32"/>
  <c r="K58" i="39" s="1"/>
  <c r="G57" i="32"/>
  <c r="P57" i="39" s="1"/>
  <c r="F57" i="32"/>
  <c r="O57" i="39" s="1"/>
  <c r="D57" i="32"/>
  <c r="M57" i="39" s="1"/>
  <c r="C57" i="32"/>
  <c r="L57" i="39" s="1"/>
  <c r="B57" i="32"/>
  <c r="K57" i="39" s="1"/>
  <c r="G56" i="32"/>
  <c r="P56" i="39" s="1"/>
  <c r="F56" i="32"/>
  <c r="O56" i="39" s="1"/>
  <c r="D56" i="32"/>
  <c r="M56" i="39" s="1"/>
  <c r="C56" i="32"/>
  <c r="L56" i="39" s="1"/>
  <c r="B56" i="32"/>
  <c r="K56" i="39" s="1"/>
  <c r="G55" i="32"/>
  <c r="P55" i="39" s="1"/>
  <c r="F55" i="32"/>
  <c r="O55" i="39" s="1"/>
  <c r="D55" i="32"/>
  <c r="M55" i="39" s="1"/>
  <c r="C55" i="32"/>
  <c r="L55" i="39" s="1"/>
  <c r="B55" i="32"/>
  <c r="K55" i="39" s="1"/>
  <c r="G54" i="32"/>
  <c r="P54" i="39" s="1"/>
  <c r="F54" i="32"/>
  <c r="O54" i="39" s="1"/>
  <c r="D54" i="32"/>
  <c r="M54" i="39" s="1"/>
  <c r="C54" i="32"/>
  <c r="L54" i="39" s="1"/>
  <c r="B54" i="32"/>
  <c r="K54" i="39" s="1"/>
  <c r="G53" i="32"/>
  <c r="P53" i="39" s="1"/>
  <c r="F53" i="32"/>
  <c r="O53" i="39" s="1"/>
  <c r="D53" i="32"/>
  <c r="M53" i="39" s="1"/>
  <c r="C53" i="32"/>
  <c r="L53" i="39" s="1"/>
  <c r="B53" i="32"/>
  <c r="K53" i="39" s="1"/>
  <c r="G52" i="32"/>
  <c r="P52" i="39" s="1"/>
  <c r="F52" i="32"/>
  <c r="O52" i="39" s="1"/>
  <c r="D52" i="32"/>
  <c r="M52" i="39" s="1"/>
  <c r="C52" i="32"/>
  <c r="L52" i="39" s="1"/>
  <c r="B52" i="32"/>
  <c r="K52" i="39" s="1"/>
  <c r="G51" i="32"/>
  <c r="P51" i="39" s="1"/>
  <c r="F51" i="32"/>
  <c r="O51" i="39" s="1"/>
  <c r="D51" i="32"/>
  <c r="M51" i="39" s="1"/>
  <c r="C51" i="32"/>
  <c r="L51" i="39" s="1"/>
  <c r="B51" i="32"/>
  <c r="G50" i="32"/>
  <c r="P50" i="39" s="1"/>
  <c r="F50" i="32"/>
  <c r="O50" i="39" s="1"/>
  <c r="D50" i="32"/>
  <c r="M50" i="39" s="1"/>
  <c r="C50" i="32"/>
  <c r="L50" i="39" s="1"/>
  <c r="B50" i="32"/>
  <c r="K50" i="39" s="1"/>
  <c r="G49" i="32"/>
  <c r="P49" i="39" s="1"/>
  <c r="F49" i="32"/>
  <c r="O49" i="39" s="1"/>
  <c r="D49" i="32"/>
  <c r="M49" i="39" s="1"/>
  <c r="C49" i="32"/>
  <c r="L49" i="39" s="1"/>
  <c r="B49" i="32"/>
  <c r="K49" i="39" s="1"/>
  <c r="G48" i="32"/>
  <c r="P48" i="39" s="1"/>
  <c r="F48" i="32"/>
  <c r="O48" i="39" s="1"/>
  <c r="D48" i="32"/>
  <c r="M48" i="39" s="1"/>
  <c r="C48" i="32"/>
  <c r="L48" i="39" s="1"/>
  <c r="B48" i="32"/>
  <c r="K48" i="39" s="1"/>
  <c r="G47" i="32"/>
  <c r="P47" i="39" s="1"/>
  <c r="F47" i="32"/>
  <c r="O47" i="39" s="1"/>
  <c r="D47" i="32"/>
  <c r="M47" i="39" s="1"/>
  <c r="C47" i="32"/>
  <c r="L47" i="39" s="1"/>
  <c r="B47" i="32"/>
  <c r="K47" i="39" s="1"/>
  <c r="G46" i="32"/>
  <c r="P46" i="39" s="1"/>
  <c r="F46" i="32"/>
  <c r="O46" i="39" s="1"/>
  <c r="D46" i="32"/>
  <c r="M46" i="39" s="1"/>
  <c r="C46" i="32"/>
  <c r="L46" i="39" s="1"/>
  <c r="B46" i="32"/>
  <c r="K46" i="39" s="1"/>
  <c r="G45" i="32"/>
  <c r="P45" i="39" s="1"/>
  <c r="F45" i="32"/>
  <c r="O45" i="39" s="1"/>
  <c r="D45" i="32"/>
  <c r="M45" i="39" s="1"/>
  <c r="C45" i="32"/>
  <c r="L45" i="39" s="1"/>
  <c r="B45" i="32"/>
  <c r="K45" i="39" s="1"/>
  <c r="G44" i="32"/>
  <c r="P44" i="39" s="1"/>
  <c r="F44" i="32"/>
  <c r="O44" i="39" s="1"/>
  <c r="D44" i="32"/>
  <c r="M44" i="39" s="1"/>
  <c r="C44" i="32"/>
  <c r="L44" i="39" s="1"/>
  <c r="B44" i="32"/>
  <c r="K44" i="39" s="1"/>
  <c r="G43" i="32"/>
  <c r="P43" i="39" s="1"/>
  <c r="F43" i="32"/>
  <c r="O43" i="39" s="1"/>
  <c r="D43" i="32"/>
  <c r="M43" i="39" s="1"/>
  <c r="C43" i="32"/>
  <c r="L43" i="39" s="1"/>
  <c r="B43" i="32"/>
  <c r="K43" i="39" s="1"/>
  <c r="G42" i="32"/>
  <c r="P42" i="39" s="1"/>
  <c r="F42" i="32"/>
  <c r="O42" i="39" s="1"/>
  <c r="D42" i="32"/>
  <c r="M42" i="39" s="1"/>
  <c r="C42" i="32"/>
  <c r="L42" i="39" s="1"/>
  <c r="B42" i="32"/>
  <c r="G41" i="32"/>
  <c r="P41" i="39" s="1"/>
  <c r="F41" i="32"/>
  <c r="O41" i="39" s="1"/>
  <c r="D41" i="32"/>
  <c r="M41" i="39" s="1"/>
  <c r="C41" i="32"/>
  <c r="L41" i="39" s="1"/>
  <c r="B41" i="32"/>
  <c r="K41" i="39" s="1"/>
  <c r="G40" i="32"/>
  <c r="P40" i="39" s="1"/>
  <c r="F40" i="32"/>
  <c r="O40" i="39" s="1"/>
  <c r="D40" i="32"/>
  <c r="M40" i="39" s="1"/>
  <c r="C40" i="32"/>
  <c r="L40" i="39" s="1"/>
  <c r="B40" i="32"/>
  <c r="K40" i="39" s="1"/>
  <c r="G39" i="32"/>
  <c r="P39" i="39" s="1"/>
  <c r="F39" i="32"/>
  <c r="O39" i="39" s="1"/>
  <c r="D39" i="32"/>
  <c r="M39" i="39" s="1"/>
  <c r="C39" i="32"/>
  <c r="L39" i="39" s="1"/>
  <c r="B39" i="32"/>
  <c r="K39" i="39" s="1"/>
  <c r="G38" i="32"/>
  <c r="P38" i="39" s="1"/>
  <c r="F38" i="32"/>
  <c r="O38" i="39" s="1"/>
  <c r="D38" i="32"/>
  <c r="M38" i="39" s="1"/>
  <c r="C38" i="32"/>
  <c r="L38" i="39" s="1"/>
  <c r="B38" i="32"/>
  <c r="K38" i="39" s="1"/>
  <c r="G37" i="32"/>
  <c r="P37" i="39" s="1"/>
  <c r="F37" i="32"/>
  <c r="O37" i="39" s="1"/>
  <c r="D37" i="32"/>
  <c r="M37" i="39" s="1"/>
  <c r="C37" i="32"/>
  <c r="L37" i="39" s="1"/>
  <c r="B37" i="32"/>
  <c r="K37" i="39" s="1"/>
  <c r="G36" i="32"/>
  <c r="P36" i="39" s="1"/>
  <c r="F36" i="32"/>
  <c r="O36" i="39" s="1"/>
  <c r="D36" i="32"/>
  <c r="M36" i="39" s="1"/>
  <c r="C36" i="32"/>
  <c r="L36" i="39" s="1"/>
  <c r="B36" i="32"/>
  <c r="K36" i="39" s="1"/>
  <c r="G35" i="32"/>
  <c r="P35" i="39" s="1"/>
  <c r="F35" i="32"/>
  <c r="O35" i="39" s="1"/>
  <c r="D35" i="32"/>
  <c r="M35" i="39" s="1"/>
  <c r="C35" i="32"/>
  <c r="L35" i="39" s="1"/>
  <c r="B35" i="32"/>
  <c r="K35" i="39" s="1"/>
  <c r="G34" i="32"/>
  <c r="P34" i="39" s="1"/>
  <c r="F34" i="32"/>
  <c r="O34" i="39" s="1"/>
  <c r="D34" i="32"/>
  <c r="M34" i="39" s="1"/>
  <c r="C34" i="32"/>
  <c r="L34" i="39" s="1"/>
  <c r="B34" i="32"/>
  <c r="K34" i="39" s="1"/>
  <c r="G33" i="32"/>
  <c r="P33" i="39" s="1"/>
  <c r="F33" i="32"/>
  <c r="O33" i="39" s="1"/>
  <c r="D33" i="32"/>
  <c r="M33" i="39" s="1"/>
  <c r="C33" i="32"/>
  <c r="L33" i="39" s="1"/>
  <c r="B33" i="32"/>
  <c r="K33" i="39" s="1"/>
  <c r="G32" i="32"/>
  <c r="P32" i="39" s="1"/>
  <c r="F32" i="32"/>
  <c r="O32" i="39" s="1"/>
  <c r="D32" i="32"/>
  <c r="M32" i="39" s="1"/>
  <c r="C32" i="32"/>
  <c r="L32" i="39" s="1"/>
  <c r="B32" i="32"/>
  <c r="K32" i="39" s="1"/>
  <c r="G31" i="32"/>
  <c r="P31" i="39" s="1"/>
  <c r="F31" i="32"/>
  <c r="O31" i="39" s="1"/>
  <c r="D31" i="32"/>
  <c r="M31" i="39" s="1"/>
  <c r="C31" i="32"/>
  <c r="L31" i="39" s="1"/>
  <c r="B31" i="32"/>
  <c r="K31" i="39" s="1"/>
  <c r="G30" i="32"/>
  <c r="P30" i="39" s="1"/>
  <c r="F30" i="32"/>
  <c r="O30" i="39" s="1"/>
  <c r="D30" i="32"/>
  <c r="M30" i="39" s="1"/>
  <c r="C30" i="32"/>
  <c r="L30" i="39" s="1"/>
  <c r="B30" i="32"/>
  <c r="K30" i="39" s="1"/>
  <c r="G29" i="32"/>
  <c r="P29" i="39" s="1"/>
  <c r="F29" i="32"/>
  <c r="O29" i="39" s="1"/>
  <c r="D29" i="32"/>
  <c r="M29" i="39" s="1"/>
  <c r="C29" i="32"/>
  <c r="L29" i="39" s="1"/>
  <c r="B29" i="32"/>
  <c r="K29" i="39" s="1"/>
  <c r="G28" i="32"/>
  <c r="P28" i="39" s="1"/>
  <c r="F28" i="32"/>
  <c r="O28" i="39" s="1"/>
  <c r="D28" i="32"/>
  <c r="M28" i="39" s="1"/>
  <c r="C28" i="32"/>
  <c r="L28" i="39" s="1"/>
  <c r="B28" i="32"/>
  <c r="K28" i="39" s="1"/>
  <c r="G27" i="32"/>
  <c r="P27" i="39" s="1"/>
  <c r="F27" i="32"/>
  <c r="O27" i="39" s="1"/>
  <c r="D27" i="32"/>
  <c r="M27" i="39" s="1"/>
  <c r="C27" i="32"/>
  <c r="L27" i="39" s="1"/>
  <c r="B27" i="32"/>
  <c r="G26" i="32"/>
  <c r="P26" i="39" s="1"/>
  <c r="F26" i="32"/>
  <c r="O26" i="39" s="1"/>
  <c r="D26" i="32"/>
  <c r="M26" i="39" s="1"/>
  <c r="C26" i="32"/>
  <c r="L26" i="39" s="1"/>
  <c r="B26" i="32"/>
  <c r="K26" i="39" s="1"/>
  <c r="G25" i="32"/>
  <c r="P25" i="39" s="1"/>
  <c r="F25" i="32"/>
  <c r="O25" i="39" s="1"/>
  <c r="D25" i="32"/>
  <c r="M25" i="39" s="1"/>
  <c r="C25" i="32"/>
  <c r="L25" i="39" s="1"/>
  <c r="B25" i="32"/>
  <c r="K25" i="39" s="1"/>
  <c r="G24" i="32"/>
  <c r="P24" i="39" s="1"/>
  <c r="F24" i="32"/>
  <c r="O24" i="39" s="1"/>
  <c r="D24" i="32"/>
  <c r="M24" i="39" s="1"/>
  <c r="C24" i="32"/>
  <c r="L24" i="39" s="1"/>
  <c r="B24" i="32"/>
  <c r="K24" i="39" s="1"/>
  <c r="G23" i="32"/>
  <c r="P23" i="39" s="1"/>
  <c r="F23" i="32"/>
  <c r="O23" i="39" s="1"/>
  <c r="D23" i="32"/>
  <c r="M23" i="39" s="1"/>
  <c r="C23" i="32"/>
  <c r="L23" i="39" s="1"/>
  <c r="B23" i="32"/>
  <c r="K23" i="39" s="1"/>
  <c r="G22" i="32"/>
  <c r="P22" i="39" s="1"/>
  <c r="F22" i="32"/>
  <c r="O22" i="39" s="1"/>
  <c r="D22" i="32"/>
  <c r="M22" i="39" s="1"/>
  <c r="C22" i="32"/>
  <c r="L22" i="39" s="1"/>
  <c r="B22" i="32"/>
  <c r="K22" i="39" s="1"/>
  <c r="G21" i="32"/>
  <c r="P21" i="39" s="1"/>
  <c r="F21" i="32"/>
  <c r="O21" i="39" s="1"/>
  <c r="D21" i="32"/>
  <c r="M21" i="39" s="1"/>
  <c r="C21" i="32"/>
  <c r="L21" i="39" s="1"/>
  <c r="B21" i="32"/>
  <c r="K21" i="39" s="1"/>
  <c r="G20" i="32"/>
  <c r="P20" i="39" s="1"/>
  <c r="F20" i="32"/>
  <c r="O20" i="39" s="1"/>
  <c r="D20" i="32"/>
  <c r="M20" i="39" s="1"/>
  <c r="C20" i="32"/>
  <c r="L20" i="39" s="1"/>
  <c r="B20" i="32"/>
  <c r="K20" i="39" s="1"/>
  <c r="G19" i="32"/>
  <c r="P19" i="39" s="1"/>
  <c r="F19" i="32"/>
  <c r="O19" i="39" s="1"/>
  <c r="D19" i="32"/>
  <c r="M19" i="39" s="1"/>
  <c r="C19" i="32"/>
  <c r="L19" i="39" s="1"/>
  <c r="B19" i="32"/>
  <c r="K19" i="39" s="1"/>
  <c r="G18" i="32"/>
  <c r="P18" i="39" s="1"/>
  <c r="F18" i="32"/>
  <c r="O18" i="39" s="1"/>
  <c r="D18" i="32"/>
  <c r="M18" i="39" s="1"/>
  <c r="C18" i="32"/>
  <c r="L18" i="39" s="1"/>
  <c r="B18" i="32"/>
  <c r="K18" i="39" s="1"/>
  <c r="G17" i="32"/>
  <c r="P17" i="39" s="1"/>
  <c r="F17" i="32"/>
  <c r="O17" i="39" s="1"/>
  <c r="D17" i="32"/>
  <c r="M17" i="39" s="1"/>
  <c r="C17" i="32"/>
  <c r="L17" i="39" s="1"/>
  <c r="B17" i="32"/>
  <c r="K17" i="39" s="1"/>
  <c r="G16" i="32"/>
  <c r="P16" i="39" s="1"/>
  <c r="F16" i="32"/>
  <c r="O16" i="39" s="1"/>
  <c r="D16" i="32"/>
  <c r="M16" i="39" s="1"/>
  <c r="C16" i="32"/>
  <c r="L16" i="39" s="1"/>
  <c r="B16" i="32"/>
  <c r="K16" i="39" s="1"/>
  <c r="G15" i="32"/>
  <c r="P15" i="39" s="1"/>
  <c r="F15" i="32"/>
  <c r="O15" i="39" s="1"/>
  <c r="D15" i="32"/>
  <c r="M15" i="39" s="1"/>
  <c r="C15" i="32"/>
  <c r="L15" i="39" s="1"/>
  <c r="B15" i="32"/>
  <c r="G14" i="32"/>
  <c r="P14" i="39" s="1"/>
  <c r="F14" i="32"/>
  <c r="O14" i="39" s="1"/>
  <c r="D14" i="32"/>
  <c r="M14" i="39" s="1"/>
  <c r="C14" i="32"/>
  <c r="L14" i="39" s="1"/>
  <c r="B14" i="32"/>
  <c r="K14" i="39" s="1"/>
  <c r="G13" i="32"/>
  <c r="P13" i="39" s="1"/>
  <c r="F13" i="32"/>
  <c r="O13" i="39" s="1"/>
  <c r="D13" i="32"/>
  <c r="M13" i="39" s="1"/>
  <c r="C13" i="32"/>
  <c r="L13" i="39" s="1"/>
  <c r="B13" i="32"/>
  <c r="K13" i="39" s="1"/>
  <c r="G12" i="32"/>
  <c r="P12" i="39" s="1"/>
  <c r="F12" i="32"/>
  <c r="O12" i="39" s="1"/>
  <c r="D12" i="32"/>
  <c r="M12" i="39" s="1"/>
  <c r="C12" i="32"/>
  <c r="L12" i="39" s="1"/>
  <c r="B12" i="32"/>
  <c r="K12" i="39" s="1"/>
  <c r="G11" i="32"/>
  <c r="P11" i="39" s="1"/>
  <c r="F11" i="32"/>
  <c r="O11" i="39" s="1"/>
  <c r="D11" i="32"/>
  <c r="M11" i="39" s="1"/>
  <c r="C11" i="32"/>
  <c r="L11" i="39" s="1"/>
  <c r="B11" i="32"/>
  <c r="K11" i="39" s="1"/>
  <c r="G10" i="32"/>
  <c r="P10" i="39" s="1"/>
  <c r="F10" i="32"/>
  <c r="O10" i="39" s="1"/>
  <c r="D10" i="32"/>
  <c r="M10" i="39" s="1"/>
  <c r="C10" i="32"/>
  <c r="L10" i="39" s="1"/>
  <c r="B10" i="32"/>
  <c r="K10" i="39" s="1"/>
  <c r="G9" i="32"/>
  <c r="P9" i="39" s="1"/>
  <c r="F9" i="32"/>
  <c r="O9" i="39" s="1"/>
  <c r="D9" i="32"/>
  <c r="M9" i="39" s="1"/>
  <c r="C9" i="32"/>
  <c r="L9" i="39" s="1"/>
  <c r="B9" i="32"/>
  <c r="K9" i="39" s="1"/>
  <c r="G8" i="32"/>
  <c r="P8" i="39" s="1"/>
  <c r="F8" i="32"/>
  <c r="O8" i="39" s="1"/>
  <c r="D8" i="32"/>
  <c r="M8" i="39" s="1"/>
  <c r="C8" i="32"/>
  <c r="L8" i="39" s="1"/>
  <c r="B8" i="32"/>
  <c r="K8" i="39" s="1"/>
  <c r="G7" i="32"/>
  <c r="P7" i="39" s="1"/>
  <c r="F7" i="32"/>
  <c r="O7" i="39" s="1"/>
  <c r="D7" i="32"/>
  <c r="M7" i="39" s="1"/>
  <c r="C7" i="32"/>
  <c r="L7" i="39" s="1"/>
  <c r="B7" i="32"/>
  <c r="K7" i="39" s="1"/>
  <c r="G6" i="32"/>
  <c r="P6" i="39" s="1"/>
  <c r="F6" i="32"/>
  <c r="O6" i="39" s="1"/>
  <c r="D6" i="32"/>
  <c r="M6" i="39" s="1"/>
  <c r="C6" i="32"/>
  <c r="L6" i="39" s="1"/>
  <c r="B6" i="32"/>
  <c r="G5" i="32"/>
  <c r="P5" i="39" s="1"/>
  <c r="F5" i="32"/>
  <c r="O5" i="39" s="1"/>
  <c r="D5" i="32"/>
  <c r="M5" i="39" s="1"/>
  <c r="C5" i="32"/>
  <c r="L5" i="39" s="1"/>
  <c r="B5" i="32"/>
  <c r="K5" i="39" s="1"/>
  <c r="G4" i="32"/>
  <c r="P4" i="39" s="1"/>
  <c r="F4" i="32"/>
  <c r="O4" i="39" s="1"/>
  <c r="D4" i="32"/>
  <c r="M4" i="39" s="1"/>
  <c r="C4" i="32"/>
  <c r="L4" i="39" s="1"/>
  <c r="B4" i="32"/>
  <c r="K4" i="39" s="1"/>
  <c r="G3" i="32"/>
  <c r="P3" i="39" s="1"/>
  <c r="F3" i="32"/>
  <c r="O3" i="39" s="1"/>
  <c r="D3" i="32"/>
  <c r="M3" i="39" s="1"/>
  <c r="C3" i="32"/>
  <c r="L3" i="39" s="1"/>
  <c r="B3" i="32"/>
  <c r="K3" i="39" s="1"/>
  <c r="E142" i="33" l="1"/>
  <c r="E142" i="32"/>
  <c r="N142" i="39" s="1"/>
  <c r="B215" i="32"/>
  <c r="K63" i="39"/>
  <c r="B217" i="32"/>
  <c r="K87" i="39"/>
  <c r="B219" i="32"/>
  <c r="K111" i="39"/>
  <c r="K123" i="39"/>
  <c r="B220" i="32"/>
  <c r="C221" i="32" s="1"/>
  <c r="D221" i="32" s="1"/>
  <c r="B211" i="32"/>
  <c r="K15" i="39"/>
  <c r="B212" i="32"/>
  <c r="K27" i="39"/>
  <c r="B214" i="32"/>
  <c r="K51" i="39"/>
  <c r="B216" i="32"/>
  <c r="K75" i="39"/>
  <c r="B218" i="32"/>
  <c r="K99" i="39"/>
  <c r="B210" i="32"/>
  <c r="K6" i="39"/>
  <c r="B213" i="32"/>
  <c r="K42" i="39"/>
  <c r="B213" i="33"/>
  <c r="T39" i="39"/>
  <c r="T123" i="39"/>
  <c r="B220" i="33"/>
  <c r="C221" i="33" s="1"/>
  <c r="D221" i="33" s="1"/>
  <c r="E143" i="19"/>
  <c r="E142" i="39"/>
  <c r="E142" i="28"/>
  <c r="E142" i="23"/>
  <c r="E142" i="27"/>
  <c r="E142" i="26"/>
  <c r="E142" i="22"/>
  <c r="O89" i="38"/>
  <c r="R27" i="11"/>
  <c r="B217" i="33"/>
  <c r="B212" i="33"/>
  <c r="B211" i="33"/>
  <c r="B214" i="33"/>
  <c r="B210" i="33"/>
  <c r="E221" i="33" s="1"/>
  <c r="B218" i="33"/>
  <c r="B216" i="33"/>
  <c r="B215" i="33"/>
  <c r="B219" i="33"/>
  <c r="C215" i="32" l="1"/>
  <c r="D215" i="32" s="1"/>
  <c r="E216" i="32"/>
  <c r="E221" i="32"/>
  <c r="E143" i="33"/>
  <c r="E143" i="32"/>
  <c r="N143" i="39" s="1"/>
  <c r="C214" i="32"/>
  <c r="D214" i="32" s="1"/>
  <c r="C216" i="32"/>
  <c r="D216" i="32" s="1"/>
  <c r="C212" i="32"/>
  <c r="D212" i="32" s="1"/>
  <c r="E212" i="32"/>
  <c r="C219" i="33"/>
  <c r="D219" i="33" s="1"/>
  <c r="C213" i="33"/>
  <c r="D213" i="33" s="1"/>
  <c r="C217" i="32"/>
  <c r="D217" i="32" s="1"/>
  <c r="E215" i="32"/>
  <c r="E211" i="32"/>
  <c r="E217" i="32"/>
  <c r="C217" i="33"/>
  <c r="D217" i="33" s="1"/>
  <c r="E214" i="32"/>
  <c r="C218" i="32"/>
  <c r="D218" i="32" s="1"/>
  <c r="E219" i="32"/>
  <c r="E213" i="32"/>
  <c r="C214" i="33"/>
  <c r="D214" i="33" s="1"/>
  <c r="C211" i="32"/>
  <c r="D211" i="32" s="1"/>
  <c r="E218" i="32"/>
  <c r="C213" i="32"/>
  <c r="D213" i="32" s="1"/>
  <c r="C219" i="32"/>
  <c r="D219" i="32" s="1"/>
  <c r="E143" i="39"/>
  <c r="E143" i="28"/>
  <c r="E143" i="23"/>
  <c r="E143" i="27"/>
  <c r="E143" i="26"/>
  <c r="E143" i="22"/>
  <c r="C211" i="33"/>
  <c r="D211" i="33" s="1"/>
  <c r="C215" i="33"/>
  <c r="D215" i="33" s="1"/>
  <c r="C212" i="33"/>
  <c r="D212" i="33" s="1"/>
  <c r="C216" i="33"/>
  <c r="D216" i="33" s="1"/>
  <c r="C218" i="33"/>
  <c r="D218" i="33" s="1"/>
  <c r="E218" i="33"/>
  <c r="E214" i="33"/>
  <c r="E211" i="33"/>
  <c r="E219" i="33"/>
  <c r="E217" i="33"/>
  <c r="E215" i="33"/>
  <c r="E213" i="33"/>
  <c r="E216" i="33"/>
  <c r="E212" i="33"/>
  <c r="E144" i="32" l="1"/>
  <c r="N144" i="39" s="1"/>
  <c r="E144" i="33"/>
  <c r="E145" i="19"/>
  <c r="E144" i="39"/>
  <c r="E144" i="27"/>
  <c r="E144" i="28"/>
  <c r="E144" i="23"/>
  <c r="E144" i="26"/>
  <c r="E144" i="22"/>
  <c r="B219" i="21"/>
  <c r="I16" i="9" s="1"/>
  <c r="B218" i="21"/>
  <c r="I15" i="9" s="1"/>
  <c r="B217" i="21"/>
  <c r="C218" i="21" s="1"/>
  <c r="D218" i="21" s="1"/>
  <c r="B216" i="21"/>
  <c r="B215" i="21"/>
  <c r="C216" i="21" s="1"/>
  <c r="D216" i="21" s="1"/>
  <c r="B214" i="21"/>
  <c r="B213" i="21"/>
  <c r="C214" i="21" s="1"/>
  <c r="D214" i="21" s="1"/>
  <c r="B212" i="21"/>
  <c r="I9" i="9" s="1"/>
  <c r="B211" i="21"/>
  <c r="I8" i="9" s="1"/>
  <c r="B210" i="21"/>
  <c r="B219" i="22"/>
  <c r="J16" i="9" s="1"/>
  <c r="C218" i="22"/>
  <c r="D218" i="22" s="1"/>
  <c r="B218" i="22"/>
  <c r="J15" i="9" s="1"/>
  <c r="B217" i="22"/>
  <c r="C217" i="22" s="1"/>
  <c r="D217" i="22" s="1"/>
  <c r="C216" i="22"/>
  <c r="D216" i="22" s="1"/>
  <c r="B216" i="22"/>
  <c r="B215" i="22"/>
  <c r="C215" i="22" s="1"/>
  <c r="D215" i="22" s="1"/>
  <c r="C214" i="22"/>
  <c r="D214" i="22" s="1"/>
  <c r="B214" i="22"/>
  <c r="B213" i="22"/>
  <c r="C213" i="22" s="1"/>
  <c r="D213" i="22" s="1"/>
  <c r="C212" i="22"/>
  <c r="D212" i="22" s="1"/>
  <c r="B212" i="22"/>
  <c r="B211" i="22"/>
  <c r="B210" i="22"/>
  <c r="C219" i="26"/>
  <c r="D219" i="26" s="1"/>
  <c r="B219" i="26"/>
  <c r="L16" i="9" s="1"/>
  <c r="B218" i="26"/>
  <c r="L15" i="9" s="1"/>
  <c r="E217" i="26"/>
  <c r="B217" i="26"/>
  <c r="E216" i="26"/>
  <c r="C216" i="26"/>
  <c r="D216" i="26" s="1"/>
  <c r="B216" i="26"/>
  <c r="C217" i="26" s="1"/>
  <c r="D217" i="26" s="1"/>
  <c r="B215" i="26"/>
  <c r="C215" i="26" s="1"/>
  <c r="D215" i="26" s="1"/>
  <c r="B214" i="26"/>
  <c r="B213" i="26"/>
  <c r="C213" i="26" s="1"/>
  <c r="D213" i="26" s="1"/>
  <c r="B212" i="26"/>
  <c r="E212" i="26" s="1"/>
  <c r="C211" i="26"/>
  <c r="D211" i="26" s="1"/>
  <c r="B211" i="26"/>
  <c r="B210" i="26"/>
  <c r="E221" i="26" s="1"/>
  <c r="C219" i="23"/>
  <c r="D219" i="23" s="1"/>
  <c r="B219" i="23"/>
  <c r="K16" i="9" s="1"/>
  <c r="B218" i="23"/>
  <c r="K15" i="9" s="1"/>
  <c r="B217" i="23"/>
  <c r="B216" i="23"/>
  <c r="C217" i="23" s="1"/>
  <c r="D217" i="23" s="1"/>
  <c r="B215" i="23"/>
  <c r="C215" i="23" s="1"/>
  <c r="D215" i="23" s="1"/>
  <c r="B214" i="23"/>
  <c r="B213" i="23"/>
  <c r="C214" i="23" s="1"/>
  <c r="D214" i="23" s="1"/>
  <c r="B212" i="23"/>
  <c r="C212" i="23" s="1"/>
  <c r="D212" i="23" s="1"/>
  <c r="B211" i="23"/>
  <c r="C211" i="23" s="1"/>
  <c r="D211" i="23" s="1"/>
  <c r="B210" i="23"/>
  <c r="E221" i="23" s="1"/>
  <c r="B219" i="27"/>
  <c r="M16" i="9" s="1"/>
  <c r="C218" i="27"/>
  <c r="D218" i="27" s="1"/>
  <c r="B218" i="27"/>
  <c r="M15" i="9" s="1"/>
  <c r="B217" i="27"/>
  <c r="C217" i="27" s="1"/>
  <c r="D217" i="27" s="1"/>
  <c r="B216" i="27"/>
  <c r="B215" i="27"/>
  <c r="C215" i="27" s="1"/>
  <c r="D215" i="27" s="1"/>
  <c r="B214" i="27"/>
  <c r="B213" i="27"/>
  <c r="C214" i="27" s="1"/>
  <c r="D214" i="27" s="1"/>
  <c r="B212" i="27"/>
  <c r="B211" i="27"/>
  <c r="C212" i="27" s="1"/>
  <c r="D212" i="27" s="1"/>
  <c r="B210" i="27"/>
  <c r="E221" i="27" s="1"/>
  <c r="B219" i="28"/>
  <c r="O16" i="9" s="1"/>
  <c r="C218" i="28"/>
  <c r="D218" i="28" s="1"/>
  <c r="B218" i="28"/>
  <c r="O15" i="9" s="1"/>
  <c r="B217" i="28"/>
  <c r="C217" i="28" s="1"/>
  <c r="D217" i="28" s="1"/>
  <c r="C216" i="28"/>
  <c r="D216" i="28" s="1"/>
  <c r="B216" i="28"/>
  <c r="B215" i="28"/>
  <c r="C215" i="28" s="1"/>
  <c r="D215" i="28" s="1"/>
  <c r="C214" i="28"/>
  <c r="D214" i="28" s="1"/>
  <c r="B214" i="28"/>
  <c r="B213" i="28"/>
  <c r="B212" i="28"/>
  <c r="C212" i="28" s="1"/>
  <c r="D212" i="28" s="1"/>
  <c r="B211" i="28"/>
  <c r="B210" i="28"/>
  <c r="B219" i="20"/>
  <c r="H16" i="9" s="1"/>
  <c r="B218" i="20"/>
  <c r="H15" i="9" s="1"/>
  <c r="E217" i="20"/>
  <c r="B217" i="20"/>
  <c r="C218" i="20" s="1"/>
  <c r="D218" i="20" s="1"/>
  <c r="B216" i="20"/>
  <c r="C216" i="20" s="1"/>
  <c r="D216" i="20" s="1"/>
  <c r="B215" i="20"/>
  <c r="B214" i="20"/>
  <c r="C215" i="20" s="1"/>
  <c r="D215" i="20" s="1"/>
  <c r="B213" i="20"/>
  <c r="C213" i="20" s="1"/>
  <c r="D213" i="20" s="1"/>
  <c r="E212" i="20"/>
  <c r="B212" i="20"/>
  <c r="B211" i="20"/>
  <c r="C212" i="20" s="1"/>
  <c r="D212" i="20" s="1"/>
  <c r="B210" i="20"/>
  <c r="E221" i="20" s="1"/>
  <c r="F123" i="28"/>
  <c r="G123" i="28"/>
  <c r="F123" i="27"/>
  <c r="G123" i="27"/>
  <c r="F123" i="21"/>
  <c r="G123" i="21"/>
  <c r="G206" i="21"/>
  <c r="F206" i="21"/>
  <c r="G205" i="21"/>
  <c r="F205" i="21"/>
  <c r="G204" i="21"/>
  <c r="F204" i="21"/>
  <c r="G203" i="21"/>
  <c r="F203" i="21"/>
  <c r="G202" i="21"/>
  <c r="F202" i="21"/>
  <c r="G201" i="21"/>
  <c r="F201" i="21"/>
  <c r="G200" i="21"/>
  <c r="F200" i="21"/>
  <c r="G199" i="21"/>
  <c r="F199" i="21"/>
  <c r="G198" i="21"/>
  <c r="F198" i="21"/>
  <c r="G197" i="21"/>
  <c r="F197" i="21"/>
  <c r="G196" i="21"/>
  <c r="F196" i="21"/>
  <c r="G195" i="21"/>
  <c r="F195" i="21"/>
  <c r="G194" i="21"/>
  <c r="F194" i="21"/>
  <c r="G193" i="21"/>
  <c r="F193" i="21"/>
  <c r="G192" i="21"/>
  <c r="F192" i="21"/>
  <c r="G191" i="21"/>
  <c r="F191" i="21"/>
  <c r="G190" i="21"/>
  <c r="F190" i="21"/>
  <c r="G189" i="21"/>
  <c r="F189" i="21"/>
  <c r="G188" i="21"/>
  <c r="F188" i="21"/>
  <c r="G187" i="21"/>
  <c r="F187" i="21"/>
  <c r="G186" i="21"/>
  <c r="F186" i="21"/>
  <c r="G185" i="21"/>
  <c r="F185" i="21"/>
  <c r="G184" i="21"/>
  <c r="F184" i="21"/>
  <c r="G183" i="21"/>
  <c r="F183" i="21"/>
  <c r="G182" i="21"/>
  <c r="F182" i="21"/>
  <c r="G181" i="21"/>
  <c r="F181" i="21"/>
  <c r="G180" i="21"/>
  <c r="F180" i="21"/>
  <c r="G179" i="21"/>
  <c r="F179" i="21"/>
  <c r="G178" i="21"/>
  <c r="F178" i="21"/>
  <c r="G177" i="21"/>
  <c r="F177" i="21"/>
  <c r="G176" i="21"/>
  <c r="F176" i="21"/>
  <c r="G175" i="21"/>
  <c r="F175" i="21"/>
  <c r="G174" i="21"/>
  <c r="F174" i="21"/>
  <c r="G173" i="21"/>
  <c r="F173" i="21"/>
  <c r="G172" i="21"/>
  <c r="F172" i="21"/>
  <c r="G171" i="21"/>
  <c r="F171" i="21"/>
  <c r="G170" i="21"/>
  <c r="F170" i="21"/>
  <c r="G169" i="21"/>
  <c r="F169" i="21"/>
  <c r="G168" i="21"/>
  <c r="F168" i="21"/>
  <c r="G167" i="21"/>
  <c r="F167" i="21"/>
  <c r="G166" i="21"/>
  <c r="F166" i="21"/>
  <c r="G165" i="21"/>
  <c r="F165" i="21"/>
  <c r="G164" i="21"/>
  <c r="F164" i="21"/>
  <c r="G163" i="21"/>
  <c r="F163" i="21"/>
  <c r="G162" i="21"/>
  <c r="F162" i="21"/>
  <c r="G161" i="21"/>
  <c r="F161" i="21"/>
  <c r="G160" i="21"/>
  <c r="F160" i="21"/>
  <c r="G159" i="21"/>
  <c r="F159" i="21"/>
  <c r="G158" i="21"/>
  <c r="F158" i="21"/>
  <c r="G157" i="21"/>
  <c r="F157" i="21"/>
  <c r="G156" i="21"/>
  <c r="F156" i="21"/>
  <c r="G155" i="21"/>
  <c r="F155" i="21"/>
  <c r="G154" i="21"/>
  <c r="F154" i="21"/>
  <c r="G153" i="21"/>
  <c r="F153" i="21"/>
  <c r="G152" i="21"/>
  <c r="F152" i="21"/>
  <c r="G151" i="21"/>
  <c r="F151" i="21"/>
  <c r="G150" i="21"/>
  <c r="F150" i="21"/>
  <c r="G149" i="21"/>
  <c r="F149" i="21"/>
  <c r="G148" i="21"/>
  <c r="F148" i="21"/>
  <c r="G147" i="21"/>
  <c r="F147" i="21"/>
  <c r="G146" i="21"/>
  <c r="F146" i="21"/>
  <c r="G145" i="21"/>
  <c r="F145" i="21"/>
  <c r="G144" i="21"/>
  <c r="F144" i="21"/>
  <c r="G143" i="21"/>
  <c r="F143" i="21"/>
  <c r="G142" i="21"/>
  <c r="F142" i="21"/>
  <c r="G141" i="21"/>
  <c r="F141" i="21"/>
  <c r="G140" i="21"/>
  <c r="F140" i="21"/>
  <c r="G139" i="21"/>
  <c r="F139" i="21"/>
  <c r="G138" i="21"/>
  <c r="F138" i="21"/>
  <c r="G137" i="21"/>
  <c r="F137" i="21"/>
  <c r="G136" i="21"/>
  <c r="F136" i="21"/>
  <c r="G135" i="21"/>
  <c r="F135" i="21"/>
  <c r="G133" i="21"/>
  <c r="F133" i="21"/>
  <c r="G132" i="21"/>
  <c r="F132" i="21"/>
  <c r="G131" i="21"/>
  <c r="F131" i="21"/>
  <c r="G130" i="21"/>
  <c r="F130" i="21"/>
  <c r="G129" i="21"/>
  <c r="F129" i="21"/>
  <c r="G128" i="21"/>
  <c r="F128" i="21"/>
  <c r="G127" i="21"/>
  <c r="F127" i="21"/>
  <c r="G126" i="21"/>
  <c r="F126" i="21"/>
  <c r="G125" i="21"/>
  <c r="F125" i="21"/>
  <c r="G124" i="21"/>
  <c r="F124" i="21"/>
  <c r="G122" i="21"/>
  <c r="F122" i="21"/>
  <c r="G121" i="21"/>
  <c r="F121" i="21"/>
  <c r="G120" i="21"/>
  <c r="F120" i="21"/>
  <c r="G119" i="21"/>
  <c r="F119" i="21"/>
  <c r="G118" i="21"/>
  <c r="F118" i="21"/>
  <c r="G117" i="21"/>
  <c r="F117" i="21"/>
  <c r="G116" i="21"/>
  <c r="F116" i="21"/>
  <c r="G115" i="21"/>
  <c r="F115" i="21"/>
  <c r="G114" i="21"/>
  <c r="F114" i="21"/>
  <c r="G113" i="21"/>
  <c r="F113" i="21"/>
  <c r="G112" i="21"/>
  <c r="F112" i="21"/>
  <c r="G111" i="21"/>
  <c r="F111" i="21"/>
  <c r="G110" i="21"/>
  <c r="F110" i="21"/>
  <c r="G109" i="21"/>
  <c r="F109" i="21"/>
  <c r="G108" i="21"/>
  <c r="F108" i="21"/>
  <c r="G107" i="21"/>
  <c r="F107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5" i="21"/>
  <c r="F5" i="21"/>
  <c r="G4" i="21"/>
  <c r="F4" i="21"/>
  <c r="G206" i="22"/>
  <c r="F206" i="22"/>
  <c r="G205" i="22"/>
  <c r="F205" i="22"/>
  <c r="G204" i="22"/>
  <c r="F204" i="22"/>
  <c r="G203" i="22"/>
  <c r="F203" i="22"/>
  <c r="G202" i="22"/>
  <c r="F202" i="22"/>
  <c r="G201" i="22"/>
  <c r="F201" i="22"/>
  <c r="G200" i="22"/>
  <c r="F200" i="22"/>
  <c r="G199" i="22"/>
  <c r="F199" i="22"/>
  <c r="G198" i="22"/>
  <c r="F198" i="22"/>
  <c r="G197" i="22"/>
  <c r="F197" i="22"/>
  <c r="G196" i="22"/>
  <c r="F196" i="22"/>
  <c r="G195" i="22"/>
  <c r="F195" i="22"/>
  <c r="G194" i="22"/>
  <c r="F194" i="22"/>
  <c r="G193" i="22"/>
  <c r="F193" i="22"/>
  <c r="G192" i="22"/>
  <c r="F192" i="22"/>
  <c r="G191" i="22"/>
  <c r="F191" i="22"/>
  <c r="G190" i="22"/>
  <c r="F190" i="22"/>
  <c r="G189" i="22"/>
  <c r="F189" i="22"/>
  <c r="G188" i="22"/>
  <c r="F188" i="22"/>
  <c r="G187" i="22"/>
  <c r="F187" i="22"/>
  <c r="G186" i="22"/>
  <c r="F186" i="22"/>
  <c r="G185" i="22"/>
  <c r="F185" i="22"/>
  <c r="G184" i="22"/>
  <c r="F184" i="22"/>
  <c r="G183" i="22"/>
  <c r="F183" i="22"/>
  <c r="G182" i="22"/>
  <c r="F182" i="22"/>
  <c r="G181" i="22"/>
  <c r="F181" i="22"/>
  <c r="G180" i="22"/>
  <c r="F180" i="22"/>
  <c r="G179" i="22"/>
  <c r="F179" i="22"/>
  <c r="G178" i="22"/>
  <c r="F178" i="22"/>
  <c r="G177" i="22"/>
  <c r="F177" i="22"/>
  <c r="G176" i="22"/>
  <c r="F176" i="22"/>
  <c r="G175" i="22"/>
  <c r="F175" i="22"/>
  <c r="G174" i="22"/>
  <c r="F174" i="22"/>
  <c r="G173" i="22"/>
  <c r="F173" i="22"/>
  <c r="G172" i="22"/>
  <c r="F172" i="22"/>
  <c r="G171" i="22"/>
  <c r="F171" i="22"/>
  <c r="G170" i="22"/>
  <c r="F170" i="22"/>
  <c r="G169" i="22"/>
  <c r="F169" i="22"/>
  <c r="G168" i="22"/>
  <c r="F168" i="22"/>
  <c r="G167" i="22"/>
  <c r="F167" i="22"/>
  <c r="G166" i="22"/>
  <c r="F166" i="22"/>
  <c r="G165" i="22"/>
  <c r="F165" i="22"/>
  <c r="G164" i="22"/>
  <c r="F164" i="22"/>
  <c r="G163" i="22"/>
  <c r="F163" i="22"/>
  <c r="G162" i="22"/>
  <c r="F162" i="22"/>
  <c r="G161" i="22"/>
  <c r="F161" i="22"/>
  <c r="G160" i="22"/>
  <c r="F160" i="22"/>
  <c r="G159" i="22"/>
  <c r="F159" i="22"/>
  <c r="G158" i="22"/>
  <c r="F158" i="22"/>
  <c r="G157" i="22"/>
  <c r="F157" i="22"/>
  <c r="G156" i="22"/>
  <c r="F156" i="22"/>
  <c r="G155" i="22"/>
  <c r="F155" i="22"/>
  <c r="G154" i="22"/>
  <c r="F154" i="22"/>
  <c r="G153" i="22"/>
  <c r="F153" i="22"/>
  <c r="G152" i="22"/>
  <c r="F152" i="22"/>
  <c r="G151" i="22"/>
  <c r="F151" i="22"/>
  <c r="G150" i="22"/>
  <c r="F150" i="22"/>
  <c r="G149" i="22"/>
  <c r="F149" i="22"/>
  <c r="G148" i="22"/>
  <c r="F148" i="22"/>
  <c r="G147" i="22"/>
  <c r="F147" i="22"/>
  <c r="G146" i="22"/>
  <c r="F146" i="22"/>
  <c r="G145" i="22"/>
  <c r="F145" i="22"/>
  <c r="G144" i="22"/>
  <c r="F144" i="22"/>
  <c r="G143" i="22"/>
  <c r="F143" i="22"/>
  <c r="G142" i="22"/>
  <c r="F142" i="22"/>
  <c r="G141" i="22"/>
  <c r="F141" i="22"/>
  <c r="G140" i="22"/>
  <c r="F140" i="22"/>
  <c r="G139" i="22"/>
  <c r="F139" i="22"/>
  <c r="G138" i="22"/>
  <c r="F138" i="22"/>
  <c r="G137" i="22"/>
  <c r="F137" i="22"/>
  <c r="G136" i="22"/>
  <c r="F136" i="22"/>
  <c r="G135" i="22"/>
  <c r="F135" i="22"/>
  <c r="G133" i="22"/>
  <c r="F133" i="22"/>
  <c r="G132" i="22"/>
  <c r="F132" i="22"/>
  <c r="G131" i="22"/>
  <c r="F131" i="22"/>
  <c r="G130" i="22"/>
  <c r="F130" i="22"/>
  <c r="G129" i="22"/>
  <c r="F129" i="22"/>
  <c r="G128" i="22"/>
  <c r="F128" i="22"/>
  <c r="G127" i="22"/>
  <c r="F127" i="22"/>
  <c r="G126" i="22"/>
  <c r="F126" i="22"/>
  <c r="G125" i="22"/>
  <c r="F125" i="22"/>
  <c r="G124" i="22"/>
  <c r="F124" i="22"/>
  <c r="G123" i="22"/>
  <c r="F123" i="22"/>
  <c r="G122" i="22"/>
  <c r="F122" i="22"/>
  <c r="G121" i="22"/>
  <c r="F121" i="22"/>
  <c r="G120" i="22"/>
  <c r="F120" i="22"/>
  <c r="G119" i="22"/>
  <c r="F119" i="22"/>
  <c r="G118" i="22"/>
  <c r="F118" i="22"/>
  <c r="G117" i="22"/>
  <c r="F117" i="22"/>
  <c r="G116" i="22"/>
  <c r="F116" i="22"/>
  <c r="G115" i="22"/>
  <c r="F115" i="22"/>
  <c r="G114" i="22"/>
  <c r="F114" i="22"/>
  <c r="G113" i="22"/>
  <c r="F113" i="22"/>
  <c r="G112" i="22"/>
  <c r="F112" i="22"/>
  <c r="G111" i="22"/>
  <c r="F111" i="22"/>
  <c r="G110" i="22"/>
  <c r="F110" i="22"/>
  <c r="G109" i="22"/>
  <c r="F109" i="22"/>
  <c r="G108" i="22"/>
  <c r="F108" i="22"/>
  <c r="G107" i="22"/>
  <c r="F107" i="22"/>
  <c r="G106" i="22"/>
  <c r="F106" i="22"/>
  <c r="G105" i="22"/>
  <c r="F105" i="22"/>
  <c r="G104" i="22"/>
  <c r="F104" i="22"/>
  <c r="G103" i="22"/>
  <c r="F103" i="22"/>
  <c r="G102" i="22"/>
  <c r="F102" i="22"/>
  <c r="G101" i="22"/>
  <c r="F101" i="22"/>
  <c r="G100" i="22"/>
  <c r="F100" i="22"/>
  <c r="G99" i="22"/>
  <c r="F99" i="22"/>
  <c r="G98" i="22"/>
  <c r="F98" i="22"/>
  <c r="G97" i="22"/>
  <c r="F97" i="22"/>
  <c r="G96" i="22"/>
  <c r="F96" i="22"/>
  <c r="G95" i="22"/>
  <c r="F95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G86" i="22"/>
  <c r="F86" i="22"/>
  <c r="G85" i="22"/>
  <c r="F85" i="22"/>
  <c r="G84" i="22"/>
  <c r="F84" i="22"/>
  <c r="G83" i="22"/>
  <c r="F83" i="22"/>
  <c r="G82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2" i="22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G21" i="22"/>
  <c r="F21" i="22"/>
  <c r="G20" i="22"/>
  <c r="F20" i="22"/>
  <c r="G19" i="22"/>
  <c r="F19" i="22"/>
  <c r="G18" i="22"/>
  <c r="F18" i="22"/>
  <c r="G17" i="22"/>
  <c r="F17" i="22"/>
  <c r="G16" i="22"/>
  <c r="F16" i="22"/>
  <c r="G15" i="22"/>
  <c r="F15" i="22"/>
  <c r="G14" i="22"/>
  <c r="F14" i="22"/>
  <c r="G13" i="22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5" i="22"/>
  <c r="F5" i="22"/>
  <c r="G4" i="22"/>
  <c r="F4" i="22"/>
  <c r="G206" i="26"/>
  <c r="F206" i="26"/>
  <c r="G205" i="26"/>
  <c r="F205" i="26"/>
  <c r="G204" i="26"/>
  <c r="F204" i="26"/>
  <c r="G203" i="26"/>
  <c r="F203" i="26"/>
  <c r="G202" i="26"/>
  <c r="F202" i="26"/>
  <c r="G201" i="26"/>
  <c r="F201" i="26"/>
  <c r="G200" i="26"/>
  <c r="F200" i="26"/>
  <c r="G199" i="26"/>
  <c r="F199" i="26"/>
  <c r="G198" i="26"/>
  <c r="F198" i="26"/>
  <c r="G197" i="26"/>
  <c r="F197" i="26"/>
  <c r="G196" i="26"/>
  <c r="F196" i="26"/>
  <c r="G195" i="26"/>
  <c r="F195" i="26"/>
  <c r="G194" i="26"/>
  <c r="F194" i="26"/>
  <c r="G193" i="26"/>
  <c r="F193" i="26"/>
  <c r="G192" i="26"/>
  <c r="F192" i="26"/>
  <c r="G191" i="26"/>
  <c r="F191" i="26"/>
  <c r="G190" i="26"/>
  <c r="F190" i="26"/>
  <c r="G189" i="26"/>
  <c r="F189" i="26"/>
  <c r="G188" i="26"/>
  <c r="F188" i="26"/>
  <c r="G187" i="26"/>
  <c r="F187" i="26"/>
  <c r="G186" i="26"/>
  <c r="F186" i="26"/>
  <c r="G185" i="26"/>
  <c r="F185" i="26"/>
  <c r="G184" i="26"/>
  <c r="F184" i="26"/>
  <c r="G183" i="26"/>
  <c r="F183" i="26"/>
  <c r="G182" i="26"/>
  <c r="F182" i="26"/>
  <c r="G181" i="26"/>
  <c r="F181" i="26"/>
  <c r="G180" i="26"/>
  <c r="F180" i="26"/>
  <c r="G179" i="26"/>
  <c r="F179" i="26"/>
  <c r="G178" i="26"/>
  <c r="F178" i="26"/>
  <c r="G177" i="26"/>
  <c r="F177" i="26"/>
  <c r="G176" i="26"/>
  <c r="F176" i="26"/>
  <c r="G175" i="26"/>
  <c r="F175" i="26"/>
  <c r="G174" i="26"/>
  <c r="F174" i="26"/>
  <c r="G173" i="26"/>
  <c r="F173" i="26"/>
  <c r="G172" i="26"/>
  <c r="F172" i="26"/>
  <c r="G171" i="26"/>
  <c r="F171" i="26"/>
  <c r="G170" i="26"/>
  <c r="F170" i="26"/>
  <c r="G169" i="26"/>
  <c r="F169" i="26"/>
  <c r="G168" i="26"/>
  <c r="F168" i="26"/>
  <c r="G167" i="26"/>
  <c r="F167" i="26"/>
  <c r="G166" i="26"/>
  <c r="F166" i="26"/>
  <c r="G165" i="26"/>
  <c r="F165" i="26"/>
  <c r="G164" i="26"/>
  <c r="F164" i="26"/>
  <c r="G163" i="26"/>
  <c r="F163" i="26"/>
  <c r="G162" i="26"/>
  <c r="F162" i="26"/>
  <c r="G161" i="26"/>
  <c r="F161" i="26"/>
  <c r="G160" i="26"/>
  <c r="F160" i="26"/>
  <c r="G159" i="26"/>
  <c r="F159" i="26"/>
  <c r="G158" i="26"/>
  <c r="F158" i="26"/>
  <c r="G157" i="26"/>
  <c r="F157" i="26"/>
  <c r="G156" i="26"/>
  <c r="F156" i="26"/>
  <c r="G155" i="26"/>
  <c r="F155" i="26"/>
  <c r="G154" i="26"/>
  <c r="F154" i="26"/>
  <c r="G153" i="26"/>
  <c r="F153" i="26"/>
  <c r="G152" i="26"/>
  <c r="F152" i="26"/>
  <c r="G151" i="26"/>
  <c r="F151" i="26"/>
  <c r="G150" i="26"/>
  <c r="F150" i="26"/>
  <c r="G149" i="26"/>
  <c r="F149" i="26"/>
  <c r="G148" i="26"/>
  <c r="F148" i="26"/>
  <c r="G147" i="26"/>
  <c r="F147" i="26"/>
  <c r="G146" i="26"/>
  <c r="F146" i="26"/>
  <c r="G145" i="26"/>
  <c r="F145" i="26"/>
  <c r="G144" i="26"/>
  <c r="F144" i="26"/>
  <c r="G143" i="26"/>
  <c r="F143" i="26"/>
  <c r="G142" i="26"/>
  <c r="F142" i="26"/>
  <c r="G141" i="26"/>
  <c r="F141" i="26"/>
  <c r="G140" i="26"/>
  <c r="F140" i="26"/>
  <c r="G139" i="26"/>
  <c r="F139" i="26"/>
  <c r="G138" i="26"/>
  <c r="F138" i="26"/>
  <c r="G137" i="26"/>
  <c r="F137" i="26"/>
  <c r="G136" i="26"/>
  <c r="F136" i="26"/>
  <c r="G135" i="26"/>
  <c r="F135" i="26"/>
  <c r="G133" i="26"/>
  <c r="F133" i="26"/>
  <c r="G132" i="26"/>
  <c r="F132" i="26"/>
  <c r="G131" i="26"/>
  <c r="F131" i="26"/>
  <c r="G130" i="26"/>
  <c r="F130" i="26"/>
  <c r="G129" i="26"/>
  <c r="F129" i="26"/>
  <c r="G128" i="26"/>
  <c r="F128" i="26"/>
  <c r="G127" i="26"/>
  <c r="F127" i="26"/>
  <c r="G126" i="26"/>
  <c r="F126" i="26"/>
  <c r="G125" i="26"/>
  <c r="F125" i="26"/>
  <c r="G124" i="26"/>
  <c r="F124" i="26"/>
  <c r="G123" i="26"/>
  <c r="F123" i="26"/>
  <c r="G122" i="26"/>
  <c r="F122" i="26"/>
  <c r="G121" i="26"/>
  <c r="F121" i="26"/>
  <c r="G120" i="26"/>
  <c r="F120" i="26"/>
  <c r="G119" i="26"/>
  <c r="F119" i="26"/>
  <c r="G118" i="26"/>
  <c r="F118" i="26"/>
  <c r="G117" i="26"/>
  <c r="F117" i="26"/>
  <c r="G116" i="26"/>
  <c r="F116" i="26"/>
  <c r="G115" i="26"/>
  <c r="F115" i="26"/>
  <c r="G114" i="26"/>
  <c r="F114" i="26"/>
  <c r="G113" i="26"/>
  <c r="F113" i="26"/>
  <c r="G112" i="26"/>
  <c r="F112" i="26"/>
  <c r="G111" i="26"/>
  <c r="F111" i="26"/>
  <c r="G110" i="26"/>
  <c r="F110" i="26"/>
  <c r="G109" i="26"/>
  <c r="F109" i="26"/>
  <c r="G108" i="26"/>
  <c r="F108" i="26"/>
  <c r="G107" i="26"/>
  <c r="F107" i="26"/>
  <c r="G106" i="26"/>
  <c r="F106" i="26"/>
  <c r="G105" i="26"/>
  <c r="F105" i="26"/>
  <c r="G104" i="26"/>
  <c r="F104" i="26"/>
  <c r="G103" i="26"/>
  <c r="F103" i="26"/>
  <c r="G102" i="26"/>
  <c r="F102" i="26"/>
  <c r="G101" i="26"/>
  <c r="F101" i="26"/>
  <c r="G100" i="26"/>
  <c r="F100" i="26"/>
  <c r="G99" i="26"/>
  <c r="F99" i="26"/>
  <c r="G98" i="26"/>
  <c r="F98" i="26"/>
  <c r="G97" i="26"/>
  <c r="F97" i="26"/>
  <c r="G96" i="26"/>
  <c r="F96" i="26"/>
  <c r="G95" i="26"/>
  <c r="F95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G88" i="26"/>
  <c r="F88" i="26"/>
  <c r="G87" i="26"/>
  <c r="F87" i="26"/>
  <c r="G86" i="26"/>
  <c r="F86" i="26"/>
  <c r="G85" i="26"/>
  <c r="F85" i="26"/>
  <c r="G84" i="26"/>
  <c r="F84" i="26"/>
  <c r="G83" i="26"/>
  <c r="F83" i="26"/>
  <c r="G82" i="26"/>
  <c r="F82" i="26"/>
  <c r="G81" i="26"/>
  <c r="F81" i="26"/>
  <c r="G80" i="26"/>
  <c r="F80" i="26"/>
  <c r="G79" i="26"/>
  <c r="F79" i="26"/>
  <c r="G78" i="26"/>
  <c r="F78" i="26"/>
  <c r="G77" i="26"/>
  <c r="F77" i="26"/>
  <c r="G76" i="26"/>
  <c r="F76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G67" i="26"/>
  <c r="F67" i="26"/>
  <c r="G66" i="26"/>
  <c r="F66" i="26"/>
  <c r="G65" i="26"/>
  <c r="F65" i="26"/>
  <c r="G64" i="26"/>
  <c r="F64" i="26"/>
  <c r="G63" i="26"/>
  <c r="F63" i="26"/>
  <c r="G62" i="26"/>
  <c r="F62" i="26"/>
  <c r="G61" i="26"/>
  <c r="F61" i="26"/>
  <c r="G60" i="26"/>
  <c r="F60" i="26"/>
  <c r="G59" i="26"/>
  <c r="F59" i="26"/>
  <c r="G58" i="26"/>
  <c r="F58" i="26"/>
  <c r="G57" i="26"/>
  <c r="F57" i="26"/>
  <c r="G56" i="26"/>
  <c r="F56" i="26"/>
  <c r="G55" i="26"/>
  <c r="F55" i="26"/>
  <c r="G54" i="26"/>
  <c r="F54" i="26"/>
  <c r="G53" i="26"/>
  <c r="F53" i="26"/>
  <c r="G52" i="26"/>
  <c r="F52" i="26"/>
  <c r="G51" i="26"/>
  <c r="F51" i="26"/>
  <c r="G50" i="26"/>
  <c r="F50" i="26"/>
  <c r="G49" i="26"/>
  <c r="F49" i="26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9" i="26"/>
  <c r="F39" i="26"/>
  <c r="G38" i="26"/>
  <c r="F38" i="26"/>
  <c r="G37" i="26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F27" i="26"/>
  <c r="G26" i="26"/>
  <c r="F26" i="26"/>
  <c r="G25" i="26"/>
  <c r="F25" i="26"/>
  <c r="G24" i="26"/>
  <c r="F24" i="26"/>
  <c r="G23" i="26"/>
  <c r="F23" i="26"/>
  <c r="G22" i="26"/>
  <c r="F22" i="26"/>
  <c r="G21" i="26"/>
  <c r="F21" i="26"/>
  <c r="G20" i="26"/>
  <c r="F20" i="26"/>
  <c r="G19" i="26"/>
  <c r="F19" i="26"/>
  <c r="G18" i="26"/>
  <c r="F18" i="26"/>
  <c r="G17" i="26"/>
  <c r="F17" i="26"/>
  <c r="G16" i="26"/>
  <c r="F16" i="26"/>
  <c r="G15" i="26"/>
  <c r="F15" i="26"/>
  <c r="G14" i="26"/>
  <c r="F14" i="26"/>
  <c r="G13" i="26"/>
  <c r="F13" i="26"/>
  <c r="G12" i="26"/>
  <c r="F12" i="26"/>
  <c r="G11" i="26"/>
  <c r="F11" i="26"/>
  <c r="G10" i="26"/>
  <c r="F10" i="26"/>
  <c r="G9" i="26"/>
  <c r="F9" i="26"/>
  <c r="G8" i="26"/>
  <c r="F8" i="26"/>
  <c r="G7" i="26"/>
  <c r="F7" i="26"/>
  <c r="G6" i="26"/>
  <c r="F6" i="26"/>
  <c r="G5" i="26"/>
  <c r="F5" i="26"/>
  <c r="G4" i="26"/>
  <c r="F4" i="26"/>
  <c r="G206" i="23"/>
  <c r="F206" i="23"/>
  <c r="G205" i="23"/>
  <c r="F205" i="23"/>
  <c r="G204" i="23"/>
  <c r="F204" i="23"/>
  <c r="G203" i="23"/>
  <c r="F203" i="23"/>
  <c r="G202" i="23"/>
  <c r="F202" i="23"/>
  <c r="G201" i="23"/>
  <c r="F201" i="23"/>
  <c r="G200" i="23"/>
  <c r="F200" i="23"/>
  <c r="G199" i="23"/>
  <c r="F199" i="23"/>
  <c r="G198" i="23"/>
  <c r="F198" i="23"/>
  <c r="G197" i="23"/>
  <c r="F197" i="23"/>
  <c r="G196" i="23"/>
  <c r="F196" i="23"/>
  <c r="G195" i="23"/>
  <c r="F195" i="23"/>
  <c r="G194" i="23"/>
  <c r="F194" i="23"/>
  <c r="G193" i="23"/>
  <c r="F193" i="23"/>
  <c r="G192" i="23"/>
  <c r="F192" i="23"/>
  <c r="G191" i="23"/>
  <c r="F191" i="23"/>
  <c r="G190" i="23"/>
  <c r="F190" i="23"/>
  <c r="G189" i="23"/>
  <c r="F189" i="23"/>
  <c r="G188" i="23"/>
  <c r="F188" i="23"/>
  <c r="G187" i="23"/>
  <c r="F187" i="23"/>
  <c r="G186" i="23"/>
  <c r="F186" i="23"/>
  <c r="G185" i="23"/>
  <c r="F185" i="23"/>
  <c r="G184" i="23"/>
  <c r="F184" i="23"/>
  <c r="G183" i="23"/>
  <c r="F183" i="23"/>
  <c r="G182" i="23"/>
  <c r="F182" i="23"/>
  <c r="G181" i="23"/>
  <c r="F181" i="23"/>
  <c r="G180" i="23"/>
  <c r="F180" i="23"/>
  <c r="G179" i="23"/>
  <c r="F179" i="23"/>
  <c r="G178" i="23"/>
  <c r="F178" i="23"/>
  <c r="G177" i="23"/>
  <c r="F177" i="23"/>
  <c r="G176" i="23"/>
  <c r="F176" i="23"/>
  <c r="G175" i="23"/>
  <c r="F175" i="23"/>
  <c r="G174" i="23"/>
  <c r="F174" i="23"/>
  <c r="G173" i="23"/>
  <c r="F173" i="23"/>
  <c r="G172" i="23"/>
  <c r="F172" i="23"/>
  <c r="G171" i="23"/>
  <c r="F171" i="23"/>
  <c r="G170" i="23"/>
  <c r="F170" i="23"/>
  <c r="G169" i="23"/>
  <c r="F169" i="23"/>
  <c r="G168" i="23"/>
  <c r="F168" i="23"/>
  <c r="G167" i="23"/>
  <c r="F167" i="23"/>
  <c r="G166" i="23"/>
  <c r="F166" i="23"/>
  <c r="G165" i="23"/>
  <c r="F165" i="23"/>
  <c r="G164" i="23"/>
  <c r="F164" i="23"/>
  <c r="G163" i="23"/>
  <c r="F163" i="23"/>
  <c r="G162" i="23"/>
  <c r="F162" i="23"/>
  <c r="G161" i="23"/>
  <c r="F161" i="23"/>
  <c r="G160" i="23"/>
  <c r="F160" i="23"/>
  <c r="G159" i="23"/>
  <c r="F159" i="23"/>
  <c r="G158" i="23"/>
  <c r="F158" i="23"/>
  <c r="G157" i="23"/>
  <c r="F157" i="23"/>
  <c r="G156" i="23"/>
  <c r="F156" i="23"/>
  <c r="G155" i="23"/>
  <c r="F155" i="23"/>
  <c r="G154" i="23"/>
  <c r="F154" i="23"/>
  <c r="G153" i="23"/>
  <c r="F153" i="23"/>
  <c r="G152" i="23"/>
  <c r="F152" i="23"/>
  <c r="G151" i="23"/>
  <c r="F151" i="23"/>
  <c r="G150" i="23"/>
  <c r="F150" i="23"/>
  <c r="G149" i="23"/>
  <c r="F149" i="23"/>
  <c r="G148" i="23"/>
  <c r="F148" i="23"/>
  <c r="G147" i="23"/>
  <c r="F147" i="23"/>
  <c r="G146" i="23"/>
  <c r="F146" i="23"/>
  <c r="G145" i="23"/>
  <c r="F145" i="23"/>
  <c r="G144" i="23"/>
  <c r="F144" i="23"/>
  <c r="G143" i="23"/>
  <c r="F143" i="23"/>
  <c r="G142" i="23"/>
  <c r="F142" i="23"/>
  <c r="G141" i="23"/>
  <c r="F141" i="23"/>
  <c r="G140" i="23"/>
  <c r="F140" i="23"/>
  <c r="G139" i="23"/>
  <c r="F139" i="23"/>
  <c r="G138" i="23"/>
  <c r="F138" i="23"/>
  <c r="G137" i="23"/>
  <c r="F137" i="23"/>
  <c r="G136" i="23"/>
  <c r="F136" i="23"/>
  <c r="G135" i="23"/>
  <c r="F135" i="23"/>
  <c r="G133" i="23"/>
  <c r="F133" i="23"/>
  <c r="G132" i="23"/>
  <c r="F132" i="23"/>
  <c r="G131" i="23"/>
  <c r="F131" i="23"/>
  <c r="G130" i="23"/>
  <c r="F130" i="23"/>
  <c r="G129" i="23"/>
  <c r="F129" i="23"/>
  <c r="G128" i="23"/>
  <c r="F128" i="23"/>
  <c r="G127" i="23"/>
  <c r="F127" i="23"/>
  <c r="G126" i="23"/>
  <c r="F126" i="23"/>
  <c r="G125" i="23"/>
  <c r="F125" i="23"/>
  <c r="G124" i="23"/>
  <c r="F124" i="23"/>
  <c r="G123" i="23"/>
  <c r="F123" i="23"/>
  <c r="G122" i="23"/>
  <c r="F122" i="23"/>
  <c r="G121" i="23"/>
  <c r="F121" i="23"/>
  <c r="G120" i="23"/>
  <c r="F120" i="23"/>
  <c r="G119" i="23"/>
  <c r="F119" i="23"/>
  <c r="G118" i="23"/>
  <c r="F118" i="23"/>
  <c r="G117" i="23"/>
  <c r="F117" i="23"/>
  <c r="G116" i="23"/>
  <c r="F116" i="23"/>
  <c r="G115" i="23"/>
  <c r="F115" i="23"/>
  <c r="G114" i="23"/>
  <c r="F114" i="23"/>
  <c r="G113" i="23"/>
  <c r="F113" i="23"/>
  <c r="G112" i="23"/>
  <c r="F112" i="23"/>
  <c r="G111" i="23"/>
  <c r="F111" i="23"/>
  <c r="G110" i="23"/>
  <c r="F110" i="23"/>
  <c r="G109" i="23"/>
  <c r="F109" i="23"/>
  <c r="G108" i="23"/>
  <c r="F108" i="23"/>
  <c r="G107" i="23"/>
  <c r="F107" i="23"/>
  <c r="G106" i="23"/>
  <c r="F106" i="23"/>
  <c r="G105" i="23"/>
  <c r="F105" i="23"/>
  <c r="G104" i="23"/>
  <c r="F104" i="23"/>
  <c r="G103" i="23"/>
  <c r="F103" i="23"/>
  <c r="G102" i="23"/>
  <c r="F102" i="23"/>
  <c r="G101" i="23"/>
  <c r="F101" i="23"/>
  <c r="G100" i="23"/>
  <c r="F100" i="23"/>
  <c r="G99" i="23"/>
  <c r="F99" i="23"/>
  <c r="G98" i="23"/>
  <c r="F98" i="23"/>
  <c r="G97" i="23"/>
  <c r="F97" i="23"/>
  <c r="G96" i="23"/>
  <c r="F96" i="23"/>
  <c r="G95" i="23"/>
  <c r="F95" i="23"/>
  <c r="G94" i="23"/>
  <c r="F94" i="23"/>
  <c r="G93" i="23"/>
  <c r="F93" i="23"/>
  <c r="G92" i="23"/>
  <c r="F92" i="23"/>
  <c r="G91" i="23"/>
  <c r="F91" i="23"/>
  <c r="G90" i="23"/>
  <c r="F90" i="23"/>
  <c r="G89" i="23"/>
  <c r="F89" i="23"/>
  <c r="G88" i="23"/>
  <c r="F88" i="23"/>
  <c r="G87" i="23"/>
  <c r="F87" i="23"/>
  <c r="G86" i="23"/>
  <c r="F86" i="23"/>
  <c r="G85" i="23"/>
  <c r="F85" i="23"/>
  <c r="G84" i="23"/>
  <c r="F84" i="23"/>
  <c r="G83" i="23"/>
  <c r="F83" i="23"/>
  <c r="G82" i="23"/>
  <c r="F82" i="23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G71" i="23"/>
  <c r="F71" i="23"/>
  <c r="G70" i="23"/>
  <c r="F70" i="23"/>
  <c r="G69" i="23"/>
  <c r="F69" i="23"/>
  <c r="G68" i="23"/>
  <c r="F68" i="23"/>
  <c r="G67" i="23"/>
  <c r="F67" i="23"/>
  <c r="G66" i="23"/>
  <c r="F66" i="23"/>
  <c r="G65" i="23"/>
  <c r="F65" i="23"/>
  <c r="G64" i="23"/>
  <c r="F64" i="23"/>
  <c r="G63" i="23"/>
  <c r="F63" i="23"/>
  <c r="G62" i="23"/>
  <c r="F62" i="23"/>
  <c r="G61" i="23"/>
  <c r="F61" i="23"/>
  <c r="G60" i="23"/>
  <c r="F60" i="23"/>
  <c r="G59" i="23"/>
  <c r="F59" i="23"/>
  <c r="G58" i="23"/>
  <c r="F58" i="23"/>
  <c r="G57" i="23"/>
  <c r="F57" i="23"/>
  <c r="G56" i="23"/>
  <c r="F56" i="23"/>
  <c r="G55" i="23"/>
  <c r="F55" i="23"/>
  <c r="G54" i="23"/>
  <c r="F54" i="23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G46" i="23"/>
  <c r="F46" i="23"/>
  <c r="G45" i="23"/>
  <c r="F45" i="23"/>
  <c r="G44" i="23"/>
  <c r="F44" i="23"/>
  <c r="G43" i="23"/>
  <c r="F43" i="23"/>
  <c r="G42" i="23"/>
  <c r="F42" i="23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F32" i="23"/>
  <c r="G31" i="23"/>
  <c r="F31" i="23"/>
  <c r="G30" i="23"/>
  <c r="F30" i="23"/>
  <c r="G29" i="23"/>
  <c r="F29" i="23"/>
  <c r="G28" i="23"/>
  <c r="F28" i="23"/>
  <c r="G27" i="23"/>
  <c r="F27" i="23"/>
  <c r="G26" i="23"/>
  <c r="F26" i="23"/>
  <c r="G25" i="23"/>
  <c r="F25" i="23"/>
  <c r="G24" i="23"/>
  <c r="F24" i="23"/>
  <c r="G23" i="23"/>
  <c r="F23" i="23"/>
  <c r="G22" i="23"/>
  <c r="F22" i="23"/>
  <c r="G21" i="23"/>
  <c r="F21" i="23"/>
  <c r="G20" i="23"/>
  <c r="F20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G13" i="23"/>
  <c r="F13" i="23"/>
  <c r="G12" i="23"/>
  <c r="F12" i="23"/>
  <c r="G11" i="23"/>
  <c r="F11" i="23"/>
  <c r="G10" i="23"/>
  <c r="F10" i="23"/>
  <c r="G9" i="23"/>
  <c r="F9" i="23"/>
  <c r="G8" i="23"/>
  <c r="F8" i="23"/>
  <c r="G7" i="23"/>
  <c r="F7" i="23"/>
  <c r="G6" i="23"/>
  <c r="F6" i="23"/>
  <c r="G5" i="23"/>
  <c r="F5" i="23"/>
  <c r="G4" i="23"/>
  <c r="F4" i="23"/>
  <c r="G206" i="27"/>
  <c r="F206" i="27"/>
  <c r="G205" i="27"/>
  <c r="F205" i="27"/>
  <c r="G204" i="27"/>
  <c r="F204" i="27"/>
  <c r="G203" i="27"/>
  <c r="F203" i="27"/>
  <c r="G202" i="27"/>
  <c r="F202" i="27"/>
  <c r="G201" i="27"/>
  <c r="F201" i="27"/>
  <c r="G200" i="27"/>
  <c r="F200" i="27"/>
  <c r="G199" i="27"/>
  <c r="F199" i="27"/>
  <c r="G198" i="27"/>
  <c r="F198" i="27"/>
  <c r="G197" i="27"/>
  <c r="F197" i="27"/>
  <c r="G196" i="27"/>
  <c r="F196" i="27"/>
  <c r="G195" i="27"/>
  <c r="F195" i="27"/>
  <c r="G194" i="27"/>
  <c r="F194" i="27"/>
  <c r="G193" i="27"/>
  <c r="F193" i="27"/>
  <c r="G192" i="27"/>
  <c r="F192" i="27"/>
  <c r="G191" i="27"/>
  <c r="F191" i="27"/>
  <c r="G190" i="27"/>
  <c r="F190" i="27"/>
  <c r="G189" i="27"/>
  <c r="F189" i="27"/>
  <c r="G188" i="27"/>
  <c r="F188" i="27"/>
  <c r="G187" i="27"/>
  <c r="F187" i="27"/>
  <c r="G186" i="27"/>
  <c r="F186" i="27"/>
  <c r="G185" i="27"/>
  <c r="F185" i="27"/>
  <c r="G184" i="27"/>
  <c r="F184" i="27"/>
  <c r="G183" i="27"/>
  <c r="F183" i="27"/>
  <c r="G182" i="27"/>
  <c r="F182" i="27"/>
  <c r="G181" i="27"/>
  <c r="F181" i="27"/>
  <c r="G180" i="27"/>
  <c r="F180" i="27"/>
  <c r="G179" i="27"/>
  <c r="F179" i="27"/>
  <c r="G178" i="27"/>
  <c r="F178" i="27"/>
  <c r="G177" i="27"/>
  <c r="F177" i="27"/>
  <c r="G176" i="27"/>
  <c r="F176" i="27"/>
  <c r="G175" i="27"/>
  <c r="F175" i="27"/>
  <c r="G174" i="27"/>
  <c r="F174" i="27"/>
  <c r="G173" i="27"/>
  <c r="F173" i="27"/>
  <c r="G172" i="27"/>
  <c r="F172" i="27"/>
  <c r="G171" i="27"/>
  <c r="F171" i="27"/>
  <c r="G170" i="27"/>
  <c r="F170" i="27"/>
  <c r="G169" i="27"/>
  <c r="F169" i="27"/>
  <c r="G168" i="27"/>
  <c r="F168" i="27"/>
  <c r="G167" i="27"/>
  <c r="F167" i="27"/>
  <c r="G166" i="27"/>
  <c r="F166" i="27"/>
  <c r="G165" i="27"/>
  <c r="F165" i="27"/>
  <c r="G164" i="27"/>
  <c r="F164" i="27"/>
  <c r="G163" i="27"/>
  <c r="F163" i="27"/>
  <c r="G162" i="27"/>
  <c r="F162" i="27"/>
  <c r="G161" i="27"/>
  <c r="F161" i="27"/>
  <c r="G160" i="27"/>
  <c r="F160" i="27"/>
  <c r="G159" i="27"/>
  <c r="F159" i="27"/>
  <c r="G158" i="27"/>
  <c r="F158" i="27"/>
  <c r="G157" i="27"/>
  <c r="F157" i="27"/>
  <c r="G156" i="27"/>
  <c r="F156" i="27"/>
  <c r="G155" i="27"/>
  <c r="F155" i="27"/>
  <c r="G154" i="27"/>
  <c r="F154" i="27"/>
  <c r="G153" i="27"/>
  <c r="F153" i="27"/>
  <c r="G152" i="27"/>
  <c r="F152" i="27"/>
  <c r="G151" i="27"/>
  <c r="F151" i="27"/>
  <c r="G150" i="27"/>
  <c r="F150" i="27"/>
  <c r="G149" i="27"/>
  <c r="F149" i="27"/>
  <c r="G148" i="27"/>
  <c r="F148" i="27"/>
  <c r="G147" i="27"/>
  <c r="F147" i="27"/>
  <c r="G146" i="27"/>
  <c r="F146" i="27"/>
  <c r="G145" i="27"/>
  <c r="F145" i="27"/>
  <c r="G144" i="27"/>
  <c r="F144" i="27"/>
  <c r="G143" i="27"/>
  <c r="F143" i="27"/>
  <c r="G142" i="27"/>
  <c r="F142" i="27"/>
  <c r="G141" i="27"/>
  <c r="F141" i="27"/>
  <c r="G140" i="27"/>
  <c r="F140" i="27"/>
  <c r="G139" i="27"/>
  <c r="F139" i="27"/>
  <c r="G138" i="27"/>
  <c r="F138" i="27"/>
  <c r="G137" i="27"/>
  <c r="F137" i="27"/>
  <c r="G136" i="27"/>
  <c r="F136" i="27"/>
  <c r="G133" i="27"/>
  <c r="F133" i="27"/>
  <c r="G132" i="27"/>
  <c r="F132" i="27"/>
  <c r="G131" i="27"/>
  <c r="F131" i="27"/>
  <c r="G130" i="27"/>
  <c r="F130" i="27"/>
  <c r="G129" i="27"/>
  <c r="F129" i="27"/>
  <c r="G128" i="27"/>
  <c r="F128" i="27"/>
  <c r="G127" i="27"/>
  <c r="F127" i="27"/>
  <c r="G126" i="27"/>
  <c r="F126" i="27"/>
  <c r="G125" i="27"/>
  <c r="F125" i="27"/>
  <c r="G124" i="27"/>
  <c r="F124" i="27"/>
  <c r="G122" i="27"/>
  <c r="F122" i="27"/>
  <c r="G121" i="27"/>
  <c r="F121" i="27"/>
  <c r="G120" i="27"/>
  <c r="F120" i="27"/>
  <c r="G119" i="27"/>
  <c r="F119" i="27"/>
  <c r="G118" i="27"/>
  <c r="F118" i="27"/>
  <c r="G117" i="27"/>
  <c r="F117" i="27"/>
  <c r="G116" i="27"/>
  <c r="F116" i="27"/>
  <c r="G115" i="27"/>
  <c r="F115" i="27"/>
  <c r="G114" i="27"/>
  <c r="F114" i="27"/>
  <c r="G113" i="27"/>
  <c r="F113" i="27"/>
  <c r="G112" i="27"/>
  <c r="F112" i="27"/>
  <c r="G111" i="27"/>
  <c r="F111" i="27"/>
  <c r="G110" i="27"/>
  <c r="F110" i="27"/>
  <c r="G109" i="27"/>
  <c r="F109" i="27"/>
  <c r="G108" i="27"/>
  <c r="F108" i="27"/>
  <c r="G107" i="27"/>
  <c r="F107" i="27"/>
  <c r="G106" i="27"/>
  <c r="F106" i="27"/>
  <c r="G105" i="27"/>
  <c r="F105" i="27"/>
  <c r="G104" i="27"/>
  <c r="F104" i="27"/>
  <c r="G103" i="27"/>
  <c r="F103" i="27"/>
  <c r="G102" i="27"/>
  <c r="F102" i="27"/>
  <c r="G101" i="27"/>
  <c r="F101" i="27"/>
  <c r="G100" i="27"/>
  <c r="F100" i="27"/>
  <c r="G99" i="27"/>
  <c r="F99" i="27"/>
  <c r="G98" i="27"/>
  <c r="F98" i="27"/>
  <c r="G97" i="27"/>
  <c r="F97" i="27"/>
  <c r="G96" i="27"/>
  <c r="F96" i="27"/>
  <c r="G95" i="27"/>
  <c r="F95" i="27"/>
  <c r="G94" i="27"/>
  <c r="F94" i="27"/>
  <c r="G93" i="27"/>
  <c r="F93" i="27"/>
  <c r="G92" i="27"/>
  <c r="F92" i="27"/>
  <c r="G91" i="27"/>
  <c r="F91" i="27"/>
  <c r="G90" i="27"/>
  <c r="F90" i="27"/>
  <c r="G89" i="27"/>
  <c r="F89" i="27"/>
  <c r="G88" i="27"/>
  <c r="F88" i="27"/>
  <c r="G87" i="27"/>
  <c r="F87" i="27"/>
  <c r="G86" i="27"/>
  <c r="F86" i="27"/>
  <c r="G85" i="27"/>
  <c r="F85" i="27"/>
  <c r="G84" i="27"/>
  <c r="F84" i="27"/>
  <c r="G83" i="27"/>
  <c r="F83" i="27"/>
  <c r="G82" i="27"/>
  <c r="F82" i="27"/>
  <c r="G81" i="27"/>
  <c r="F81" i="27"/>
  <c r="G80" i="27"/>
  <c r="F80" i="27"/>
  <c r="G79" i="27"/>
  <c r="F79" i="27"/>
  <c r="G78" i="27"/>
  <c r="F78" i="27"/>
  <c r="G77" i="27"/>
  <c r="F77" i="27"/>
  <c r="G76" i="27"/>
  <c r="F76" i="27"/>
  <c r="G75" i="27"/>
  <c r="F75" i="27"/>
  <c r="G74" i="27"/>
  <c r="F74" i="27"/>
  <c r="G73" i="27"/>
  <c r="F73" i="27"/>
  <c r="G72" i="27"/>
  <c r="F72" i="27"/>
  <c r="G71" i="27"/>
  <c r="F71" i="27"/>
  <c r="G70" i="27"/>
  <c r="F70" i="27"/>
  <c r="G69" i="27"/>
  <c r="F69" i="27"/>
  <c r="G68" i="27"/>
  <c r="F68" i="27"/>
  <c r="G67" i="27"/>
  <c r="F67" i="27"/>
  <c r="G66" i="27"/>
  <c r="F66" i="27"/>
  <c r="G65" i="27"/>
  <c r="F65" i="27"/>
  <c r="G64" i="27"/>
  <c r="F64" i="27"/>
  <c r="G63" i="27"/>
  <c r="F63" i="27"/>
  <c r="G62" i="27"/>
  <c r="F62" i="27"/>
  <c r="G61" i="27"/>
  <c r="F61" i="27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F54" i="27"/>
  <c r="G53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F28" i="27"/>
  <c r="G27" i="27"/>
  <c r="F27" i="27"/>
  <c r="G26" i="27"/>
  <c r="F26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G8" i="27"/>
  <c r="F8" i="27"/>
  <c r="G7" i="27"/>
  <c r="F7" i="27"/>
  <c r="G6" i="27"/>
  <c r="F6" i="27"/>
  <c r="G5" i="27"/>
  <c r="F5" i="27"/>
  <c r="G4" i="27"/>
  <c r="F4" i="27"/>
  <c r="G206" i="28"/>
  <c r="F206" i="28"/>
  <c r="G205" i="28"/>
  <c r="F205" i="28"/>
  <c r="G204" i="28"/>
  <c r="F204" i="28"/>
  <c r="G203" i="28"/>
  <c r="F203" i="28"/>
  <c r="G202" i="28"/>
  <c r="F202" i="28"/>
  <c r="G201" i="28"/>
  <c r="F201" i="28"/>
  <c r="G200" i="28"/>
  <c r="F200" i="28"/>
  <c r="G199" i="28"/>
  <c r="F199" i="28"/>
  <c r="G198" i="28"/>
  <c r="F198" i="28"/>
  <c r="G197" i="28"/>
  <c r="F197" i="28"/>
  <c r="G196" i="28"/>
  <c r="F196" i="28"/>
  <c r="G195" i="28"/>
  <c r="F195" i="28"/>
  <c r="G194" i="28"/>
  <c r="F194" i="28"/>
  <c r="G193" i="28"/>
  <c r="F193" i="28"/>
  <c r="G192" i="28"/>
  <c r="F192" i="28"/>
  <c r="G191" i="28"/>
  <c r="F191" i="28"/>
  <c r="G190" i="28"/>
  <c r="F190" i="28"/>
  <c r="G189" i="28"/>
  <c r="F189" i="28"/>
  <c r="G188" i="28"/>
  <c r="F188" i="28"/>
  <c r="G187" i="28"/>
  <c r="F187" i="28"/>
  <c r="G186" i="28"/>
  <c r="F186" i="28"/>
  <c r="G185" i="28"/>
  <c r="F185" i="28"/>
  <c r="G184" i="28"/>
  <c r="F184" i="28"/>
  <c r="G183" i="28"/>
  <c r="F183" i="28"/>
  <c r="G182" i="28"/>
  <c r="F182" i="28"/>
  <c r="G181" i="28"/>
  <c r="F181" i="28"/>
  <c r="G180" i="28"/>
  <c r="F180" i="28"/>
  <c r="G179" i="28"/>
  <c r="F179" i="28"/>
  <c r="G178" i="28"/>
  <c r="F178" i="28"/>
  <c r="G177" i="28"/>
  <c r="F177" i="28"/>
  <c r="G176" i="28"/>
  <c r="F176" i="28"/>
  <c r="G175" i="28"/>
  <c r="F175" i="28"/>
  <c r="G174" i="28"/>
  <c r="F174" i="28"/>
  <c r="G173" i="28"/>
  <c r="F173" i="28"/>
  <c r="G172" i="28"/>
  <c r="F172" i="28"/>
  <c r="G171" i="28"/>
  <c r="F171" i="28"/>
  <c r="G170" i="28"/>
  <c r="F170" i="28"/>
  <c r="G169" i="28"/>
  <c r="F169" i="28"/>
  <c r="G168" i="28"/>
  <c r="F168" i="28"/>
  <c r="G167" i="28"/>
  <c r="F167" i="28"/>
  <c r="G166" i="28"/>
  <c r="F166" i="28"/>
  <c r="G165" i="28"/>
  <c r="F165" i="28"/>
  <c r="G164" i="28"/>
  <c r="F164" i="28"/>
  <c r="G163" i="28"/>
  <c r="F163" i="28"/>
  <c r="G162" i="28"/>
  <c r="F162" i="28"/>
  <c r="G161" i="28"/>
  <c r="F161" i="28"/>
  <c r="G160" i="28"/>
  <c r="F160" i="28"/>
  <c r="G159" i="28"/>
  <c r="F159" i="28"/>
  <c r="G158" i="28"/>
  <c r="F158" i="28"/>
  <c r="G157" i="28"/>
  <c r="F157" i="28"/>
  <c r="G156" i="28"/>
  <c r="F156" i="28"/>
  <c r="G155" i="28"/>
  <c r="F155" i="28"/>
  <c r="G154" i="28"/>
  <c r="F154" i="28"/>
  <c r="G153" i="28"/>
  <c r="F153" i="28"/>
  <c r="G152" i="28"/>
  <c r="F152" i="28"/>
  <c r="G151" i="28"/>
  <c r="F151" i="28"/>
  <c r="G150" i="28"/>
  <c r="F150" i="28"/>
  <c r="G149" i="28"/>
  <c r="F149" i="28"/>
  <c r="G148" i="28"/>
  <c r="F148" i="28"/>
  <c r="G147" i="28"/>
  <c r="F147" i="28"/>
  <c r="G146" i="28"/>
  <c r="F146" i="28"/>
  <c r="G145" i="28"/>
  <c r="F145" i="28"/>
  <c r="G144" i="28"/>
  <c r="F144" i="28"/>
  <c r="G143" i="28"/>
  <c r="F143" i="28"/>
  <c r="G142" i="28"/>
  <c r="F142" i="28"/>
  <c r="G141" i="28"/>
  <c r="F141" i="28"/>
  <c r="G140" i="28"/>
  <c r="F140" i="28"/>
  <c r="G139" i="28"/>
  <c r="F139" i="28"/>
  <c r="G138" i="28"/>
  <c r="F138" i="28"/>
  <c r="G137" i="28"/>
  <c r="F137" i="28"/>
  <c r="G136" i="28"/>
  <c r="F136" i="28"/>
  <c r="G135" i="28"/>
  <c r="F135" i="28"/>
  <c r="G133" i="28"/>
  <c r="F133" i="28"/>
  <c r="G132" i="28"/>
  <c r="F132" i="28"/>
  <c r="G131" i="28"/>
  <c r="F131" i="28"/>
  <c r="G130" i="28"/>
  <c r="F130" i="28"/>
  <c r="G129" i="28"/>
  <c r="F129" i="28"/>
  <c r="G128" i="28"/>
  <c r="F128" i="28"/>
  <c r="G127" i="28"/>
  <c r="F127" i="28"/>
  <c r="G126" i="28"/>
  <c r="F126" i="28"/>
  <c r="G125" i="28"/>
  <c r="F125" i="28"/>
  <c r="G124" i="28"/>
  <c r="F124" i="28"/>
  <c r="G122" i="28"/>
  <c r="F122" i="28"/>
  <c r="G121" i="28"/>
  <c r="F121" i="28"/>
  <c r="G120" i="28"/>
  <c r="F120" i="28"/>
  <c r="G119" i="28"/>
  <c r="F119" i="28"/>
  <c r="G118" i="28"/>
  <c r="F118" i="28"/>
  <c r="G117" i="28"/>
  <c r="F117" i="28"/>
  <c r="G116" i="28"/>
  <c r="F116" i="28"/>
  <c r="G115" i="28"/>
  <c r="F115" i="28"/>
  <c r="G114" i="28"/>
  <c r="F114" i="28"/>
  <c r="G113" i="28"/>
  <c r="F113" i="28"/>
  <c r="G112" i="28"/>
  <c r="F112" i="28"/>
  <c r="G111" i="28"/>
  <c r="F111" i="28"/>
  <c r="G110" i="28"/>
  <c r="F110" i="28"/>
  <c r="G109" i="28"/>
  <c r="F109" i="28"/>
  <c r="G108" i="28"/>
  <c r="F108" i="28"/>
  <c r="G107" i="28"/>
  <c r="F107" i="28"/>
  <c r="G106" i="28"/>
  <c r="F106" i="28"/>
  <c r="G105" i="28"/>
  <c r="F105" i="28"/>
  <c r="G104" i="28"/>
  <c r="F104" i="28"/>
  <c r="G103" i="28"/>
  <c r="F103" i="28"/>
  <c r="G102" i="28"/>
  <c r="F102" i="28"/>
  <c r="G101" i="28"/>
  <c r="F101" i="28"/>
  <c r="G100" i="28"/>
  <c r="F100" i="28"/>
  <c r="G99" i="28"/>
  <c r="F99" i="28"/>
  <c r="G98" i="28"/>
  <c r="F98" i="28"/>
  <c r="G97" i="28"/>
  <c r="F97" i="28"/>
  <c r="G96" i="28"/>
  <c r="F96" i="28"/>
  <c r="G95" i="28"/>
  <c r="F95" i="28"/>
  <c r="G94" i="28"/>
  <c r="F94" i="28"/>
  <c r="G93" i="28"/>
  <c r="F93" i="28"/>
  <c r="G92" i="28"/>
  <c r="F92" i="28"/>
  <c r="G91" i="28"/>
  <c r="F91" i="28"/>
  <c r="G90" i="28"/>
  <c r="F90" i="28"/>
  <c r="G89" i="28"/>
  <c r="F89" i="28"/>
  <c r="G88" i="28"/>
  <c r="F88" i="28"/>
  <c r="G87" i="28"/>
  <c r="F87" i="28"/>
  <c r="G86" i="28"/>
  <c r="F86" i="28"/>
  <c r="G85" i="28"/>
  <c r="F85" i="28"/>
  <c r="G84" i="28"/>
  <c r="F84" i="28"/>
  <c r="G83" i="28"/>
  <c r="F83" i="28"/>
  <c r="G82" i="28"/>
  <c r="F82" i="28"/>
  <c r="G81" i="28"/>
  <c r="F81" i="28"/>
  <c r="G80" i="28"/>
  <c r="F80" i="28"/>
  <c r="G79" i="28"/>
  <c r="F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G25" i="28"/>
  <c r="F25" i="28"/>
  <c r="G24" i="28"/>
  <c r="F24" i="28"/>
  <c r="G23" i="28"/>
  <c r="F23" i="28"/>
  <c r="G22" i="28"/>
  <c r="F22" i="28"/>
  <c r="G21" i="28"/>
  <c r="F21" i="28"/>
  <c r="G20" i="28"/>
  <c r="F20" i="28"/>
  <c r="G19" i="28"/>
  <c r="F19" i="28"/>
  <c r="G18" i="28"/>
  <c r="F18" i="28"/>
  <c r="G17" i="28"/>
  <c r="F17" i="28"/>
  <c r="G16" i="28"/>
  <c r="F16" i="28"/>
  <c r="G15" i="28"/>
  <c r="F15" i="28"/>
  <c r="G14" i="28"/>
  <c r="F14" i="28"/>
  <c r="G13" i="28"/>
  <c r="F13" i="28"/>
  <c r="G12" i="28"/>
  <c r="F12" i="28"/>
  <c r="G11" i="28"/>
  <c r="F11" i="28"/>
  <c r="G10" i="28"/>
  <c r="F10" i="28"/>
  <c r="G9" i="28"/>
  <c r="F9" i="28"/>
  <c r="G8" i="28"/>
  <c r="F8" i="28"/>
  <c r="G7" i="28"/>
  <c r="F7" i="28"/>
  <c r="G6" i="28"/>
  <c r="F6" i="28"/>
  <c r="G5" i="28"/>
  <c r="F5" i="28"/>
  <c r="G4" i="28"/>
  <c r="F4" i="28"/>
  <c r="G206" i="20"/>
  <c r="F206" i="20"/>
  <c r="G205" i="20"/>
  <c r="F205" i="20"/>
  <c r="G204" i="20"/>
  <c r="F204" i="20"/>
  <c r="G203" i="20"/>
  <c r="F203" i="20"/>
  <c r="G202" i="20"/>
  <c r="F202" i="20"/>
  <c r="G201" i="20"/>
  <c r="F201" i="20"/>
  <c r="G200" i="20"/>
  <c r="F200" i="20"/>
  <c r="G199" i="20"/>
  <c r="F199" i="20"/>
  <c r="G198" i="20"/>
  <c r="F198" i="20"/>
  <c r="G197" i="20"/>
  <c r="F197" i="20"/>
  <c r="G196" i="20"/>
  <c r="F196" i="20"/>
  <c r="G195" i="20"/>
  <c r="F195" i="20"/>
  <c r="G194" i="20"/>
  <c r="F194" i="20"/>
  <c r="G193" i="20"/>
  <c r="F193" i="20"/>
  <c r="G192" i="20"/>
  <c r="F192" i="20"/>
  <c r="G191" i="20"/>
  <c r="F191" i="20"/>
  <c r="G190" i="20"/>
  <c r="F190" i="20"/>
  <c r="G189" i="20"/>
  <c r="F189" i="20"/>
  <c r="G188" i="20"/>
  <c r="F188" i="20"/>
  <c r="G187" i="20"/>
  <c r="F187" i="20"/>
  <c r="G186" i="20"/>
  <c r="F186" i="20"/>
  <c r="G185" i="20"/>
  <c r="F185" i="20"/>
  <c r="G184" i="20"/>
  <c r="F184" i="20"/>
  <c r="G183" i="20"/>
  <c r="F183" i="20"/>
  <c r="G182" i="20"/>
  <c r="F182" i="20"/>
  <c r="G181" i="20"/>
  <c r="F181" i="20"/>
  <c r="G180" i="20"/>
  <c r="F180" i="20"/>
  <c r="G179" i="20"/>
  <c r="F179" i="20"/>
  <c r="G178" i="20"/>
  <c r="F178" i="20"/>
  <c r="G177" i="20"/>
  <c r="F177" i="20"/>
  <c r="G176" i="20"/>
  <c r="F176" i="20"/>
  <c r="G175" i="20"/>
  <c r="F175" i="20"/>
  <c r="G174" i="20"/>
  <c r="F174" i="20"/>
  <c r="G173" i="20"/>
  <c r="F173" i="20"/>
  <c r="G172" i="20"/>
  <c r="F172" i="20"/>
  <c r="G171" i="20"/>
  <c r="F171" i="20"/>
  <c r="G170" i="20"/>
  <c r="F170" i="20"/>
  <c r="G169" i="20"/>
  <c r="F169" i="20"/>
  <c r="G168" i="20"/>
  <c r="F168" i="20"/>
  <c r="G167" i="20"/>
  <c r="F167" i="20"/>
  <c r="G166" i="20"/>
  <c r="F166" i="20"/>
  <c r="G165" i="20"/>
  <c r="F165" i="20"/>
  <c r="G164" i="20"/>
  <c r="F164" i="20"/>
  <c r="G163" i="20"/>
  <c r="F163" i="20"/>
  <c r="G162" i="20"/>
  <c r="F162" i="20"/>
  <c r="G161" i="20"/>
  <c r="F161" i="20"/>
  <c r="G160" i="20"/>
  <c r="F160" i="20"/>
  <c r="G159" i="20"/>
  <c r="F159" i="20"/>
  <c r="G158" i="20"/>
  <c r="F158" i="20"/>
  <c r="G157" i="20"/>
  <c r="F157" i="20"/>
  <c r="G156" i="20"/>
  <c r="F156" i="20"/>
  <c r="G155" i="20"/>
  <c r="F155" i="20"/>
  <c r="G154" i="20"/>
  <c r="F154" i="20"/>
  <c r="G153" i="20"/>
  <c r="F153" i="20"/>
  <c r="G152" i="20"/>
  <c r="F152" i="20"/>
  <c r="G151" i="20"/>
  <c r="F151" i="20"/>
  <c r="G150" i="20"/>
  <c r="F150" i="20"/>
  <c r="G149" i="20"/>
  <c r="F149" i="20"/>
  <c r="G148" i="20"/>
  <c r="F148" i="20"/>
  <c r="G147" i="20"/>
  <c r="F147" i="20"/>
  <c r="G146" i="20"/>
  <c r="F146" i="20"/>
  <c r="G145" i="20"/>
  <c r="F145" i="20"/>
  <c r="G144" i="20"/>
  <c r="F144" i="20"/>
  <c r="G143" i="20"/>
  <c r="F143" i="20"/>
  <c r="G142" i="20"/>
  <c r="F142" i="20"/>
  <c r="G141" i="20"/>
  <c r="F141" i="20"/>
  <c r="G140" i="20"/>
  <c r="F140" i="20"/>
  <c r="G139" i="20"/>
  <c r="F139" i="20"/>
  <c r="G138" i="20"/>
  <c r="F138" i="20"/>
  <c r="G137" i="20"/>
  <c r="F137" i="20"/>
  <c r="G136" i="20"/>
  <c r="F136" i="20"/>
  <c r="G135" i="20"/>
  <c r="F135" i="20"/>
  <c r="G134" i="20"/>
  <c r="F134" i="20"/>
  <c r="G133" i="20"/>
  <c r="F133" i="20"/>
  <c r="G132" i="20"/>
  <c r="F132" i="20"/>
  <c r="G131" i="20"/>
  <c r="F131" i="20"/>
  <c r="G130" i="20"/>
  <c r="F130" i="20"/>
  <c r="G129" i="20"/>
  <c r="F129" i="20"/>
  <c r="G128" i="20"/>
  <c r="F128" i="20"/>
  <c r="G127" i="20"/>
  <c r="F127" i="20"/>
  <c r="G126" i="20"/>
  <c r="F126" i="20"/>
  <c r="G125" i="20"/>
  <c r="F125" i="20"/>
  <c r="G124" i="20"/>
  <c r="F124" i="20"/>
  <c r="G123" i="20"/>
  <c r="F123" i="20"/>
  <c r="G122" i="20"/>
  <c r="F122" i="20"/>
  <c r="G121" i="20"/>
  <c r="F121" i="20"/>
  <c r="G120" i="20"/>
  <c r="F120" i="20"/>
  <c r="G119" i="20"/>
  <c r="F119" i="20"/>
  <c r="G118" i="20"/>
  <c r="F118" i="20"/>
  <c r="G117" i="20"/>
  <c r="F117" i="20"/>
  <c r="G116" i="20"/>
  <c r="F116" i="20"/>
  <c r="G115" i="20"/>
  <c r="F115" i="20"/>
  <c r="G114" i="20"/>
  <c r="F114" i="20"/>
  <c r="G113" i="20"/>
  <c r="F113" i="20"/>
  <c r="G112" i="20"/>
  <c r="F112" i="20"/>
  <c r="G111" i="20"/>
  <c r="F111" i="20"/>
  <c r="G110" i="20"/>
  <c r="F110" i="20"/>
  <c r="G109" i="20"/>
  <c r="F109" i="20"/>
  <c r="G108" i="20"/>
  <c r="F108" i="20"/>
  <c r="G107" i="20"/>
  <c r="F107" i="20"/>
  <c r="G106" i="20"/>
  <c r="F106" i="20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5" i="20"/>
  <c r="F5" i="20"/>
  <c r="G4" i="20"/>
  <c r="F4" i="20"/>
  <c r="G3" i="21"/>
  <c r="G3" i="22"/>
  <c r="G3" i="26"/>
  <c r="G3" i="23"/>
  <c r="G3" i="27"/>
  <c r="G3" i="28"/>
  <c r="G3" i="20"/>
  <c r="F3" i="21"/>
  <c r="F3" i="22"/>
  <c r="F3" i="26"/>
  <c r="F3" i="23"/>
  <c r="F3" i="27"/>
  <c r="F3" i="28"/>
  <c r="F3" i="20"/>
  <c r="D98" i="20"/>
  <c r="C98" i="20"/>
  <c r="D97" i="20"/>
  <c r="C97" i="20"/>
  <c r="D96" i="20"/>
  <c r="C96" i="20"/>
  <c r="D95" i="20"/>
  <c r="C95" i="20"/>
  <c r="D94" i="20"/>
  <c r="C94" i="20"/>
  <c r="D93" i="20"/>
  <c r="C93" i="20"/>
  <c r="D92" i="20"/>
  <c r="C92" i="20"/>
  <c r="D91" i="20"/>
  <c r="C91" i="20"/>
  <c r="D90" i="20"/>
  <c r="C90" i="20"/>
  <c r="D89" i="20"/>
  <c r="C89" i="20"/>
  <c r="D88" i="20"/>
  <c r="C88" i="20"/>
  <c r="D87" i="20"/>
  <c r="C87" i="20"/>
  <c r="D86" i="20"/>
  <c r="C86" i="20"/>
  <c r="D85" i="20"/>
  <c r="C85" i="20"/>
  <c r="D84" i="20"/>
  <c r="C84" i="20"/>
  <c r="D83" i="20"/>
  <c r="C83" i="20"/>
  <c r="D82" i="20"/>
  <c r="C82" i="20"/>
  <c r="D81" i="20"/>
  <c r="C81" i="20"/>
  <c r="D80" i="20"/>
  <c r="C80" i="20"/>
  <c r="D79" i="20"/>
  <c r="C79" i="20"/>
  <c r="D78" i="20"/>
  <c r="C78" i="20"/>
  <c r="D77" i="20"/>
  <c r="C77" i="20"/>
  <c r="D76" i="20"/>
  <c r="C76" i="20"/>
  <c r="D75" i="20"/>
  <c r="C75" i="20"/>
  <c r="D74" i="20"/>
  <c r="C74" i="20"/>
  <c r="D73" i="20"/>
  <c r="C73" i="20"/>
  <c r="D72" i="20"/>
  <c r="C72" i="20"/>
  <c r="D71" i="20"/>
  <c r="C71" i="20"/>
  <c r="D70" i="20"/>
  <c r="C70" i="20"/>
  <c r="D69" i="20"/>
  <c r="C69" i="20"/>
  <c r="D68" i="20"/>
  <c r="C68" i="20"/>
  <c r="D67" i="20"/>
  <c r="C67" i="20"/>
  <c r="D66" i="20"/>
  <c r="C66" i="20"/>
  <c r="D65" i="20"/>
  <c r="C65" i="20"/>
  <c r="D64" i="20"/>
  <c r="C64" i="20"/>
  <c r="D63" i="20"/>
  <c r="C63" i="20"/>
  <c r="D62" i="20"/>
  <c r="C62" i="20"/>
  <c r="D61" i="20"/>
  <c r="C61" i="20"/>
  <c r="D60" i="20"/>
  <c r="C60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D51" i="20"/>
  <c r="C51" i="20"/>
  <c r="D50" i="20"/>
  <c r="C50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D39" i="20"/>
  <c r="C39" i="20"/>
  <c r="D38" i="20"/>
  <c r="C38" i="20"/>
  <c r="D37" i="20"/>
  <c r="C37" i="20"/>
  <c r="D36" i="20"/>
  <c r="C36" i="20"/>
  <c r="D35" i="20"/>
  <c r="C35" i="20"/>
  <c r="D34" i="20"/>
  <c r="C34" i="20"/>
  <c r="D33" i="20"/>
  <c r="C33" i="20"/>
  <c r="D32" i="20"/>
  <c r="C32" i="20"/>
  <c r="D31" i="20"/>
  <c r="C31" i="20"/>
  <c r="D30" i="20"/>
  <c r="C30" i="20"/>
  <c r="D29" i="20"/>
  <c r="C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D3" i="20"/>
  <c r="C3" i="20"/>
  <c r="D98" i="21"/>
  <c r="C98" i="21"/>
  <c r="D97" i="21"/>
  <c r="C97" i="21"/>
  <c r="D96" i="21"/>
  <c r="C96" i="21"/>
  <c r="D95" i="21"/>
  <c r="C95" i="21"/>
  <c r="D94" i="21"/>
  <c r="C94" i="21"/>
  <c r="D93" i="21"/>
  <c r="C93" i="21"/>
  <c r="D92" i="21"/>
  <c r="C92" i="21"/>
  <c r="D91" i="21"/>
  <c r="C91" i="21"/>
  <c r="D90" i="21"/>
  <c r="C90" i="21"/>
  <c r="D89" i="21"/>
  <c r="C89" i="21"/>
  <c r="D88" i="21"/>
  <c r="C88" i="21"/>
  <c r="D87" i="21"/>
  <c r="C87" i="21"/>
  <c r="D86" i="21"/>
  <c r="C86" i="21"/>
  <c r="D85" i="21"/>
  <c r="C85" i="21"/>
  <c r="D84" i="21"/>
  <c r="C84" i="21"/>
  <c r="D83" i="21"/>
  <c r="C83" i="21"/>
  <c r="D82" i="21"/>
  <c r="C82" i="21"/>
  <c r="D81" i="21"/>
  <c r="C81" i="21"/>
  <c r="D80" i="21"/>
  <c r="C80" i="21"/>
  <c r="D79" i="21"/>
  <c r="C79" i="21"/>
  <c r="D78" i="21"/>
  <c r="C78" i="21"/>
  <c r="D77" i="21"/>
  <c r="C77" i="21"/>
  <c r="D76" i="21"/>
  <c r="C76" i="21"/>
  <c r="D75" i="21"/>
  <c r="C75" i="21"/>
  <c r="D74" i="21"/>
  <c r="C74" i="21"/>
  <c r="D73" i="21"/>
  <c r="C73" i="21"/>
  <c r="D72" i="21"/>
  <c r="C72" i="21"/>
  <c r="D71" i="21"/>
  <c r="C71" i="21"/>
  <c r="D70" i="21"/>
  <c r="C70" i="21"/>
  <c r="D69" i="21"/>
  <c r="C69" i="21"/>
  <c r="D68" i="21"/>
  <c r="C68" i="21"/>
  <c r="D67" i="21"/>
  <c r="C67" i="21"/>
  <c r="D66" i="21"/>
  <c r="C66" i="21"/>
  <c r="D65" i="21"/>
  <c r="C65" i="21"/>
  <c r="D64" i="21"/>
  <c r="C64" i="21"/>
  <c r="D63" i="21"/>
  <c r="C63" i="21"/>
  <c r="D62" i="21"/>
  <c r="C62" i="21"/>
  <c r="D61" i="21"/>
  <c r="C61" i="21"/>
  <c r="D60" i="21"/>
  <c r="C60" i="21"/>
  <c r="D59" i="21"/>
  <c r="C59" i="21"/>
  <c r="D58" i="21"/>
  <c r="C58" i="21"/>
  <c r="D57" i="21"/>
  <c r="C57" i="21"/>
  <c r="D56" i="21"/>
  <c r="C56" i="21"/>
  <c r="D55" i="21"/>
  <c r="C55" i="21"/>
  <c r="D54" i="21"/>
  <c r="C54" i="21"/>
  <c r="D53" i="21"/>
  <c r="C53" i="21"/>
  <c r="D52" i="21"/>
  <c r="C52" i="21"/>
  <c r="D51" i="21"/>
  <c r="C51" i="21"/>
  <c r="D50" i="21"/>
  <c r="C50" i="21"/>
  <c r="D49" i="21"/>
  <c r="C49" i="21"/>
  <c r="D48" i="21"/>
  <c r="C48" i="21"/>
  <c r="D47" i="21"/>
  <c r="C47" i="21"/>
  <c r="D46" i="21"/>
  <c r="C46" i="21"/>
  <c r="D45" i="21"/>
  <c r="C45" i="21"/>
  <c r="D44" i="21"/>
  <c r="C44" i="21"/>
  <c r="D43" i="21"/>
  <c r="C43" i="21"/>
  <c r="D42" i="21"/>
  <c r="C42" i="21"/>
  <c r="D41" i="21"/>
  <c r="C41" i="21"/>
  <c r="D40" i="21"/>
  <c r="C40" i="21"/>
  <c r="D39" i="21"/>
  <c r="C39" i="21"/>
  <c r="D38" i="21"/>
  <c r="C38" i="21"/>
  <c r="D37" i="21"/>
  <c r="C37" i="21"/>
  <c r="D36" i="21"/>
  <c r="C36" i="21"/>
  <c r="D35" i="21"/>
  <c r="C35" i="21"/>
  <c r="D34" i="21"/>
  <c r="C34" i="21"/>
  <c r="D33" i="21"/>
  <c r="C33" i="21"/>
  <c r="D32" i="21"/>
  <c r="C32" i="21"/>
  <c r="D31" i="21"/>
  <c r="C31" i="21"/>
  <c r="D30" i="21"/>
  <c r="C30" i="21"/>
  <c r="D29" i="21"/>
  <c r="C29" i="21"/>
  <c r="D28" i="21"/>
  <c r="C28" i="21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D3" i="21"/>
  <c r="C3" i="21"/>
  <c r="D98" i="22"/>
  <c r="C98" i="22"/>
  <c r="D97" i="22"/>
  <c r="C97" i="22"/>
  <c r="D96" i="22"/>
  <c r="C96" i="22"/>
  <c r="D95" i="22"/>
  <c r="C95" i="22"/>
  <c r="D94" i="22"/>
  <c r="C94" i="22"/>
  <c r="D93" i="22"/>
  <c r="C93" i="22"/>
  <c r="D92" i="22"/>
  <c r="C92" i="22"/>
  <c r="D91" i="22"/>
  <c r="C91" i="22"/>
  <c r="D90" i="22"/>
  <c r="C90" i="22"/>
  <c r="D89" i="22"/>
  <c r="C89" i="22"/>
  <c r="D88" i="22"/>
  <c r="C88" i="22"/>
  <c r="D87" i="22"/>
  <c r="C87" i="22"/>
  <c r="D86" i="22"/>
  <c r="C86" i="22"/>
  <c r="D85" i="22"/>
  <c r="C85" i="22"/>
  <c r="D84" i="22"/>
  <c r="C84" i="22"/>
  <c r="D83" i="22"/>
  <c r="C83" i="22"/>
  <c r="D82" i="22"/>
  <c r="C82" i="22"/>
  <c r="D81" i="22"/>
  <c r="C81" i="22"/>
  <c r="D80" i="22"/>
  <c r="C80" i="22"/>
  <c r="D79" i="22"/>
  <c r="C79" i="22"/>
  <c r="D78" i="22"/>
  <c r="C78" i="22"/>
  <c r="D77" i="22"/>
  <c r="C77" i="22"/>
  <c r="D76" i="22"/>
  <c r="C76" i="22"/>
  <c r="D75" i="22"/>
  <c r="C75" i="22"/>
  <c r="D74" i="22"/>
  <c r="C74" i="22"/>
  <c r="D73" i="22"/>
  <c r="C73" i="22"/>
  <c r="D72" i="22"/>
  <c r="C72" i="22"/>
  <c r="D71" i="22"/>
  <c r="C71" i="22"/>
  <c r="D70" i="22"/>
  <c r="C70" i="22"/>
  <c r="D69" i="22"/>
  <c r="C69" i="22"/>
  <c r="D68" i="22"/>
  <c r="C68" i="22"/>
  <c r="D67" i="22"/>
  <c r="C67" i="22"/>
  <c r="D66" i="22"/>
  <c r="C66" i="22"/>
  <c r="D65" i="22"/>
  <c r="C65" i="22"/>
  <c r="D64" i="22"/>
  <c r="C64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5" i="22"/>
  <c r="C5" i="22"/>
  <c r="D4" i="22"/>
  <c r="C4" i="22"/>
  <c r="D3" i="22"/>
  <c r="C3" i="22"/>
  <c r="D98" i="26"/>
  <c r="C98" i="26"/>
  <c r="D97" i="26"/>
  <c r="C97" i="26"/>
  <c r="D96" i="26"/>
  <c r="C96" i="26"/>
  <c r="D95" i="26"/>
  <c r="C95" i="26"/>
  <c r="D94" i="26"/>
  <c r="C94" i="26"/>
  <c r="D93" i="26"/>
  <c r="C93" i="26"/>
  <c r="D92" i="26"/>
  <c r="C92" i="26"/>
  <c r="D91" i="26"/>
  <c r="C91" i="26"/>
  <c r="D90" i="26"/>
  <c r="C90" i="26"/>
  <c r="D89" i="26"/>
  <c r="C89" i="26"/>
  <c r="D88" i="26"/>
  <c r="C88" i="26"/>
  <c r="D87" i="26"/>
  <c r="C87" i="26"/>
  <c r="D86" i="26"/>
  <c r="C86" i="26"/>
  <c r="D85" i="26"/>
  <c r="C85" i="26"/>
  <c r="D84" i="26"/>
  <c r="C84" i="26"/>
  <c r="D83" i="26"/>
  <c r="C83" i="26"/>
  <c r="D82" i="26"/>
  <c r="C82" i="26"/>
  <c r="D81" i="26"/>
  <c r="C81" i="26"/>
  <c r="D80" i="26"/>
  <c r="C80" i="26"/>
  <c r="D79" i="26"/>
  <c r="C79" i="26"/>
  <c r="D78" i="26"/>
  <c r="C78" i="26"/>
  <c r="D77" i="26"/>
  <c r="C77" i="26"/>
  <c r="D76" i="26"/>
  <c r="C76" i="26"/>
  <c r="D75" i="26"/>
  <c r="C75" i="26"/>
  <c r="D74" i="26"/>
  <c r="C74" i="26"/>
  <c r="D73" i="26"/>
  <c r="C73" i="26"/>
  <c r="D72" i="26"/>
  <c r="C72" i="26"/>
  <c r="D71" i="26"/>
  <c r="C71" i="26"/>
  <c r="D70" i="26"/>
  <c r="C70" i="26"/>
  <c r="D69" i="26"/>
  <c r="C69" i="26"/>
  <c r="D68" i="26"/>
  <c r="C68" i="26"/>
  <c r="D67" i="26"/>
  <c r="C67" i="26"/>
  <c r="D66" i="26"/>
  <c r="C66" i="26"/>
  <c r="D65" i="26"/>
  <c r="C65" i="26"/>
  <c r="D64" i="26"/>
  <c r="C64" i="26"/>
  <c r="D63" i="26"/>
  <c r="C63" i="26"/>
  <c r="D62" i="26"/>
  <c r="C62" i="26"/>
  <c r="D61" i="26"/>
  <c r="C61" i="26"/>
  <c r="D60" i="26"/>
  <c r="C60" i="26"/>
  <c r="D59" i="26"/>
  <c r="C59" i="26"/>
  <c r="D58" i="26"/>
  <c r="C58" i="26"/>
  <c r="D57" i="26"/>
  <c r="C57" i="26"/>
  <c r="D56" i="26"/>
  <c r="C56" i="26"/>
  <c r="D55" i="26"/>
  <c r="C55" i="26"/>
  <c r="D54" i="26"/>
  <c r="C54" i="26"/>
  <c r="D53" i="26"/>
  <c r="C53" i="26"/>
  <c r="D52" i="26"/>
  <c r="C52" i="26"/>
  <c r="D51" i="26"/>
  <c r="C51" i="26"/>
  <c r="D50" i="26"/>
  <c r="C50" i="26"/>
  <c r="D49" i="26"/>
  <c r="C49" i="26"/>
  <c r="D48" i="26"/>
  <c r="C48" i="26"/>
  <c r="D47" i="26"/>
  <c r="C47" i="26"/>
  <c r="D46" i="26"/>
  <c r="C46" i="26"/>
  <c r="D45" i="26"/>
  <c r="C45" i="26"/>
  <c r="D44" i="26"/>
  <c r="C44" i="26"/>
  <c r="D43" i="26"/>
  <c r="C43" i="26"/>
  <c r="D42" i="26"/>
  <c r="C42" i="26"/>
  <c r="D41" i="26"/>
  <c r="C41" i="26"/>
  <c r="D40" i="26"/>
  <c r="C40" i="26"/>
  <c r="D39" i="26"/>
  <c r="C39" i="26"/>
  <c r="D38" i="26"/>
  <c r="C38" i="26"/>
  <c r="D37" i="26"/>
  <c r="C37" i="26"/>
  <c r="D36" i="26"/>
  <c r="C36" i="26"/>
  <c r="D35" i="26"/>
  <c r="C35" i="26"/>
  <c r="D34" i="26"/>
  <c r="C34" i="26"/>
  <c r="D33" i="26"/>
  <c r="C33" i="26"/>
  <c r="D32" i="26"/>
  <c r="C32" i="26"/>
  <c r="D31" i="26"/>
  <c r="C31" i="26"/>
  <c r="D30" i="26"/>
  <c r="C30" i="26"/>
  <c r="D29" i="26"/>
  <c r="C29" i="26"/>
  <c r="D28" i="26"/>
  <c r="C28" i="26"/>
  <c r="D27" i="26"/>
  <c r="C27" i="26"/>
  <c r="D26" i="26"/>
  <c r="C26" i="26"/>
  <c r="D25" i="26"/>
  <c r="C25" i="26"/>
  <c r="D24" i="26"/>
  <c r="C24" i="26"/>
  <c r="D23" i="26"/>
  <c r="C23" i="26"/>
  <c r="D22" i="26"/>
  <c r="C22" i="26"/>
  <c r="D21" i="26"/>
  <c r="C21" i="26"/>
  <c r="D20" i="26"/>
  <c r="C20" i="26"/>
  <c r="D19" i="26"/>
  <c r="C19" i="26"/>
  <c r="D18" i="26"/>
  <c r="C18" i="26"/>
  <c r="D17" i="26"/>
  <c r="C17" i="26"/>
  <c r="D16" i="26"/>
  <c r="C16" i="26"/>
  <c r="D15" i="26"/>
  <c r="C15" i="26"/>
  <c r="D14" i="26"/>
  <c r="C14" i="26"/>
  <c r="D13" i="26"/>
  <c r="C13" i="26"/>
  <c r="D12" i="26"/>
  <c r="C12" i="26"/>
  <c r="D11" i="26"/>
  <c r="C11" i="26"/>
  <c r="D10" i="26"/>
  <c r="C10" i="26"/>
  <c r="D9" i="26"/>
  <c r="C9" i="26"/>
  <c r="D8" i="26"/>
  <c r="C8" i="26"/>
  <c r="D7" i="26"/>
  <c r="C7" i="26"/>
  <c r="D6" i="26"/>
  <c r="C6" i="26"/>
  <c r="D5" i="26"/>
  <c r="C5" i="26"/>
  <c r="D4" i="26"/>
  <c r="C4" i="26"/>
  <c r="D3" i="26"/>
  <c r="C3" i="26"/>
  <c r="D98" i="23"/>
  <c r="C98" i="23"/>
  <c r="D97" i="23"/>
  <c r="C97" i="23"/>
  <c r="D96" i="23"/>
  <c r="C96" i="23"/>
  <c r="D95" i="23"/>
  <c r="C95" i="23"/>
  <c r="D94" i="23"/>
  <c r="C94" i="23"/>
  <c r="D93" i="23"/>
  <c r="C93" i="23"/>
  <c r="D92" i="23"/>
  <c r="C92" i="23"/>
  <c r="D91" i="23"/>
  <c r="C91" i="23"/>
  <c r="D90" i="23"/>
  <c r="C90" i="23"/>
  <c r="D89" i="23"/>
  <c r="C89" i="23"/>
  <c r="D88" i="23"/>
  <c r="C88" i="23"/>
  <c r="D87" i="23"/>
  <c r="C87" i="23"/>
  <c r="D86" i="23"/>
  <c r="C86" i="23"/>
  <c r="D85" i="23"/>
  <c r="C85" i="23"/>
  <c r="D84" i="23"/>
  <c r="C84" i="23"/>
  <c r="D83" i="23"/>
  <c r="C83" i="23"/>
  <c r="D82" i="23"/>
  <c r="C82" i="23"/>
  <c r="D81" i="23"/>
  <c r="C81" i="23"/>
  <c r="D80" i="23"/>
  <c r="C80" i="23"/>
  <c r="D79" i="23"/>
  <c r="C79" i="23"/>
  <c r="D78" i="23"/>
  <c r="C78" i="23"/>
  <c r="D77" i="23"/>
  <c r="C77" i="23"/>
  <c r="D76" i="23"/>
  <c r="C76" i="23"/>
  <c r="D75" i="23"/>
  <c r="C75" i="23"/>
  <c r="D74" i="23"/>
  <c r="C74" i="23"/>
  <c r="D73" i="23"/>
  <c r="C73" i="23"/>
  <c r="D72" i="23"/>
  <c r="C72" i="23"/>
  <c r="D71" i="23"/>
  <c r="C71" i="23"/>
  <c r="D70" i="23"/>
  <c r="C70" i="23"/>
  <c r="D69" i="23"/>
  <c r="C69" i="23"/>
  <c r="D68" i="23"/>
  <c r="C68" i="23"/>
  <c r="D67" i="23"/>
  <c r="C67" i="23"/>
  <c r="D66" i="23"/>
  <c r="C66" i="23"/>
  <c r="D65" i="23"/>
  <c r="C65" i="23"/>
  <c r="D64" i="23"/>
  <c r="C64" i="23"/>
  <c r="D63" i="23"/>
  <c r="C63" i="23"/>
  <c r="D62" i="23"/>
  <c r="C62" i="23"/>
  <c r="D61" i="23"/>
  <c r="C61" i="23"/>
  <c r="D60" i="23"/>
  <c r="C60" i="23"/>
  <c r="D59" i="23"/>
  <c r="C59" i="23"/>
  <c r="D58" i="23"/>
  <c r="C58" i="23"/>
  <c r="D57" i="23"/>
  <c r="C57" i="23"/>
  <c r="D56" i="23"/>
  <c r="C56" i="23"/>
  <c r="D55" i="23"/>
  <c r="C55" i="23"/>
  <c r="D54" i="23"/>
  <c r="C54" i="23"/>
  <c r="D53" i="23"/>
  <c r="C53" i="23"/>
  <c r="D52" i="23"/>
  <c r="C52" i="23"/>
  <c r="D51" i="23"/>
  <c r="C51" i="23"/>
  <c r="D50" i="23"/>
  <c r="C50" i="23"/>
  <c r="D49" i="23"/>
  <c r="C49" i="23"/>
  <c r="D48" i="23"/>
  <c r="C48" i="23"/>
  <c r="D47" i="23"/>
  <c r="C47" i="23"/>
  <c r="D46" i="23"/>
  <c r="C46" i="23"/>
  <c r="D45" i="23"/>
  <c r="C45" i="23"/>
  <c r="D44" i="23"/>
  <c r="C44" i="23"/>
  <c r="D43" i="23"/>
  <c r="C43" i="23"/>
  <c r="D42" i="23"/>
  <c r="C42" i="23"/>
  <c r="D41" i="23"/>
  <c r="C41" i="23"/>
  <c r="D40" i="23"/>
  <c r="C40" i="23"/>
  <c r="D39" i="23"/>
  <c r="C39" i="23"/>
  <c r="D38" i="23"/>
  <c r="C38" i="23"/>
  <c r="D37" i="23"/>
  <c r="C37" i="23"/>
  <c r="D36" i="23"/>
  <c r="C36" i="23"/>
  <c r="D35" i="23"/>
  <c r="C35" i="23"/>
  <c r="D34" i="23"/>
  <c r="C34" i="23"/>
  <c r="D33" i="23"/>
  <c r="C33" i="23"/>
  <c r="D32" i="23"/>
  <c r="C32" i="23"/>
  <c r="D31" i="23"/>
  <c r="C31" i="23"/>
  <c r="D30" i="23"/>
  <c r="C30" i="23"/>
  <c r="D29" i="23"/>
  <c r="C29" i="23"/>
  <c r="D28" i="23"/>
  <c r="C28" i="23"/>
  <c r="D27" i="23"/>
  <c r="C27" i="23"/>
  <c r="D26" i="23"/>
  <c r="C26" i="23"/>
  <c r="D25" i="23"/>
  <c r="C25" i="23"/>
  <c r="D24" i="23"/>
  <c r="C24" i="23"/>
  <c r="D23" i="23"/>
  <c r="C23" i="23"/>
  <c r="D22" i="23"/>
  <c r="C22" i="23"/>
  <c r="D21" i="23"/>
  <c r="C21" i="23"/>
  <c r="D20" i="23"/>
  <c r="C20" i="23"/>
  <c r="D19" i="23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8" i="23"/>
  <c r="C8" i="23"/>
  <c r="D7" i="23"/>
  <c r="C7" i="23"/>
  <c r="D6" i="23"/>
  <c r="C6" i="23"/>
  <c r="D5" i="23"/>
  <c r="C5" i="23"/>
  <c r="D4" i="23"/>
  <c r="C4" i="23"/>
  <c r="D3" i="23"/>
  <c r="C3" i="23"/>
  <c r="D98" i="27"/>
  <c r="C98" i="27"/>
  <c r="D97" i="27"/>
  <c r="C97" i="27"/>
  <c r="D96" i="27"/>
  <c r="C96" i="27"/>
  <c r="D95" i="27"/>
  <c r="C95" i="27"/>
  <c r="D94" i="27"/>
  <c r="C94" i="27"/>
  <c r="D93" i="27"/>
  <c r="C93" i="27"/>
  <c r="D92" i="27"/>
  <c r="C92" i="27"/>
  <c r="D91" i="27"/>
  <c r="C91" i="27"/>
  <c r="D90" i="27"/>
  <c r="C90" i="27"/>
  <c r="D89" i="27"/>
  <c r="C89" i="27"/>
  <c r="D88" i="27"/>
  <c r="C88" i="27"/>
  <c r="D87" i="27"/>
  <c r="C87" i="27"/>
  <c r="D86" i="27"/>
  <c r="C86" i="27"/>
  <c r="D85" i="27"/>
  <c r="C85" i="27"/>
  <c r="D84" i="27"/>
  <c r="C84" i="27"/>
  <c r="D83" i="27"/>
  <c r="C83" i="27"/>
  <c r="D82" i="27"/>
  <c r="C82" i="27"/>
  <c r="D81" i="27"/>
  <c r="C81" i="27"/>
  <c r="D80" i="27"/>
  <c r="C80" i="27"/>
  <c r="D79" i="27"/>
  <c r="C79" i="27"/>
  <c r="D78" i="27"/>
  <c r="C78" i="27"/>
  <c r="D77" i="27"/>
  <c r="C77" i="27"/>
  <c r="D76" i="27"/>
  <c r="C76" i="27"/>
  <c r="D75" i="27"/>
  <c r="C75" i="27"/>
  <c r="D74" i="27"/>
  <c r="C74" i="27"/>
  <c r="D73" i="27"/>
  <c r="C73" i="27"/>
  <c r="D72" i="27"/>
  <c r="C72" i="27"/>
  <c r="D71" i="27"/>
  <c r="C71" i="27"/>
  <c r="D70" i="27"/>
  <c r="C70" i="27"/>
  <c r="D69" i="27"/>
  <c r="C69" i="27"/>
  <c r="D68" i="27"/>
  <c r="C68" i="27"/>
  <c r="D67" i="27"/>
  <c r="C67" i="27"/>
  <c r="D66" i="27"/>
  <c r="C66" i="27"/>
  <c r="D65" i="27"/>
  <c r="C65" i="27"/>
  <c r="D64" i="27"/>
  <c r="C64" i="27"/>
  <c r="D63" i="27"/>
  <c r="C63" i="27"/>
  <c r="D62" i="27"/>
  <c r="C62" i="27"/>
  <c r="D61" i="27"/>
  <c r="C61" i="27"/>
  <c r="D60" i="27"/>
  <c r="C60" i="27"/>
  <c r="D59" i="27"/>
  <c r="C59" i="27"/>
  <c r="D58" i="27"/>
  <c r="C58" i="27"/>
  <c r="D57" i="27"/>
  <c r="C57" i="27"/>
  <c r="D56" i="27"/>
  <c r="C56" i="27"/>
  <c r="D55" i="27"/>
  <c r="C55" i="27"/>
  <c r="D54" i="27"/>
  <c r="C54" i="27"/>
  <c r="D53" i="27"/>
  <c r="C53" i="27"/>
  <c r="D52" i="27"/>
  <c r="C52" i="27"/>
  <c r="D51" i="27"/>
  <c r="C51" i="27"/>
  <c r="D50" i="27"/>
  <c r="C50" i="27"/>
  <c r="D49" i="27"/>
  <c r="C49" i="27"/>
  <c r="D48" i="27"/>
  <c r="C48" i="27"/>
  <c r="D47" i="27"/>
  <c r="C47" i="27"/>
  <c r="D46" i="27"/>
  <c r="C46" i="27"/>
  <c r="D45" i="27"/>
  <c r="C45" i="27"/>
  <c r="D44" i="27"/>
  <c r="C44" i="27"/>
  <c r="D43" i="27"/>
  <c r="C43" i="27"/>
  <c r="D42" i="27"/>
  <c r="C42" i="27"/>
  <c r="D41" i="27"/>
  <c r="C41" i="27"/>
  <c r="D40" i="27"/>
  <c r="C40" i="27"/>
  <c r="D39" i="27"/>
  <c r="C39" i="27"/>
  <c r="D38" i="27"/>
  <c r="C38" i="27"/>
  <c r="D37" i="27"/>
  <c r="C37" i="27"/>
  <c r="D36" i="27"/>
  <c r="C36" i="27"/>
  <c r="D35" i="27"/>
  <c r="C35" i="27"/>
  <c r="D34" i="27"/>
  <c r="C34" i="27"/>
  <c r="D33" i="27"/>
  <c r="C33" i="27"/>
  <c r="D32" i="27"/>
  <c r="C32" i="27"/>
  <c r="D31" i="27"/>
  <c r="C31" i="27"/>
  <c r="D30" i="27"/>
  <c r="C30" i="27"/>
  <c r="D29" i="27"/>
  <c r="C29" i="27"/>
  <c r="D28" i="27"/>
  <c r="C28" i="27"/>
  <c r="D27" i="27"/>
  <c r="C27" i="27"/>
  <c r="D26" i="27"/>
  <c r="C26" i="27"/>
  <c r="D25" i="27"/>
  <c r="C25" i="27"/>
  <c r="D24" i="27"/>
  <c r="C24" i="27"/>
  <c r="D23" i="27"/>
  <c r="C23" i="27"/>
  <c r="D22" i="27"/>
  <c r="C22" i="27"/>
  <c r="D21" i="27"/>
  <c r="C21" i="27"/>
  <c r="D20" i="27"/>
  <c r="C20" i="27"/>
  <c r="D19" i="27"/>
  <c r="C19" i="27"/>
  <c r="D18" i="27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D7" i="27"/>
  <c r="C7" i="27"/>
  <c r="D6" i="27"/>
  <c r="C6" i="27"/>
  <c r="D5" i="27"/>
  <c r="C5" i="27"/>
  <c r="D4" i="27"/>
  <c r="C4" i="27"/>
  <c r="D3" i="27"/>
  <c r="C3" i="27"/>
  <c r="D98" i="28"/>
  <c r="C98" i="28"/>
  <c r="D97" i="28"/>
  <c r="C97" i="28"/>
  <c r="D96" i="28"/>
  <c r="C96" i="28"/>
  <c r="D95" i="28"/>
  <c r="C95" i="28"/>
  <c r="D94" i="28"/>
  <c r="C94" i="28"/>
  <c r="D93" i="28"/>
  <c r="C93" i="28"/>
  <c r="D92" i="28"/>
  <c r="C92" i="28"/>
  <c r="D91" i="28"/>
  <c r="C91" i="28"/>
  <c r="D90" i="28"/>
  <c r="C90" i="28"/>
  <c r="D89" i="28"/>
  <c r="C89" i="28"/>
  <c r="D88" i="28"/>
  <c r="C88" i="28"/>
  <c r="D87" i="28"/>
  <c r="C87" i="28"/>
  <c r="D86" i="28"/>
  <c r="C86" i="28"/>
  <c r="D85" i="28"/>
  <c r="C85" i="28"/>
  <c r="D84" i="28"/>
  <c r="C84" i="28"/>
  <c r="D83" i="28"/>
  <c r="C83" i="28"/>
  <c r="D82" i="28"/>
  <c r="C82" i="28"/>
  <c r="D81" i="28"/>
  <c r="C81" i="28"/>
  <c r="D80" i="28"/>
  <c r="C80" i="28"/>
  <c r="D79" i="28"/>
  <c r="C79" i="28"/>
  <c r="D78" i="28"/>
  <c r="C78" i="28"/>
  <c r="D77" i="28"/>
  <c r="C77" i="28"/>
  <c r="D76" i="28"/>
  <c r="C76" i="28"/>
  <c r="D75" i="28"/>
  <c r="C75" i="28"/>
  <c r="D74" i="28"/>
  <c r="C74" i="28"/>
  <c r="D73" i="28"/>
  <c r="C73" i="28"/>
  <c r="D72" i="28"/>
  <c r="C72" i="28"/>
  <c r="D71" i="28"/>
  <c r="C71" i="28"/>
  <c r="D70" i="28"/>
  <c r="C70" i="28"/>
  <c r="D69" i="28"/>
  <c r="C69" i="28"/>
  <c r="D68" i="28"/>
  <c r="C68" i="28"/>
  <c r="D67" i="28"/>
  <c r="C67" i="28"/>
  <c r="D66" i="28"/>
  <c r="C66" i="28"/>
  <c r="D65" i="28"/>
  <c r="C65" i="28"/>
  <c r="D64" i="28"/>
  <c r="C64" i="28"/>
  <c r="D63" i="28"/>
  <c r="C63" i="28"/>
  <c r="D62" i="28"/>
  <c r="C62" i="28"/>
  <c r="D61" i="28"/>
  <c r="C61" i="28"/>
  <c r="D60" i="28"/>
  <c r="C60" i="28"/>
  <c r="D59" i="28"/>
  <c r="C59" i="28"/>
  <c r="D58" i="28"/>
  <c r="C58" i="28"/>
  <c r="D57" i="28"/>
  <c r="C57" i="28"/>
  <c r="D56" i="28"/>
  <c r="C56" i="28"/>
  <c r="D55" i="28"/>
  <c r="C55" i="28"/>
  <c r="D54" i="28"/>
  <c r="C54" i="28"/>
  <c r="D53" i="28"/>
  <c r="C53" i="28"/>
  <c r="D52" i="28"/>
  <c r="C52" i="28"/>
  <c r="D51" i="28"/>
  <c r="C51" i="28"/>
  <c r="D50" i="28"/>
  <c r="C50" i="28"/>
  <c r="D49" i="28"/>
  <c r="C49" i="28"/>
  <c r="D48" i="28"/>
  <c r="C48" i="28"/>
  <c r="D47" i="28"/>
  <c r="C47" i="28"/>
  <c r="D46" i="28"/>
  <c r="C46" i="28"/>
  <c r="D45" i="28"/>
  <c r="C45" i="28"/>
  <c r="D44" i="28"/>
  <c r="C44" i="28"/>
  <c r="D43" i="28"/>
  <c r="C43" i="28"/>
  <c r="D42" i="28"/>
  <c r="C42" i="28"/>
  <c r="D41" i="28"/>
  <c r="C41" i="28"/>
  <c r="D40" i="28"/>
  <c r="C40" i="28"/>
  <c r="D39" i="28"/>
  <c r="C39" i="28"/>
  <c r="D38" i="28"/>
  <c r="C38" i="28"/>
  <c r="D37" i="28"/>
  <c r="C37" i="28"/>
  <c r="D36" i="28"/>
  <c r="C36" i="28"/>
  <c r="D35" i="28"/>
  <c r="C35" i="28"/>
  <c r="D34" i="28"/>
  <c r="C34" i="28"/>
  <c r="D33" i="28"/>
  <c r="C33" i="28"/>
  <c r="D32" i="28"/>
  <c r="C32" i="28"/>
  <c r="D31" i="28"/>
  <c r="C31" i="28"/>
  <c r="D30" i="28"/>
  <c r="C30" i="28"/>
  <c r="D29" i="28"/>
  <c r="C29" i="28"/>
  <c r="D28" i="28"/>
  <c r="C28" i="28"/>
  <c r="D27" i="28"/>
  <c r="C27" i="28"/>
  <c r="D26" i="28"/>
  <c r="C26" i="28"/>
  <c r="D25" i="28"/>
  <c r="C25" i="28"/>
  <c r="D24" i="28"/>
  <c r="C24" i="28"/>
  <c r="D23" i="28"/>
  <c r="C23" i="28"/>
  <c r="D22" i="28"/>
  <c r="C22" i="28"/>
  <c r="D21" i="28"/>
  <c r="C21" i="28"/>
  <c r="D20" i="28"/>
  <c r="C20" i="28"/>
  <c r="D19" i="28"/>
  <c r="C19" i="28"/>
  <c r="D18" i="28"/>
  <c r="C18" i="28"/>
  <c r="D17" i="28"/>
  <c r="C17" i="28"/>
  <c r="D16" i="28"/>
  <c r="C16" i="28"/>
  <c r="D15" i="28"/>
  <c r="C15" i="28"/>
  <c r="D14" i="28"/>
  <c r="C14" i="28"/>
  <c r="D13" i="28"/>
  <c r="C13" i="28"/>
  <c r="D12" i="28"/>
  <c r="C12" i="28"/>
  <c r="D11" i="28"/>
  <c r="C11" i="28"/>
  <c r="D10" i="28"/>
  <c r="C10" i="28"/>
  <c r="D9" i="28"/>
  <c r="C9" i="28"/>
  <c r="D8" i="28"/>
  <c r="C8" i="28"/>
  <c r="D7" i="28"/>
  <c r="C7" i="28"/>
  <c r="D6" i="28"/>
  <c r="C6" i="28"/>
  <c r="D5" i="28"/>
  <c r="C5" i="28"/>
  <c r="D4" i="28"/>
  <c r="C4" i="28"/>
  <c r="D3" i="28"/>
  <c r="C3" i="28"/>
  <c r="C217" i="20" l="1"/>
  <c r="D217" i="20" s="1"/>
  <c r="H39" i="9"/>
  <c r="P16" i="9"/>
  <c r="G16" i="9"/>
  <c r="B67" i="37"/>
  <c r="C216" i="27"/>
  <c r="D216" i="27" s="1"/>
  <c r="C213" i="23"/>
  <c r="D213" i="23" s="1"/>
  <c r="C216" i="23"/>
  <c r="D216" i="23" s="1"/>
  <c r="E217" i="23"/>
  <c r="C214" i="26"/>
  <c r="D214" i="26" s="1"/>
  <c r="C59" i="37"/>
  <c r="I31" i="9"/>
  <c r="I39" i="9"/>
  <c r="C67" i="37"/>
  <c r="C211" i="20"/>
  <c r="D211" i="20" s="1"/>
  <c r="C214" i="20"/>
  <c r="D214" i="20" s="1"/>
  <c r="C219" i="20"/>
  <c r="D219" i="20" s="1"/>
  <c r="I67" i="37"/>
  <c r="O39" i="9"/>
  <c r="E211" i="27"/>
  <c r="C213" i="27"/>
  <c r="D213" i="27" s="1"/>
  <c r="E149" i="37"/>
  <c r="E164" i="37" s="1"/>
  <c r="G67" i="37"/>
  <c r="E34" i="18"/>
  <c r="M39" i="9"/>
  <c r="E213" i="23"/>
  <c r="E216" i="23"/>
  <c r="C148" i="37"/>
  <c r="C163" i="37" s="1"/>
  <c r="E66" i="37"/>
  <c r="C33" i="18"/>
  <c r="K38" i="9"/>
  <c r="E219" i="23"/>
  <c r="D148" i="37"/>
  <c r="D163" i="37" s="1"/>
  <c r="F66" i="37"/>
  <c r="L38" i="9"/>
  <c r="D33" i="18"/>
  <c r="E216" i="22"/>
  <c r="E221" i="22"/>
  <c r="B34" i="18"/>
  <c r="B149" i="37"/>
  <c r="H34" i="18"/>
  <c r="D67" i="37"/>
  <c r="J39" i="9"/>
  <c r="C211" i="21"/>
  <c r="D211" i="21" s="1"/>
  <c r="C213" i="21"/>
  <c r="D213" i="21" s="1"/>
  <c r="C215" i="21"/>
  <c r="D215" i="21" s="1"/>
  <c r="C217" i="21"/>
  <c r="D217" i="21" s="1"/>
  <c r="C219" i="21"/>
  <c r="D219" i="21" s="1"/>
  <c r="E216" i="20"/>
  <c r="B66" i="37"/>
  <c r="P15" i="9"/>
  <c r="H38" i="9"/>
  <c r="G15" i="9"/>
  <c r="C219" i="28"/>
  <c r="D219" i="28" s="1"/>
  <c r="E215" i="27"/>
  <c r="C219" i="27"/>
  <c r="D219" i="27" s="1"/>
  <c r="E212" i="23"/>
  <c r="E215" i="23"/>
  <c r="C218" i="23"/>
  <c r="D218" i="23" s="1"/>
  <c r="C212" i="26"/>
  <c r="D212" i="26" s="1"/>
  <c r="E213" i="26"/>
  <c r="C218" i="26"/>
  <c r="D218" i="26" s="1"/>
  <c r="C219" i="22"/>
  <c r="D219" i="22" s="1"/>
  <c r="C60" i="37"/>
  <c r="I32" i="9"/>
  <c r="C66" i="37"/>
  <c r="I38" i="9"/>
  <c r="E213" i="20"/>
  <c r="O38" i="9"/>
  <c r="I66" i="37"/>
  <c r="M38" i="9"/>
  <c r="E148" i="37"/>
  <c r="E163" i="37" s="1"/>
  <c r="G66" i="37"/>
  <c r="E33" i="18"/>
  <c r="E219" i="27"/>
  <c r="E211" i="23"/>
  <c r="K39" i="9"/>
  <c r="K57" i="9" s="1"/>
  <c r="C149" i="37"/>
  <c r="C164" i="37" s="1"/>
  <c r="E67" i="37"/>
  <c r="C34" i="18"/>
  <c r="D149" i="37"/>
  <c r="D164" i="37" s="1"/>
  <c r="F67" i="37"/>
  <c r="L39" i="9"/>
  <c r="L57" i="9" s="1"/>
  <c r="D34" i="18"/>
  <c r="B33" i="18"/>
  <c r="B148" i="37"/>
  <c r="H33" i="18"/>
  <c r="D66" i="37"/>
  <c r="J38" i="9"/>
  <c r="E221" i="21"/>
  <c r="I7" i="9"/>
  <c r="C58" i="37" s="1"/>
  <c r="C212" i="21"/>
  <c r="D212" i="21" s="1"/>
  <c r="I3" i="28"/>
  <c r="I5" i="28"/>
  <c r="I7" i="28"/>
  <c r="I9" i="28"/>
  <c r="I11" i="28"/>
  <c r="I13" i="28"/>
  <c r="I15" i="28"/>
  <c r="I17" i="28"/>
  <c r="I19" i="28"/>
  <c r="I21" i="28"/>
  <c r="I23" i="28"/>
  <c r="I25" i="28"/>
  <c r="I27" i="28"/>
  <c r="I29" i="28"/>
  <c r="I31" i="28"/>
  <c r="I33" i="28"/>
  <c r="I35" i="28"/>
  <c r="I37" i="28"/>
  <c r="I39" i="28"/>
  <c r="I41" i="28"/>
  <c r="I43" i="28"/>
  <c r="I45" i="28"/>
  <c r="I47" i="28"/>
  <c r="I49" i="28"/>
  <c r="I51" i="28"/>
  <c r="I53" i="28"/>
  <c r="I55" i="28"/>
  <c r="I57" i="28"/>
  <c r="I59" i="28"/>
  <c r="I61" i="28"/>
  <c r="I63" i="28"/>
  <c r="I65" i="28"/>
  <c r="I67" i="28"/>
  <c r="I69" i="28"/>
  <c r="I71" i="28"/>
  <c r="I73" i="28"/>
  <c r="I75" i="28"/>
  <c r="I77" i="28"/>
  <c r="I79" i="28"/>
  <c r="I81" i="28"/>
  <c r="I83" i="28"/>
  <c r="I85" i="28"/>
  <c r="I87" i="28"/>
  <c r="I89" i="28"/>
  <c r="I91" i="28"/>
  <c r="I93" i="28"/>
  <c r="I95" i="28"/>
  <c r="I97" i="28"/>
  <c r="I3" i="27"/>
  <c r="I5" i="27"/>
  <c r="I7" i="27"/>
  <c r="I9" i="27"/>
  <c r="I11" i="27"/>
  <c r="I13" i="27"/>
  <c r="I15" i="27"/>
  <c r="I17" i="27"/>
  <c r="I19" i="27"/>
  <c r="I21" i="27"/>
  <c r="I23" i="27"/>
  <c r="I25" i="27"/>
  <c r="I27" i="27"/>
  <c r="I29" i="27"/>
  <c r="I31" i="27"/>
  <c r="I33" i="27"/>
  <c r="I35" i="27"/>
  <c r="I37" i="27"/>
  <c r="I39" i="27"/>
  <c r="I41" i="27"/>
  <c r="I43" i="27"/>
  <c r="I45" i="27"/>
  <c r="I47" i="27"/>
  <c r="I49" i="27"/>
  <c r="I51" i="27"/>
  <c r="I53" i="27"/>
  <c r="I55" i="27"/>
  <c r="I57" i="27"/>
  <c r="I59" i="27"/>
  <c r="I61" i="27"/>
  <c r="I63" i="27"/>
  <c r="I4" i="27"/>
  <c r="I6" i="27"/>
  <c r="I8" i="27"/>
  <c r="I10" i="27"/>
  <c r="I12" i="27"/>
  <c r="I14" i="27"/>
  <c r="I16" i="27"/>
  <c r="I18" i="27"/>
  <c r="I20" i="27"/>
  <c r="I22" i="27"/>
  <c r="I24" i="27"/>
  <c r="I26" i="27"/>
  <c r="I28" i="27"/>
  <c r="I30" i="27"/>
  <c r="I32" i="27"/>
  <c r="I34" i="27"/>
  <c r="I36" i="27"/>
  <c r="I38" i="27"/>
  <c r="I40" i="27"/>
  <c r="I42" i="27"/>
  <c r="I44" i="27"/>
  <c r="I46" i="27"/>
  <c r="I48" i="27"/>
  <c r="I50" i="27"/>
  <c r="I52" i="27"/>
  <c r="I54" i="27"/>
  <c r="I56" i="27"/>
  <c r="I58" i="27"/>
  <c r="I60" i="27"/>
  <c r="I62" i="27"/>
  <c r="I65" i="27"/>
  <c r="I67" i="27"/>
  <c r="I69" i="27"/>
  <c r="I71" i="27"/>
  <c r="I73" i="27"/>
  <c r="I75" i="27"/>
  <c r="I77" i="27"/>
  <c r="I79" i="27"/>
  <c r="I81" i="27"/>
  <c r="I83" i="27"/>
  <c r="I85" i="27"/>
  <c r="I87" i="27"/>
  <c r="I89" i="27"/>
  <c r="I91" i="27"/>
  <c r="I93" i="27"/>
  <c r="I95" i="27"/>
  <c r="I97" i="27"/>
  <c r="I3" i="23"/>
  <c r="I5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3" i="26"/>
  <c r="I5" i="26"/>
  <c r="I7" i="26"/>
  <c r="I9" i="26"/>
  <c r="I11" i="26"/>
  <c r="I13" i="26"/>
  <c r="I15" i="26"/>
  <c r="I17" i="26"/>
  <c r="I19" i="26"/>
  <c r="I21" i="26"/>
  <c r="I23" i="26"/>
  <c r="I64" i="27"/>
  <c r="I66" i="27"/>
  <c r="I68" i="27"/>
  <c r="I70" i="27"/>
  <c r="I72" i="27"/>
  <c r="I74" i="27"/>
  <c r="I76" i="27"/>
  <c r="I78" i="27"/>
  <c r="I80" i="27"/>
  <c r="I82" i="27"/>
  <c r="I84" i="27"/>
  <c r="I86" i="27"/>
  <c r="I88" i="27"/>
  <c r="I90" i="27"/>
  <c r="I92" i="27"/>
  <c r="I94" i="27"/>
  <c r="I96" i="27"/>
  <c r="I98" i="27"/>
  <c r="I4" i="23"/>
  <c r="I6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4" i="26"/>
  <c r="I6" i="26"/>
  <c r="I8" i="26"/>
  <c r="I10" i="26"/>
  <c r="I12" i="26"/>
  <c r="I14" i="26"/>
  <c r="I16" i="26"/>
  <c r="I18" i="26"/>
  <c r="I20" i="26"/>
  <c r="I22" i="26"/>
  <c r="I24" i="26"/>
  <c r="I26" i="26"/>
  <c r="I28" i="26"/>
  <c r="I30" i="26"/>
  <c r="I32" i="26"/>
  <c r="I34" i="26"/>
  <c r="I36" i="26"/>
  <c r="I38" i="26"/>
  <c r="I40" i="26"/>
  <c r="I25" i="26"/>
  <c r="I27" i="26"/>
  <c r="I29" i="26"/>
  <c r="I31" i="26"/>
  <c r="I33" i="26"/>
  <c r="I35" i="26"/>
  <c r="I37" i="26"/>
  <c r="I39" i="26"/>
  <c r="I41" i="26"/>
  <c r="I43" i="26"/>
  <c r="I45" i="26"/>
  <c r="I47" i="26"/>
  <c r="I49" i="26"/>
  <c r="I51" i="26"/>
  <c r="I53" i="26"/>
  <c r="I55" i="26"/>
  <c r="I57" i="26"/>
  <c r="I59" i="26"/>
  <c r="I61" i="26"/>
  <c r="I63" i="26"/>
  <c r="I65" i="26"/>
  <c r="I67" i="26"/>
  <c r="I69" i="26"/>
  <c r="I71" i="26"/>
  <c r="I73" i="26"/>
  <c r="I75" i="26"/>
  <c r="I77" i="26"/>
  <c r="I79" i="26"/>
  <c r="I81" i="26"/>
  <c r="I83" i="26"/>
  <c r="I85" i="26"/>
  <c r="I87" i="26"/>
  <c r="I89" i="26"/>
  <c r="I91" i="26"/>
  <c r="I93" i="26"/>
  <c r="I95" i="26"/>
  <c r="I97" i="26"/>
  <c r="I3" i="22"/>
  <c r="I5" i="22"/>
  <c r="I7" i="22"/>
  <c r="I9" i="22"/>
  <c r="I11" i="22"/>
  <c r="I13" i="22"/>
  <c r="I15" i="22"/>
  <c r="I17" i="22"/>
  <c r="I19" i="22"/>
  <c r="I21" i="22"/>
  <c r="I23" i="22"/>
  <c r="I25" i="22"/>
  <c r="I27" i="22"/>
  <c r="I29" i="22"/>
  <c r="I31" i="22"/>
  <c r="I33" i="22"/>
  <c r="I35" i="22"/>
  <c r="I37" i="22"/>
  <c r="I39" i="22"/>
  <c r="I41" i="22"/>
  <c r="I43" i="22"/>
  <c r="I45" i="22"/>
  <c r="I47" i="22"/>
  <c r="I49" i="22"/>
  <c r="I51" i="22"/>
  <c r="I53" i="22"/>
  <c r="I55" i="22"/>
  <c r="I57" i="22"/>
  <c r="I59" i="22"/>
  <c r="I61" i="22"/>
  <c r="I63" i="22"/>
  <c r="I65" i="22"/>
  <c r="I67" i="22"/>
  <c r="I69" i="22"/>
  <c r="I71" i="22"/>
  <c r="I73" i="22"/>
  <c r="I75" i="22"/>
  <c r="I77" i="22"/>
  <c r="I79" i="22"/>
  <c r="I81" i="22"/>
  <c r="I83" i="22"/>
  <c r="I85" i="22"/>
  <c r="I87" i="22"/>
  <c r="I89" i="22"/>
  <c r="I91" i="22"/>
  <c r="I93" i="22"/>
  <c r="I95" i="22"/>
  <c r="I97" i="22"/>
  <c r="I42" i="26"/>
  <c r="I44" i="26"/>
  <c r="I46" i="26"/>
  <c r="I48" i="26"/>
  <c r="I50" i="26"/>
  <c r="I52" i="26"/>
  <c r="I54" i="26"/>
  <c r="I56" i="26"/>
  <c r="I58" i="26"/>
  <c r="I60" i="26"/>
  <c r="I62" i="26"/>
  <c r="I64" i="26"/>
  <c r="I66" i="26"/>
  <c r="I68" i="26"/>
  <c r="I70" i="26"/>
  <c r="I72" i="26"/>
  <c r="I74" i="26"/>
  <c r="I76" i="26"/>
  <c r="I78" i="26"/>
  <c r="I80" i="26"/>
  <c r="I82" i="26"/>
  <c r="I84" i="26"/>
  <c r="I86" i="26"/>
  <c r="I88" i="26"/>
  <c r="I90" i="26"/>
  <c r="I92" i="26"/>
  <c r="I94" i="26"/>
  <c r="I96" i="26"/>
  <c r="I98" i="26"/>
  <c r="I4" i="22"/>
  <c r="I6" i="22"/>
  <c r="I8" i="22"/>
  <c r="I10" i="22"/>
  <c r="I12" i="22"/>
  <c r="I14" i="22"/>
  <c r="I16" i="22"/>
  <c r="I18" i="22"/>
  <c r="I20" i="22"/>
  <c r="I22" i="22"/>
  <c r="I24" i="22"/>
  <c r="I26" i="22"/>
  <c r="I28" i="22"/>
  <c r="I30" i="22"/>
  <c r="I32" i="22"/>
  <c r="I34" i="22"/>
  <c r="I36" i="22"/>
  <c r="I38" i="22"/>
  <c r="I40" i="22"/>
  <c r="I42" i="22"/>
  <c r="I44" i="22"/>
  <c r="I46" i="22"/>
  <c r="I48" i="22"/>
  <c r="I50" i="22"/>
  <c r="I52" i="22"/>
  <c r="I54" i="22"/>
  <c r="I56" i="22"/>
  <c r="I58" i="22"/>
  <c r="I60" i="22"/>
  <c r="I62" i="22"/>
  <c r="I64" i="22"/>
  <c r="I66" i="22"/>
  <c r="I68" i="22"/>
  <c r="I70" i="22"/>
  <c r="I72" i="22"/>
  <c r="I74" i="22"/>
  <c r="I76" i="22"/>
  <c r="I78" i="22"/>
  <c r="I80" i="22"/>
  <c r="I82" i="22"/>
  <c r="I84" i="22"/>
  <c r="I86" i="22"/>
  <c r="I88" i="22"/>
  <c r="I90" i="22"/>
  <c r="I92" i="22"/>
  <c r="I94" i="22"/>
  <c r="I96" i="22"/>
  <c r="I98" i="22"/>
  <c r="I6" i="28"/>
  <c r="I10" i="28"/>
  <c r="I14" i="28"/>
  <c r="I18" i="28"/>
  <c r="I22" i="28"/>
  <c r="I26" i="28"/>
  <c r="I32" i="28"/>
  <c r="I36" i="28"/>
  <c r="I38" i="28"/>
  <c r="I42" i="28"/>
  <c r="I46" i="28"/>
  <c r="I50" i="28"/>
  <c r="I54" i="28"/>
  <c r="I58" i="28"/>
  <c r="I62" i="28"/>
  <c r="I66" i="28"/>
  <c r="I70" i="28"/>
  <c r="I72" i="28"/>
  <c r="I76" i="28"/>
  <c r="I82" i="28"/>
  <c r="I86" i="28"/>
  <c r="I88" i="28"/>
  <c r="I92" i="28"/>
  <c r="I96" i="28"/>
  <c r="I4" i="28"/>
  <c r="I8" i="28"/>
  <c r="I12" i="28"/>
  <c r="I16" i="28"/>
  <c r="I20" i="28"/>
  <c r="I24" i="28"/>
  <c r="I28" i="28"/>
  <c r="I30" i="28"/>
  <c r="I34" i="28"/>
  <c r="I40" i="28"/>
  <c r="I44" i="28"/>
  <c r="I48" i="28"/>
  <c r="I52" i="28"/>
  <c r="I56" i="28"/>
  <c r="I60" i="28"/>
  <c r="I64" i="28"/>
  <c r="I68" i="28"/>
  <c r="I74" i="28"/>
  <c r="I78" i="28"/>
  <c r="I80" i="28"/>
  <c r="I84" i="28"/>
  <c r="I90" i="28"/>
  <c r="I94" i="28"/>
  <c r="I98" i="28"/>
  <c r="E221" i="28"/>
  <c r="E217" i="28"/>
  <c r="E215" i="28"/>
  <c r="E218" i="28"/>
  <c r="E220" i="28"/>
  <c r="E216" i="28"/>
  <c r="E219" i="28"/>
  <c r="E214" i="28"/>
  <c r="C213" i="28"/>
  <c r="D213" i="28" s="1"/>
  <c r="E145" i="33"/>
  <c r="E145" i="32"/>
  <c r="E146" i="19"/>
  <c r="E145" i="39"/>
  <c r="E145" i="27"/>
  <c r="E145" i="26"/>
  <c r="E145" i="28"/>
  <c r="E145" i="23"/>
  <c r="E145" i="22"/>
  <c r="N145" i="39"/>
  <c r="E213" i="28"/>
  <c r="E214" i="27"/>
  <c r="E218" i="27"/>
  <c r="E213" i="22"/>
  <c r="E211" i="20"/>
  <c r="E215" i="20"/>
  <c r="E219" i="20"/>
  <c r="C211" i="28"/>
  <c r="D211" i="28" s="1"/>
  <c r="E212" i="28"/>
  <c r="E213" i="27"/>
  <c r="E217" i="27"/>
  <c r="E214" i="23"/>
  <c r="E218" i="23"/>
  <c r="E211" i="26"/>
  <c r="E215" i="26"/>
  <c r="E219" i="26"/>
  <c r="C211" i="22"/>
  <c r="D211" i="22" s="1"/>
  <c r="E212" i="22"/>
  <c r="E219" i="22"/>
  <c r="E218" i="22"/>
  <c r="E217" i="22"/>
  <c r="E214" i="22"/>
  <c r="E214" i="20"/>
  <c r="E218" i="20"/>
  <c r="E211" i="28"/>
  <c r="C211" i="27"/>
  <c r="D211" i="27" s="1"/>
  <c r="E212" i="27"/>
  <c r="E216" i="27"/>
  <c r="E214" i="26"/>
  <c r="E218" i="26"/>
  <c r="E211" i="22"/>
  <c r="E215" i="22"/>
  <c r="E211" i="21"/>
  <c r="E212" i="21"/>
  <c r="E213" i="21"/>
  <c r="E214" i="21"/>
  <c r="E215" i="21"/>
  <c r="E216" i="21"/>
  <c r="E217" i="21"/>
  <c r="E218" i="21"/>
  <c r="E219" i="21"/>
  <c r="D91" i="37" l="1"/>
  <c r="J23" i="38"/>
  <c r="C85" i="37"/>
  <c r="D19" i="38"/>
  <c r="D19" i="11" s="1"/>
  <c r="G149" i="37"/>
  <c r="G164" i="37" s="1"/>
  <c r="B164" i="37"/>
  <c r="C83" i="37"/>
  <c r="B19" i="38"/>
  <c r="B19" i="11" s="1"/>
  <c r="E92" i="37"/>
  <c r="K28" i="38"/>
  <c r="J57" i="9"/>
  <c r="G92" i="37"/>
  <c r="K38" i="38"/>
  <c r="C84" i="37"/>
  <c r="C19" i="38"/>
  <c r="C19" i="11" s="1"/>
  <c r="G148" i="37"/>
  <c r="G163" i="37" s="1"/>
  <c r="B163" i="37"/>
  <c r="F92" i="37"/>
  <c r="K33" i="38"/>
  <c r="I91" i="37"/>
  <c r="J48" i="38"/>
  <c r="C91" i="37"/>
  <c r="J19" i="38"/>
  <c r="B91" i="37"/>
  <c r="J66" i="37"/>
  <c r="J15" i="38"/>
  <c r="D92" i="37"/>
  <c r="K23" i="38"/>
  <c r="F91" i="37"/>
  <c r="J33" i="38"/>
  <c r="I92" i="37"/>
  <c r="K48" i="38"/>
  <c r="C92" i="37"/>
  <c r="K19" i="38"/>
  <c r="H57" i="9"/>
  <c r="G91" i="37"/>
  <c r="J38" i="38"/>
  <c r="E91" i="37"/>
  <c r="J28" i="38"/>
  <c r="M57" i="9"/>
  <c r="I57" i="9"/>
  <c r="B92" i="37"/>
  <c r="K15" i="38"/>
  <c r="J67" i="37"/>
  <c r="E146" i="33"/>
  <c r="E146" i="32"/>
  <c r="N146" i="39" s="1"/>
  <c r="E146" i="39"/>
  <c r="E146" i="28"/>
  <c r="E146" i="23"/>
  <c r="E146" i="27"/>
  <c r="E146" i="26"/>
  <c r="E146" i="22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E3" i="36"/>
  <c r="K19" i="11" l="1"/>
  <c r="H81" i="38"/>
  <c r="J38" i="11"/>
  <c r="G100" i="38"/>
  <c r="J9" i="38"/>
  <c r="J91" i="37"/>
  <c r="G110" i="38"/>
  <c r="J48" i="11"/>
  <c r="G77" i="38"/>
  <c r="J15" i="11"/>
  <c r="J52" i="38"/>
  <c r="K9" i="38"/>
  <c r="J92" i="37"/>
  <c r="H110" i="38"/>
  <c r="K48" i="11"/>
  <c r="K23" i="11"/>
  <c r="H85" i="38"/>
  <c r="K38" i="11"/>
  <c r="H100" i="38"/>
  <c r="K28" i="11"/>
  <c r="H90" i="38"/>
  <c r="J23" i="11"/>
  <c r="G85" i="38"/>
  <c r="J33" i="11"/>
  <c r="G95" i="38"/>
  <c r="H77" i="38"/>
  <c r="K52" i="38"/>
  <c r="K15" i="11"/>
  <c r="K52" i="11" s="1"/>
  <c r="G90" i="38"/>
  <c r="J28" i="11"/>
  <c r="G81" i="38"/>
  <c r="J19" i="11"/>
  <c r="K33" i="11"/>
  <c r="H95" i="38"/>
  <c r="E148" i="19"/>
  <c r="E148" i="21" s="1"/>
  <c r="E147" i="39"/>
  <c r="E147" i="28"/>
  <c r="E147" i="23"/>
  <c r="E147" i="27"/>
  <c r="E147" i="26"/>
  <c r="E147" i="22"/>
  <c r="E147" i="32"/>
  <c r="N147" i="39" s="1"/>
  <c r="E7" i="33"/>
  <c r="H7" i="32"/>
  <c r="E31" i="33"/>
  <c r="H31" i="32"/>
  <c r="E43" i="33"/>
  <c r="H43" i="32"/>
  <c r="E67" i="33"/>
  <c r="H67" i="32"/>
  <c r="E103" i="33"/>
  <c r="W103" i="39" s="1"/>
  <c r="E115" i="33"/>
  <c r="W115" i="39" s="1"/>
  <c r="W139" i="39"/>
  <c r="E11" i="33"/>
  <c r="H11" i="32"/>
  <c r="H23" i="32"/>
  <c r="E23" i="33"/>
  <c r="E35" i="33"/>
  <c r="H35" i="32"/>
  <c r="H47" i="32"/>
  <c r="E47" i="33"/>
  <c r="E59" i="33"/>
  <c r="H59" i="32"/>
  <c r="E83" i="33"/>
  <c r="H83" i="32"/>
  <c r="H95" i="32"/>
  <c r="E95" i="33"/>
  <c r="E107" i="33"/>
  <c r="W107" i="39" s="1"/>
  <c r="E119" i="33"/>
  <c r="W119" i="39" s="1"/>
  <c r="E131" i="33"/>
  <c r="W131" i="39" s="1"/>
  <c r="W143" i="39"/>
  <c r="E14" i="33"/>
  <c r="H14" i="32"/>
  <c r="E26" i="33"/>
  <c r="H26" i="32"/>
  <c r="E38" i="33"/>
  <c r="H38" i="32"/>
  <c r="E50" i="33"/>
  <c r="H50" i="32"/>
  <c r="E62" i="33"/>
  <c r="H62" i="32"/>
  <c r="E74" i="33"/>
  <c r="H74" i="32"/>
  <c r="E86" i="33"/>
  <c r="H86" i="32"/>
  <c r="E98" i="33"/>
  <c r="H98" i="32"/>
  <c r="E110" i="33"/>
  <c r="W110" i="39" s="1"/>
  <c r="E122" i="33"/>
  <c r="W122" i="39" s="1"/>
  <c r="E134" i="33"/>
  <c r="W134" i="39" s="1"/>
  <c r="W146" i="39"/>
  <c r="E3" i="33"/>
  <c r="H15" i="32"/>
  <c r="Q15" i="39" s="1"/>
  <c r="E15" i="33"/>
  <c r="H27" i="32"/>
  <c r="Q27" i="39" s="1"/>
  <c r="E27" i="33"/>
  <c r="E39" i="33"/>
  <c r="H39" i="32"/>
  <c r="Q39" i="39" s="1"/>
  <c r="E51" i="33"/>
  <c r="H51" i="32"/>
  <c r="Q51" i="39" s="1"/>
  <c r="H63" i="32"/>
  <c r="Q63" i="39" s="1"/>
  <c r="E63" i="33"/>
  <c r="E75" i="33"/>
  <c r="H75" i="32"/>
  <c r="Q75" i="39" s="1"/>
  <c r="H87" i="32"/>
  <c r="Q87" i="39" s="1"/>
  <c r="E87" i="33"/>
  <c r="E99" i="33"/>
  <c r="W99" i="39" s="1"/>
  <c r="E111" i="33"/>
  <c r="W111" i="39" s="1"/>
  <c r="E123" i="33"/>
  <c r="W123" i="39" s="1"/>
  <c r="E123" i="21"/>
  <c r="W135" i="39"/>
  <c r="E147" i="33"/>
  <c r="W147" i="39" s="1"/>
  <c r="H19" i="32"/>
  <c r="E19" i="33"/>
  <c r="H55" i="32"/>
  <c r="E55" i="33"/>
  <c r="H79" i="32"/>
  <c r="E79" i="33"/>
  <c r="E91" i="33"/>
  <c r="H91" i="32"/>
  <c r="E127" i="33"/>
  <c r="W127" i="39" s="1"/>
  <c r="H71" i="32"/>
  <c r="E71" i="33"/>
  <c r="E4" i="33"/>
  <c r="H4" i="32"/>
  <c r="E12" i="33"/>
  <c r="H12" i="32"/>
  <c r="E16" i="33"/>
  <c r="H16" i="32"/>
  <c r="J20" i="26"/>
  <c r="K20" i="26" s="1"/>
  <c r="E24" i="33"/>
  <c r="H24" i="32"/>
  <c r="E28" i="33"/>
  <c r="H28" i="32"/>
  <c r="H36" i="32"/>
  <c r="E36" i="33"/>
  <c r="E40" i="33"/>
  <c r="H40" i="32"/>
  <c r="E48" i="33"/>
  <c r="H48" i="32"/>
  <c r="E52" i="33"/>
  <c r="H52" i="32"/>
  <c r="E60" i="33"/>
  <c r="H60" i="32"/>
  <c r="E64" i="33"/>
  <c r="H64" i="32"/>
  <c r="E72" i="33"/>
  <c r="H72" i="32"/>
  <c r="E76" i="33"/>
  <c r="H76" i="32"/>
  <c r="E84" i="33"/>
  <c r="H84" i="32"/>
  <c r="E88" i="33"/>
  <c r="H88" i="32"/>
  <c r="E96" i="33"/>
  <c r="H96" i="32"/>
  <c r="E100" i="33"/>
  <c r="W100" i="39" s="1"/>
  <c r="E108" i="33"/>
  <c r="W108" i="39" s="1"/>
  <c r="E112" i="33"/>
  <c r="W112" i="39" s="1"/>
  <c r="E120" i="33"/>
  <c r="W120" i="39" s="1"/>
  <c r="E124" i="33"/>
  <c r="W124" i="39" s="1"/>
  <c r="E132" i="33"/>
  <c r="W132" i="39" s="1"/>
  <c r="W136" i="39"/>
  <c r="W144" i="39"/>
  <c r="E5" i="33"/>
  <c r="H5" i="32"/>
  <c r="E9" i="21"/>
  <c r="I9" i="21" s="1"/>
  <c r="H13" i="32"/>
  <c r="E13" i="33"/>
  <c r="H17" i="32"/>
  <c r="E17" i="33"/>
  <c r="H25" i="32"/>
  <c r="E25" i="33"/>
  <c r="H29" i="32"/>
  <c r="E29" i="33"/>
  <c r="E37" i="33"/>
  <c r="H37" i="32"/>
  <c r="E41" i="33"/>
  <c r="H41" i="32"/>
  <c r="H49" i="32"/>
  <c r="E49" i="33"/>
  <c r="E53" i="33"/>
  <c r="H53" i="32"/>
  <c r="E61" i="33"/>
  <c r="H61" i="32"/>
  <c r="H65" i="32"/>
  <c r="E65" i="33"/>
  <c r="H73" i="32"/>
  <c r="E73" i="33"/>
  <c r="E77" i="33"/>
  <c r="H77" i="32"/>
  <c r="E85" i="33"/>
  <c r="H85" i="32"/>
  <c r="H89" i="32"/>
  <c r="E89" i="33"/>
  <c r="H97" i="32"/>
  <c r="E97" i="33"/>
  <c r="E101" i="33"/>
  <c r="W101" i="39" s="1"/>
  <c r="E109" i="33"/>
  <c r="W109" i="39" s="1"/>
  <c r="E113" i="33"/>
  <c r="W113" i="39" s="1"/>
  <c r="E121" i="33"/>
  <c r="W121" i="39" s="1"/>
  <c r="E125" i="33"/>
  <c r="W125" i="39" s="1"/>
  <c r="E133" i="33"/>
  <c r="W133" i="39" s="1"/>
  <c r="W137" i="39"/>
  <c r="W145" i="39"/>
  <c r="J10" i="27"/>
  <c r="K10" i="27" s="1"/>
  <c r="J42" i="23"/>
  <c r="K42" i="23" s="1"/>
  <c r="J58" i="23"/>
  <c r="K58" i="23" s="1"/>
  <c r="J90" i="27"/>
  <c r="K90" i="27" s="1"/>
  <c r="E130" i="21"/>
  <c r="E138" i="21"/>
  <c r="H11" i="19"/>
  <c r="H11" i="39" s="1"/>
  <c r="E11" i="21"/>
  <c r="I11" i="21" s="1"/>
  <c r="J11" i="22"/>
  <c r="K11" i="22" s="1"/>
  <c r="J11" i="23"/>
  <c r="K11" i="23" s="1"/>
  <c r="J11" i="27"/>
  <c r="K11" i="27" s="1"/>
  <c r="E11" i="20"/>
  <c r="I11" i="20" s="1"/>
  <c r="J11" i="26"/>
  <c r="K11" i="26" s="1"/>
  <c r="J11" i="28"/>
  <c r="K11" i="28" s="1"/>
  <c r="H15" i="19"/>
  <c r="H15" i="39" s="1"/>
  <c r="E15" i="21"/>
  <c r="I15" i="21" s="1"/>
  <c r="E15" i="20"/>
  <c r="I15" i="20" s="1"/>
  <c r="H27" i="19"/>
  <c r="H27" i="39" s="1"/>
  <c r="E27" i="21"/>
  <c r="I27" i="21" s="1"/>
  <c r="E27" i="20"/>
  <c r="I27" i="20" s="1"/>
  <c r="H43" i="19"/>
  <c r="H43" i="39" s="1"/>
  <c r="E43" i="21"/>
  <c r="I43" i="21" s="1"/>
  <c r="J43" i="23"/>
  <c r="K43" i="23" s="1"/>
  <c r="J43" i="22"/>
  <c r="K43" i="22" s="1"/>
  <c r="J43" i="27"/>
  <c r="K43" i="27" s="1"/>
  <c r="E43" i="20"/>
  <c r="I43" i="20" s="1"/>
  <c r="J43" i="26"/>
  <c r="K43" i="26" s="1"/>
  <c r="J43" i="28"/>
  <c r="K43" i="28" s="1"/>
  <c r="H55" i="19"/>
  <c r="H55" i="39" s="1"/>
  <c r="E55" i="21"/>
  <c r="I55" i="21" s="1"/>
  <c r="J55" i="23"/>
  <c r="K55" i="23" s="1"/>
  <c r="J55" i="27"/>
  <c r="K55" i="27" s="1"/>
  <c r="J55" i="26"/>
  <c r="K55" i="26" s="1"/>
  <c r="J55" i="22"/>
  <c r="K55" i="22" s="1"/>
  <c r="J55" i="28"/>
  <c r="K55" i="28" s="1"/>
  <c r="E55" i="20"/>
  <c r="I55" i="20" s="1"/>
  <c r="H67" i="19"/>
  <c r="H67" i="39" s="1"/>
  <c r="E67" i="21"/>
  <c r="I67" i="21" s="1"/>
  <c r="J67" i="23"/>
  <c r="K67" i="23" s="1"/>
  <c r="J67" i="22"/>
  <c r="K67" i="22" s="1"/>
  <c r="J67" i="27"/>
  <c r="K67" i="27" s="1"/>
  <c r="J67" i="28"/>
  <c r="K67" i="28" s="1"/>
  <c r="E67" i="20"/>
  <c r="I67" i="20" s="1"/>
  <c r="J67" i="26"/>
  <c r="K67" i="26" s="1"/>
  <c r="H79" i="19"/>
  <c r="H79" i="39" s="1"/>
  <c r="J79" i="22"/>
  <c r="K79" i="22" s="1"/>
  <c r="J79" i="23"/>
  <c r="K79" i="23" s="1"/>
  <c r="J79" i="27"/>
  <c r="K79" i="27" s="1"/>
  <c r="J79" i="26"/>
  <c r="K79" i="26" s="1"/>
  <c r="E79" i="21"/>
  <c r="I79" i="21" s="1"/>
  <c r="E79" i="20"/>
  <c r="I79" i="20" s="1"/>
  <c r="J79" i="28"/>
  <c r="K79" i="28" s="1"/>
  <c r="H95" i="19"/>
  <c r="H95" i="39" s="1"/>
  <c r="J95" i="22"/>
  <c r="K95" i="22" s="1"/>
  <c r="E95" i="21"/>
  <c r="I95" i="21" s="1"/>
  <c r="J95" i="23"/>
  <c r="K95" i="23" s="1"/>
  <c r="J95" i="27"/>
  <c r="K95" i="27" s="1"/>
  <c r="J95" i="26"/>
  <c r="K95" i="26" s="1"/>
  <c r="E95" i="20"/>
  <c r="I95" i="20" s="1"/>
  <c r="J95" i="28"/>
  <c r="K95" i="28" s="1"/>
  <c r="E107" i="21"/>
  <c r="E107" i="20"/>
  <c r="E115" i="21"/>
  <c r="E115" i="20"/>
  <c r="E123" i="20"/>
  <c r="E135" i="21"/>
  <c r="E135" i="20"/>
  <c r="E143" i="20"/>
  <c r="E143" i="21"/>
  <c r="H4" i="19"/>
  <c r="H4" i="39" s="1"/>
  <c r="E4" i="21"/>
  <c r="I4" i="21" s="1"/>
  <c r="J4" i="26"/>
  <c r="K4" i="26" s="1"/>
  <c r="J4" i="23"/>
  <c r="K4" i="23" s="1"/>
  <c r="J4" i="22"/>
  <c r="K4" i="22" s="1"/>
  <c r="J4" i="28"/>
  <c r="K4" i="28" s="1"/>
  <c r="J4" i="27"/>
  <c r="K4" i="27" s="1"/>
  <c r="E4" i="20"/>
  <c r="I4" i="20" s="1"/>
  <c r="H8" i="19"/>
  <c r="H8" i="39" s="1"/>
  <c r="E8" i="21"/>
  <c r="I8" i="21" s="1"/>
  <c r="J8" i="23"/>
  <c r="K8" i="23" s="1"/>
  <c r="J8" i="27"/>
  <c r="K8" i="27" s="1"/>
  <c r="H12" i="19"/>
  <c r="H12" i="39" s="1"/>
  <c r="E12" i="21"/>
  <c r="I12" i="21" s="1"/>
  <c r="J12" i="26"/>
  <c r="K12" i="26" s="1"/>
  <c r="J12" i="22"/>
  <c r="K12" i="22" s="1"/>
  <c r="J12" i="23"/>
  <c r="K12" i="23" s="1"/>
  <c r="J12" i="27"/>
  <c r="K12" i="27" s="1"/>
  <c r="J12" i="28"/>
  <c r="K12" i="28" s="1"/>
  <c r="E12" i="20"/>
  <c r="I12" i="20" s="1"/>
  <c r="H16" i="19"/>
  <c r="H16" i="39" s="1"/>
  <c r="E16" i="21"/>
  <c r="I16" i="21" s="1"/>
  <c r="J16" i="26"/>
  <c r="K16" i="26" s="1"/>
  <c r="J16" i="23"/>
  <c r="K16" i="23" s="1"/>
  <c r="J16" i="22"/>
  <c r="K16" i="22" s="1"/>
  <c r="J16" i="28"/>
  <c r="K16" i="28" s="1"/>
  <c r="J16" i="27"/>
  <c r="K16" i="27" s="1"/>
  <c r="E16" i="20"/>
  <c r="I16" i="20" s="1"/>
  <c r="E20" i="21"/>
  <c r="I20" i="21" s="1"/>
  <c r="E20" i="20"/>
  <c r="I20" i="20" s="1"/>
  <c r="H24" i="19"/>
  <c r="H24" i="39" s="1"/>
  <c r="E24" i="21"/>
  <c r="I24" i="21" s="1"/>
  <c r="J24" i="22"/>
  <c r="K24" i="22" s="1"/>
  <c r="J24" i="26"/>
  <c r="K24" i="26" s="1"/>
  <c r="J24" i="23"/>
  <c r="K24" i="23" s="1"/>
  <c r="J24" i="27"/>
  <c r="K24" i="27" s="1"/>
  <c r="J24" i="28"/>
  <c r="K24" i="28" s="1"/>
  <c r="E24" i="20"/>
  <c r="I24" i="20" s="1"/>
  <c r="H28" i="19"/>
  <c r="H28" i="39" s="1"/>
  <c r="E28" i="21"/>
  <c r="I28" i="21" s="1"/>
  <c r="J28" i="26"/>
  <c r="K28" i="26" s="1"/>
  <c r="J28" i="23"/>
  <c r="K28" i="23" s="1"/>
  <c r="J28" i="22"/>
  <c r="K28" i="22" s="1"/>
  <c r="J28" i="27"/>
  <c r="K28" i="27" s="1"/>
  <c r="E28" i="20"/>
  <c r="I28" i="20" s="1"/>
  <c r="J28" i="28"/>
  <c r="K28" i="28" s="1"/>
  <c r="H32" i="19"/>
  <c r="H32" i="39" s="1"/>
  <c r="E32" i="21"/>
  <c r="I32" i="21" s="1"/>
  <c r="J32" i="22"/>
  <c r="K32" i="22" s="1"/>
  <c r="J32" i="26"/>
  <c r="K32" i="26" s="1"/>
  <c r="J32" i="23"/>
  <c r="K32" i="23" s="1"/>
  <c r="J32" i="27"/>
  <c r="K32" i="27" s="1"/>
  <c r="J32" i="28"/>
  <c r="K32" i="28" s="1"/>
  <c r="E32" i="20"/>
  <c r="I32" i="20" s="1"/>
  <c r="H36" i="19"/>
  <c r="H36" i="39" s="1"/>
  <c r="E36" i="21"/>
  <c r="I36" i="21" s="1"/>
  <c r="J36" i="26"/>
  <c r="K36" i="26" s="1"/>
  <c r="J36" i="23"/>
  <c r="K36" i="23" s="1"/>
  <c r="J36" i="22"/>
  <c r="K36" i="22" s="1"/>
  <c r="J36" i="28"/>
  <c r="K36" i="28" s="1"/>
  <c r="E36" i="20"/>
  <c r="I36" i="20" s="1"/>
  <c r="J36" i="27"/>
  <c r="K36" i="27" s="1"/>
  <c r="H40" i="19"/>
  <c r="H40" i="39" s="1"/>
  <c r="E40" i="21"/>
  <c r="I40" i="21" s="1"/>
  <c r="J40" i="22"/>
  <c r="K40" i="22" s="1"/>
  <c r="J40" i="26"/>
  <c r="K40" i="26" s="1"/>
  <c r="J40" i="23"/>
  <c r="K40" i="23" s="1"/>
  <c r="J40" i="28"/>
  <c r="K40" i="28" s="1"/>
  <c r="E40" i="20"/>
  <c r="I40" i="20" s="1"/>
  <c r="J40" i="27"/>
  <c r="K40" i="27" s="1"/>
  <c r="H44" i="19"/>
  <c r="H44" i="39" s="1"/>
  <c r="E44" i="21"/>
  <c r="I44" i="21" s="1"/>
  <c r="J44" i="26"/>
  <c r="K44" i="26" s="1"/>
  <c r="J44" i="23"/>
  <c r="K44" i="23" s="1"/>
  <c r="J44" i="22"/>
  <c r="K44" i="22" s="1"/>
  <c r="J44" i="27"/>
  <c r="K44" i="27" s="1"/>
  <c r="J44" i="28"/>
  <c r="K44" i="28" s="1"/>
  <c r="E44" i="20"/>
  <c r="I44" i="20" s="1"/>
  <c r="H48" i="19"/>
  <c r="H48" i="39" s="1"/>
  <c r="E48" i="21"/>
  <c r="I48" i="21" s="1"/>
  <c r="J48" i="22"/>
  <c r="K48" i="22" s="1"/>
  <c r="J48" i="26"/>
  <c r="K48" i="26" s="1"/>
  <c r="J48" i="23"/>
  <c r="K48" i="23" s="1"/>
  <c r="J48" i="27"/>
  <c r="K48" i="27" s="1"/>
  <c r="J48" i="28"/>
  <c r="K48" i="28" s="1"/>
  <c r="E48" i="20"/>
  <c r="I48" i="20" s="1"/>
  <c r="H52" i="19"/>
  <c r="H52" i="39" s="1"/>
  <c r="E52" i="21"/>
  <c r="I52" i="21" s="1"/>
  <c r="J52" i="26"/>
  <c r="K52" i="26" s="1"/>
  <c r="J52" i="23"/>
  <c r="K52" i="23" s="1"/>
  <c r="J52" i="22"/>
  <c r="K52" i="22" s="1"/>
  <c r="J52" i="27"/>
  <c r="K52" i="27" s="1"/>
  <c r="J52" i="28"/>
  <c r="K52" i="28" s="1"/>
  <c r="E52" i="20"/>
  <c r="I52" i="20" s="1"/>
  <c r="H56" i="19"/>
  <c r="H56" i="39" s="1"/>
  <c r="E56" i="21"/>
  <c r="I56" i="21" s="1"/>
  <c r="J56" i="23"/>
  <c r="K56" i="23" s="1"/>
  <c r="J56" i="28"/>
  <c r="K56" i="28" s="1"/>
  <c r="H60" i="19"/>
  <c r="H60" i="39" s="1"/>
  <c r="E60" i="21"/>
  <c r="I60" i="21" s="1"/>
  <c r="J60" i="26"/>
  <c r="K60" i="26" s="1"/>
  <c r="J60" i="23"/>
  <c r="K60" i="23" s="1"/>
  <c r="J60" i="22"/>
  <c r="K60" i="22" s="1"/>
  <c r="J60" i="27"/>
  <c r="K60" i="27" s="1"/>
  <c r="E60" i="20"/>
  <c r="I60" i="20" s="1"/>
  <c r="J60" i="28"/>
  <c r="K60" i="28" s="1"/>
  <c r="H64" i="19"/>
  <c r="H64" i="39" s="1"/>
  <c r="E64" i="21"/>
  <c r="I64" i="21" s="1"/>
  <c r="J64" i="22"/>
  <c r="K64" i="22" s="1"/>
  <c r="J64" i="26"/>
  <c r="K64" i="26" s="1"/>
  <c r="J64" i="23"/>
  <c r="K64" i="23" s="1"/>
  <c r="J64" i="27"/>
  <c r="K64" i="27" s="1"/>
  <c r="J64" i="28"/>
  <c r="K64" i="28" s="1"/>
  <c r="E64" i="20"/>
  <c r="I64" i="20" s="1"/>
  <c r="E68" i="21"/>
  <c r="I68" i="21" s="1"/>
  <c r="J68" i="27"/>
  <c r="K68" i="27" s="1"/>
  <c r="H72" i="19"/>
  <c r="H72" i="39" s="1"/>
  <c r="E72" i="21"/>
  <c r="I72" i="21" s="1"/>
  <c r="J72" i="22"/>
  <c r="K72" i="22" s="1"/>
  <c r="J72" i="26"/>
  <c r="K72" i="26" s="1"/>
  <c r="J72" i="23"/>
  <c r="K72" i="23" s="1"/>
  <c r="J72" i="27"/>
  <c r="K72" i="27" s="1"/>
  <c r="J72" i="28"/>
  <c r="K72" i="28" s="1"/>
  <c r="E72" i="20"/>
  <c r="I72" i="20" s="1"/>
  <c r="H76" i="19"/>
  <c r="H76" i="39" s="1"/>
  <c r="E76" i="21"/>
  <c r="I76" i="21" s="1"/>
  <c r="J76" i="22"/>
  <c r="K76" i="22" s="1"/>
  <c r="J76" i="26"/>
  <c r="K76" i="26" s="1"/>
  <c r="J76" i="23"/>
  <c r="K76" i="23" s="1"/>
  <c r="J76" i="28"/>
  <c r="K76" i="28" s="1"/>
  <c r="E76" i="20"/>
  <c r="I76" i="20" s="1"/>
  <c r="J76" i="27"/>
  <c r="K76" i="27" s="1"/>
  <c r="H80" i="19"/>
  <c r="H80" i="39" s="1"/>
  <c r="E80" i="21"/>
  <c r="I80" i="21" s="1"/>
  <c r="J80" i="22"/>
  <c r="K80" i="22" s="1"/>
  <c r="J80" i="26"/>
  <c r="K80" i="26" s="1"/>
  <c r="J80" i="23"/>
  <c r="K80" i="23" s="1"/>
  <c r="J80" i="27"/>
  <c r="K80" i="27" s="1"/>
  <c r="J80" i="28"/>
  <c r="K80" i="28" s="1"/>
  <c r="E80" i="20"/>
  <c r="I80" i="20" s="1"/>
  <c r="H84" i="19"/>
  <c r="H84" i="39" s="1"/>
  <c r="E84" i="21"/>
  <c r="I84" i="21" s="1"/>
  <c r="J84" i="22"/>
  <c r="K84" i="22" s="1"/>
  <c r="J84" i="26"/>
  <c r="K84" i="26" s="1"/>
  <c r="J84" i="23"/>
  <c r="K84" i="23" s="1"/>
  <c r="J84" i="28"/>
  <c r="K84" i="28" s="1"/>
  <c r="E84" i="20"/>
  <c r="I84" i="20" s="1"/>
  <c r="J84" i="27"/>
  <c r="K84" i="27" s="1"/>
  <c r="H88" i="19"/>
  <c r="H88" i="39" s="1"/>
  <c r="E88" i="21"/>
  <c r="I88" i="21" s="1"/>
  <c r="J88" i="22"/>
  <c r="K88" i="22" s="1"/>
  <c r="J88" i="26"/>
  <c r="K88" i="26" s="1"/>
  <c r="J88" i="23"/>
  <c r="K88" i="23" s="1"/>
  <c r="J88" i="27"/>
  <c r="K88" i="27" s="1"/>
  <c r="J88" i="28"/>
  <c r="K88" i="28" s="1"/>
  <c r="E88" i="20"/>
  <c r="I88" i="20" s="1"/>
  <c r="H92" i="19"/>
  <c r="H92" i="39" s="1"/>
  <c r="E92" i="21"/>
  <c r="I92" i="21" s="1"/>
  <c r="J92" i="22"/>
  <c r="K92" i="22" s="1"/>
  <c r="J92" i="26"/>
  <c r="K92" i="26" s="1"/>
  <c r="J92" i="23"/>
  <c r="K92" i="23" s="1"/>
  <c r="E92" i="20"/>
  <c r="I92" i="20" s="1"/>
  <c r="J92" i="27"/>
  <c r="K92" i="27" s="1"/>
  <c r="J92" i="28"/>
  <c r="K92" i="28" s="1"/>
  <c r="H96" i="19"/>
  <c r="H96" i="39" s="1"/>
  <c r="E96" i="21"/>
  <c r="I96" i="21" s="1"/>
  <c r="J96" i="26"/>
  <c r="K96" i="26" s="1"/>
  <c r="J96" i="22"/>
  <c r="K96" i="22" s="1"/>
  <c r="J96" i="23"/>
  <c r="K96" i="23" s="1"/>
  <c r="J96" i="27"/>
  <c r="K96" i="27" s="1"/>
  <c r="E96" i="20"/>
  <c r="I96" i="20" s="1"/>
  <c r="J96" i="28"/>
  <c r="K96" i="28" s="1"/>
  <c r="E100" i="21"/>
  <c r="E100" i="20"/>
  <c r="E108" i="21"/>
  <c r="E108" i="20"/>
  <c r="E112" i="21"/>
  <c r="E112" i="20"/>
  <c r="E120" i="21"/>
  <c r="E120" i="20"/>
  <c r="E124" i="21"/>
  <c r="E124" i="20"/>
  <c r="E128" i="21"/>
  <c r="E128" i="20"/>
  <c r="E132" i="21"/>
  <c r="E132" i="20"/>
  <c r="E136" i="21"/>
  <c r="E136" i="20"/>
  <c r="E140" i="21"/>
  <c r="E140" i="20"/>
  <c r="E144" i="21"/>
  <c r="E144" i="20"/>
  <c r="H3" i="19"/>
  <c r="H3" i="39" s="1"/>
  <c r="E3" i="21"/>
  <c r="I3" i="21" s="1"/>
  <c r="E3" i="20"/>
  <c r="I3" i="20" s="1"/>
  <c r="H23" i="19"/>
  <c r="H23" i="39" s="1"/>
  <c r="E23" i="21"/>
  <c r="I23" i="21" s="1"/>
  <c r="J23" i="23"/>
  <c r="K23" i="23" s="1"/>
  <c r="J23" i="26"/>
  <c r="K23" i="26" s="1"/>
  <c r="J23" i="28"/>
  <c r="K23" i="28" s="1"/>
  <c r="E23" i="20"/>
  <c r="I23" i="20" s="1"/>
  <c r="J23" i="27"/>
  <c r="K23" i="27" s="1"/>
  <c r="J23" i="22"/>
  <c r="K23" i="22" s="1"/>
  <c r="H35" i="19"/>
  <c r="H35" i="39" s="1"/>
  <c r="E35" i="21"/>
  <c r="I35" i="21" s="1"/>
  <c r="J35" i="23"/>
  <c r="K35" i="23" s="1"/>
  <c r="J35" i="22"/>
  <c r="K35" i="22" s="1"/>
  <c r="J35" i="27"/>
  <c r="K35" i="27" s="1"/>
  <c r="J35" i="28"/>
  <c r="K35" i="28" s="1"/>
  <c r="E35" i="20"/>
  <c r="I35" i="20" s="1"/>
  <c r="J35" i="26"/>
  <c r="K35" i="26" s="1"/>
  <c r="H47" i="19"/>
  <c r="H47" i="39" s="1"/>
  <c r="J47" i="23"/>
  <c r="K47" i="23" s="1"/>
  <c r="E47" i="21"/>
  <c r="I47" i="21" s="1"/>
  <c r="J47" i="27"/>
  <c r="K47" i="27" s="1"/>
  <c r="J47" i="22"/>
  <c r="K47" i="22" s="1"/>
  <c r="J47" i="26"/>
  <c r="K47" i="26" s="1"/>
  <c r="E47" i="20"/>
  <c r="I47" i="20" s="1"/>
  <c r="J47" i="28"/>
  <c r="K47" i="28" s="1"/>
  <c r="H59" i="19"/>
  <c r="H59" i="39" s="1"/>
  <c r="E59" i="21"/>
  <c r="I59" i="21" s="1"/>
  <c r="J59" i="23"/>
  <c r="K59" i="23" s="1"/>
  <c r="J59" i="22"/>
  <c r="K59" i="22" s="1"/>
  <c r="J59" i="27"/>
  <c r="K59" i="27" s="1"/>
  <c r="J59" i="26"/>
  <c r="K59" i="26" s="1"/>
  <c r="E59" i="20"/>
  <c r="I59" i="20" s="1"/>
  <c r="J59" i="28"/>
  <c r="K59" i="28" s="1"/>
  <c r="H75" i="19"/>
  <c r="H75" i="39" s="1"/>
  <c r="E75" i="21"/>
  <c r="I75" i="21" s="1"/>
  <c r="E75" i="20"/>
  <c r="I75" i="20" s="1"/>
  <c r="H87" i="19"/>
  <c r="H87" i="39" s="1"/>
  <c r="E87" i="21"/>
  <c r="I87" i="21" s="1"/>
  <c r="E87" i="20"/>
  <c r="I87" i="20" s="1"/>
  <c r="E103" i="21"/>
  <c r="E103" i="20"/>
  <c r="E119" i="21"/>
  <c r="E119" i="20"/>
  <c r="E127" i="21"/>
  <c r="E127" i="20"/>
  <c r="E139" i="21"/>
  <c r="E139" i="20"/>
  <c r="E147" i="21"/>
  <c r="E147" i="20"/>
  <c r="H5" i="19"/>
  <c r="H5" i="39" s="1"/>
  <c r="J5" i="22"/>
  <c r="K5" i="22" s="1"/>
  <c r="E5" i="21"/>
  <c r="I5" i="21" s="1"/>
  <c r="J5" i="26"/>
  <c r="K5" i="26" s="1"/>
  <c r="J5" i="28"/>
  <c r="K5" i="28" s="1"/>
  <c r="J5" i="23"/>
  <c r="K5" i="23" s="1"/>
  <c r="J5" i="27"/>
  <c r="K5" i="27" s="1"/>
  <c r="E5" i="20"/>
  <c r="I5" i="20" s="1"/>
  <c r="H9" i="19"/>
  <c r="H9" i="39" s="1"/>
  <c r="J9" i="26"/>
  <c r="K9" i="26" s="1"/>
  <c r="J9" i="28"/>
  <c r="K9" i="28" s="1"/>
  <c r="E9" i="20"/>
  <c r="I9" i="20" s="1"/>
  <c r="H13" i="19"/>
  <c r="H13" i="39" s="1"/>
  <c r="E13" i="21"/>
  <c r="I13" i="21" s="1"/>
  <c r="J13" i="22"/>
  <c r="K13" i="22" s="1"/>
  <c r="J13" i="26"/>
  <c r="K13" i="26" s="1"/>
  <c r="J13" i="28"/>
  <c r="K13" i="28" s="1"/>
  <c r="J13" i="23"/>
  <c r="K13" i="23" s="1"/>
  <c r="J13" i="27"/>
  <c r="K13" i="27" s="1"/>
  <c r="E13" i="20"/>
  <c r="I13" i="20" s="1"/>
  <c r="H17" i="19"/>
  <c r="H17" i="39" s="1"/>
  <c r="J17" i="22"/>
  <c r="K17" i="22" s="1"/>
  <c r="E17" i="21"/>
  <c r="I17" i="21" s="1"/>
  <c r="J17" i="26"/>
  <c r="K17" i="26" s="1"/>
  <c r="J17" i="28"/>
  <c r="K17" i="28" s="1"/>
  <c r="J17" i="23"/>
  <c r="K17" i="23" s="1"/>
  <c r="J17" i="27"/>
  <c r="K17" i="27" s="1"/>
  <c r="E17" i="20"/>
  <c r="I17" i="20" s="1"/>
  <c r="H21" i="19"/>
  <c r="H21" i="39" s="1"/>
  <c r="J21" i="28"/>
  <c r="K21" i="28" s="1"/>
  <c r="H25" i="19"/>
  <c r="H25" i="39" s="1"/>
  <c r="E25" i="21"/>
  <c r="I25" i="21" s="1"/>
  <c r="J25" i="22"/>
  <c r="K25" i="22" s="1"/>
  <c r="J25" i="26"/>
  <c r="K25" i="26" s="1"/>
  <c r="J25" i="28"/>
  <c r="K25" i="28" s="1"/>
  <c r="J25" i="23"/>
  <c r="K25" i="23" s="1"/>
  <c r="J25" i="27"/>
  <c r="K25" i="27" s="1"/>
  <c r="E25" i="20"/>
  <c r="I25" i="20" s="1"/>
  <c r="H29" i="19"/>
  <c r="H29" i="39" s="1"/>
  <c r="E29" i="21"/>
  <c r="I29" i="21" s="1"/>
  <c r="J29" i="22"/>
  <c r="K29" i="22" s="1"/>
  <c r="J29" i="26"/>
  <c r="K29" i="26" s="1"/>
  <c r="J29" i="27"/>
  <c r="K29" i="27" s="1"/>
  <c r="J29" i="28"/>
  <c r="K29" i="28" s="1"/>
  <c r="E29" i="20"/>
  <c r="I29" i="20" s="1"/>
  <c r="J29" i="23"/>
  <c r="K29" i="23" s="1"/>
  <c r="H33" i="19"/>
  <c r="H33" i="39" s="1"/>
  <c r="J33" i="22"/>
  <c r="K33" i="22" s="1"/>
  <c r="E33" i="21"/>
  <c r="I33" i="21" s="1"/>
  <c r="J33" i="26"/>
  <c r="K33" i="26" s="1"/>
  <c r="J33" i="28"/>
  <c r="K33" i="28" s="1"/>
  <c r="J33" i="23"/>
  <c r="K33" i="23" s="1"/>
  <c r="J33" i="27"/>
  <c r="K33" i="27" s="1"/>
  <c r="E33" i="20"/>
  <c r="I33" i="20" s="1"/>
  <c r="H37" i="19"/>
  <c r="H37" i="39" s="1"/>
  <c r="J37" i="22"/>
  <c r="K37" i="22" s="1"/>
  <c r="J37" i="26"/>
  <c r="K37" i="26" s="1"/>
  <c r="E37" i="21"/>
  <c r="I37" i="21" s="1"/>
  <c r="J37" i="28"/>
  <c r="K37" i="28" s="1"/>
  <c r="J37" i="23"/>
  <c r="K37" i="23" s="1"/>
  <c r="E37" i="20"/>
  <c r="I37" i="20" s="1"/>
  <c r="J37" i="27"/>
  <c r="K37" i="27" s="1"/>
  <c r="H41" i="19"/>
  <c r="H41" i="39" s="1"/>
  <c r="E41" i="21"/>
  <c r="I41" i="21" s="1"/>
  <c r="J41" i="22"/>
  <c r="K41" i="22" s="1"/>
  <c r="J41" i="26"/>
  <c r="K41" i="26" s="1"/>
  <c r="J41" i="28"/>
  <c r="K41" i="28" s="1"/>
  <c r="J41" i="27"/>
  <c r="K41" i="27" s="1"/>
  <c r="J41" i="23"/>
  <c r="K41" i="23" s="1"/>
  <c r="E41" i="20"/>
  <c r="I41" i="20" s="1"/>
  <c r="H45" i="19"/>
  <c r="H45" i="39" s="1"/>
  <c r="E45" i="21"/>
  <c r="I45" i="21" s="1"/>
  <c r="J45" i="22"/>
  <c r="K45" i="22" s="1"/>
  <c r="J45" i="26"/>
  <c r="K45" i="26" s="1"/>
  <c r="J45" i="27"/>
  <c r="K45" i="27" s="1"/>
  <c r="J45" i="28"/>
  <c r="K45" i="28" s="1"/>
  <c r="J45" i="23"/>
  <c r="K45" i="23" s="1"/>
  <c r="E45" i="20"/>
  <c r="I45" i="20" s="1"/>
  <c r="H49" i="19"/>
  <c r="H49" i="39" s="1"/>
  <c r="J49" i="22"/>
  <c r="K49" i="22" s="1"/>
  <c r="E49" i="21"/>
  <c r="I49" i="21" s="1"/>
  <c r="J49" i="26"/>
  <c r="K49" i="26" s="1"/>
  <c r="J49" i="28"/>
  <c r="K49" i="28" s="1"/>
  <c r="J49" i="27"/>
  <c r="K49" i="27" s="1"/>
  <c r="J49" i="23"/>
  <c r="K49" i="23" s="1"/>
  <c r="E49" i="20"/>
  <c r="I49" i="20" s="1"/>
  <c r="H53" i="19"/>
  <c r="H53" i="39" s="1"/>
  <c r="J53" i="22"/>
  <c r="K53" i="22" s="1"/>
  <c r="J53" i="26"/>
  <c r="K53" i="26" s="1"/>
  <c r="J53" i="28"/>
  <c r="K53" i="28" s="1"/>
  <c r="E53" i="21"/>
  <c r="I53" i="21" s="1"/>
  <c r="E53" i="20"/>
  <c r="I53" i="20" s="1"/>
  <c r="J53" i="27"/>
  <c r="K53" i="27" s="1"/>
  <c r="J53" i="23"/>
  <c r="K53" i="23" s="1"/>
  <c r="H57" i="19"/>
  <c r="H57" i="39" s="1"/>
  <c r="J57" i="26"/>
  <c r="K57" i="26" s="1"/>
  <c r="J57" i="28"/>
  <c r="K57" i="28" s="1"/>
  <c r="E57" i="20"/>
  <c r="I57" i="20" s="1"/>
  <c r="H61" i="19"/>
  <c r="H61" i="39" s="1"/>
  <c r="E61" i="21"/>
  <c r="I61" i="21" s="1"/>
  <c r="J61" i="22"/>
  <c r="K61" i="22" s="1"/>
  <c r="J61" i="26"/>
  <c r="K61" i="26" s="1"/>
  <c r="J61" i="27"/>
  <c r="K61" i="27" s="1"/>
  <c r="J61" i="28"/>
  <c r="K61" i="28" s="1"/>
  <c r="J61" i="23"/>
  <c r="K61" i="23" s="1"/>
  <c r="E61" i="20"/>
  <c r="I61" i="20" s="1"/>
  <c r="H65" i="19"/>
  <c r="H65" i="39" s="1"/>
  <c r="J65" i="22"/>
  <c r="K65" i="22" s="1"/>
  <c r="E65" i="21"/>
  <c r="I65" i="21" s="1"/>
  <c r="J65" i="26"/>
  <c r="K65" i="26" s="1"/>
  <c r="J65" i="28"/>
  <c r="K65" i="28" s="1"/>
  <c r="J65" i="27"/>
  <c r="K65" i="27" s="1"/>
  <c r="J65" i="23"/>
  <c r="K65" i="23" s="1"/>
  <c r="E65" i="20"/>
  <c r="I65" i="20" s="1"/>
  <c r="H69" i="19"/>
  <c r="H69" i="39" s="1"/>
  <c r="J69" i="28"/>
  <c r="K69" i="28" s="1"/>
  <c r="H73" i="19"/>
  <c r="H73" i="39" s="1"/>
  <c r="E73" i="21"/>
  <c r="I73" i="21" s="1"/>
  <c r="J73" i="22"/>
  <c r="K73" i="22" s="1"/>
  <c r="J73" i="26"/>
  <c r="K73" i="26" s="1"/>
  <c r="J73" i="28"/>
  <c r="K73" i="28" s="1"/>
  <c r="J73" i="23"/>
  <c r="K73" i="23" s="1"/>
  <c r="J73" i="27"/>
  <c r="K73" i="27" s="1"/>
  <c r="E73" i="20"/>
  <c r="I73" i="20" s="1"/>
  <c r="H77" i="19"/>
  <c r="H77" i="39" s="1"/>
  <c r="E77" i="21"/>
  <c r="I77" i="21" s="1"/>
  <c r="J77" i="26"/>
  <c r="K77" i="26" s="1"/>
  <c r="J77" i="27"/>
  <c r="K77" i="27" s="1"/>
  <c r="J77" i="28"/>
  <c r="K77" i="28" s="1"/>
  <c r="J77" i="23"/>
  <c r="K77" i="23" s="1"/>
  <c r="J77" i="22"/>
  <c r="K77" i="22" s="1"/>
  <c r="E77" i="20"/>
  <c r="I77" i="20" s="1"/>
  <c r="H81" i="19"/>
  <c r="H81" i="39" s="1"/>
  <c r="J81" i="22"/>
  <c r="K81" i="22" s="1"/>
  <c r="E81" i="21"/>
  <c r="I81" i="21" s="1"/>
  <c r="J81" i="26"/>
  <c r="K81" i="26" s="1"/>
  <c r="J81" i="28"/>
  <c r="K81" i="28" s="1"/>
  <c r="J81" i="23"/>
  <c r="K81" i="23" s="1"/>
  <c r="J81" i="27"/>
  <c r="K81" i="27" s="1"/>
  <c r="E81" i="20"/>
  <c r="I81" i="20" s="1"/>
  <c r="H85" i="19"/>
  <c r="H85" i="39" s="1"/>
  <c r="J85" i="22"/>
  <c r="K85" i="22" s="1"/>
  <c r="E85" i="21"/>
  <c r="I85" i="21" s="1"/>
  <c r="J85" i="26"/>
  <c r="K85" i="26" s="1"/>
  <c r="J85" i="28"/>
  <c r="K85" i="28" s="1"/>
  <c r="J85" i="27"/>
  <c r="K85" i="27" s="1"/>
  <c r="J85" i="23"/>
  <c r="K85" i="23" s="1"/>
  <c r="E85" i="20"/>
  <c r="I85" i="20" s="1"/>
  <c r="H89" i="19"/>
  <c r="H89" i="39" s="1"/>
  <c r="E89" i="21"/>
  <c r="I89" i="21" s="1"/>
  <c r="J89" i="22"/>
  <c r="K89" i="22" s="1"/>
  <c r="J89" i="26"/>
  <c r="K89" i="26" s="1"/>
  <c r="J89" i="28"/>
  <c r="K89" i="28" s="1"/>
  <c r="J89" i="23"/>
  <c r="K89" i="23" s="1"/>
  <c r="J89" i="27"/>
  <c r="K89" i="27" s="1"/>
  <c r="E89" i="20"/>
  <c r="I89" i="20" s="1"/>
  <c r="H93" i="19"/>
  <c r="H93" i="39" s="1"/>
  <c r="E93" i="21"/>
  <c r="I93" i="21" s="1"/>
  <c r="J93" i="22"/>
  <c r="K93" i="22" s="1"/>
  <c r="J93" i="26"/>
  <c r="K93" i="26" s="1"/>
  <c r="J93" i="27"/>
  <c r="K93" i="27" s="1"/>
  <c r="J93" i="28"/>
  <c r="K93" i="28" s="1"/>
  <c r="E93" i="20"/>
  <c r="I93" i="20" s="1"/>
  <c r="J93" i="23"/>
  <c r="K93" i="23" s="1"/>
  <c r="H97" i="19"/>
  <c r="H97" i="39" s="1"/>
  <c r="J97" i="22"/>
  <c r="K97" i="22" s="1"/>
  <c r="E97" i="21"/>
  <c r="I97" i="21" s="1"/>
  <c r="J97" i="26"/>
  <c r="K97" i="26" s="1"/>
  <c r="J97" i="28"/>
  <c r="K97" i="28" s="1"/>
  <c r="E97" i="20"/>
  <c r="I97" i="20" s="1"/>
  <c r="J97" i="23"/>
  <c r="K97" i="23" s="1"/>
  <c r="J97" i="27"/>
  <c r="K97" i="27" s="1"/>
  <c r="E101" i="21"/>
  <c r="E101" i="20"/>
  <c r="E105" i="21"/>
  <c r="E105" i="20"/>
  <c r="E109" i="21"/>
  <c r="E109" i="20"/>
  <c r="E113" i="21"/>
  <c r="E113" i="20"/>
  <c r="E117" i="20"/>
  <c r="E121" i="21"/>
  <c r="E121" i="20"/>
  <c r="E125" i="21"/>
  <c r="E125" i="20"/>
  <c r="E129" i="21"/>
  <c r="E129" i="20"/>
  <c r="E133" i="21"/>
  <c r="E133" i="20"/>
  <c r="E137" i="21"/>
  <c r="E137" i="20"/>
  <c r="E141" i="21"/>
  <c r="E141" i="20"/>
  <c r="E145" i="21"/>
  <c r="E145" i="20"/>
  <c r="H7" i="19"/>
  <c r="H7" i="39" s="1"/>
  <c r="E7" i="21"/>
  <c r="I7" i="21" s="1"/>
  <c r="J7" i="23"/>
  <c r="K7" i="23" s="1"/>
  <c r="J7" i="26"/>
  <c r="K7" i="26" s="1"/>
  <c r="J7" i="28"/>
  <c r="K7" i="28" s="1"/>
  <c r="E7" i="20"/>
  <c r="I7" i="20" s="1"/>
  <c r="J7" i="27"/>
  <c r="K7" i="27" s="1"/>
  <c r="J7" i="22"/>
  <c r="K7" i="22" s="1"/>
  <c r="H19" i="19"/>
  <c r="H19" i="39" s="1"/>
  <c r="E19" i="21"/>
  <c r="I19" i="21" s="1"/>
  <c r="J19" i="23"/>
  <c r="K19" i="23" s="1"/>
  <c r="J19" i="22"/>
  <c r="K19" i="22" s="1"/>
  <c r="J19" i="26"/>
  <c r="K19" i="26" s="1"/>
  <c r="J19" i="28"/>
  <c r="K19" i="28" s="1"/>
  <c r="E19" i="20"/>
  <c r="I19" i="20" s="1"/>
  <c r="J19" i="27"/>
  <c r="K19" i="27" s="1"/>
  <c r="H31" i="19"/>
  <c r="H31" i="39" s="1"/>
  <c r="E31" i="21"/>
  <c r="I31" i="21" s="1"/>
  <c r="J31" i="23"/>
  <c r="K31" i="23" s="1"/>
  <c r="J31" i="27"/>
  <c r="K31" i="27" s="1"/>
  <c r="J31" i="26"/>
  <c r="K31" i="26" s="1"/>
  <c r="E31" i="20"/>
  <c r="I31" i="20" s="1"/>
  <c r="J31" i="22"/>
  <c r="K31" i="22" s="1"/>
  <c r="J31" i="28"/>
  <c r="K31" i="28" s="1"/>
  <c r="H39" i="19"/>
  <c r="H39" i="39" s="1"/>
  <c r="E39" i="21"/>
  <c r="I39" i="21" s="1"/>
  <c r="E39" i="20"/>
  <c r="I39" i="20" s="1"/>
  <c r="H51" i="19"/>
  <c r="H51" i="39" s="1"/>
  <c r="E51" i="21"/>
  <c r="I51" i="21" s="1"/>
  <c r="E51" i="20"/>
  <c r="I51" i="20" s="1"/>
  <c r="H63" i="19"/>
  <c r="H63" i="39" s="1"/>
  <c r="E63" i="21"/>
  <c r="I63" i="21" s="1"/>
  <c r="E63" i="20"/>
  <c r="I63" i="20" s="1"/>
  <c r="H71" i="19"/>
  <c r="H71" i="39" s="1"/>
  <c r="J71" i="22"/>
  <c r="K71" i="22" s="1"/>
  <c r="E71" i="21"/>
  <c r="I71" i="21" s="1"/>
  <c r="J71" i="23"/>
  <c r="K71" i="23" s="1"/>
  <c r="J71" i="27"/>
  <c r="K71" i="27" s="1"/>
  <c r="J71" i="26"/>
  <c r="K71" i="26" s="1"/>
  <c r="J71" i="28"/>
  <c r="K71" i="28" s="1"/>
  <c r="E71" i="20"/>
  <c r="I71" i="20" s="1"/>
  <c r="H83" i="19"/>
  <c r="H83" i="39" s="1"/>
  <c r="J83" i="22"/>
  <c r="K83" i="22" s="1"/>
  <c r="E83" i="21"/>
  <c r="I83" i="21" s="1"/>
  <c r="J83" i="23"/>
  <c r="K83" i="23" s="1"/>
  <c r="J83" i="27"/>
  <c r="K83" i="27" s="1"/>
  <c r="J83" i="26"/>
  <c r="K83" i="26" s="1"/>
  <c r="J83" i="28"/>
  <c r="K83" i="28" s="1"/>
  <c r="E83" i="20"/>
  <c r="I83" i="20" s="1"/>
  <c r="H91" i="19"/>
  <c r="H91" i="39" s="1"/>
  <c r="J91" i="22"/>
  <c r="K91" i="22" s="1"/>
  <c r="E91" i="21"/>
  <c r="I91" i="21" s="1"/>
  <c r="J91" i="23"/>
  <c r="K91" i="23" s="1"/>
  <c r="J91" i="27"/>
  <c r="K91" i="27" s="1"/>
  <c r="J91" i="26"/>
  <c r="K91" i="26" s="1"/>
  <c r="E91" i="20"/>
  <c r="I91" i="20" s="1"/>
  <c r="J91" i="28"/>
  <c r="K91" i="28" s="1"/>
  <c r="E99" i="21"/>
  <c r="E99" i="20"/>
  <c r="E111" i="21"/>
  <c r="E111" i="20"/>
  <c r="E131" i="21"/>
  <c r="E131" i="20"/>
  <c r="H6" i="19"/>
  <c r="H6" i="39" s="1"/>
  <c r="E6" i="21"/>
  <c r="I6" i="21" s="1"/>
  <c r="J6" i="22"/>
  <c r="K6" i="22" s="1"/>
  <c r="J6" i="27"/>
  <c r="K6" i="27" s="1"/>
  <c r="J6" i="28"/>
  <c r="K6" i="28" s="1"/>
  <c r="E6" i="20"/>
  <c r="I6" i="20" s="1"/>
  <c r="J6" i="23"/>
  <c r="K6" i="23" s="1"/>
  <c r="J6" i="26"/>
  <c r="K6" i="26" s="1"/>
  <c r="E10" i="21"/>
  <c r="I10" i="21" s="1"/>
  <c r="J10" i="23"/>
  <c r="K10" i="23" s="1"/>
  <c r="J10" i="28"/>
  <c r="K10" i="28" s="1"/>
  <c r="J10" i="26"/>
  <c r="K10" i="26" s="1"/>
  <c r="H14" i="19"/>
  <c r="H14" i="39" s="1"/>
  <c r="E14" i="21"/>
  <c r="I14" i="21" s="1"/>
  <c r="J14" i="22"/>
  <c r="K14" i="22" s="1"/>
  <c r="J14" i="27"/>
  <c r="K14" i="27" s="1"/>
  <c r="J14" i="26"/>
  <c r="K14" i="26" s="1"/>
  <c r="E14" i="20"/>
  <c r="I14" i="20" s="1"/>
  <c r="J14" i="23"/>
  <c r="K14" i="23" s="1"/>
  <c r="J14" i="28"/>
  <c r="K14" i="28" s="1"/>
  <c r="J18" i="22"/>
  <c r="K18" i="22" s="1"/>
  <c r="J18" i="28"/>
  <c r="K18" i="28" s="1"/>
  <c r="H22" i="19"/>
  <c r="H22" i="39" s="1"/>
  <c r="E22" i="21"/>
  <c r="I22" i="21" s="1"/>
  <c r="J22" i="22"/>
  <c r="K22" i="22" s="1"/>
  <c r="J22" i="27"/>
  <c r="K22" i="27" s="1"/>
  <c r="J22" i="28"/>
  <c r="K22" i="28" s="1"/>
  <c r="E22" i="20"/>
  <c r="I22" i="20" s="1"/>
  <c r="J22" i="26"/>
  <c r="K22" i="26" s="1"/>
  <c r="J22" i="23"/>
  <c r="K22" i="23" s="1"/>
  <c r="H26" i="19"/>
  <c r="H26" i="39" s="1"/>
  <c r="E26" i="21"/>
  <c r="I26" i="21" s="1"/>
  <c r="J26" i="22"/>
  <c r="K26" i="22" s="1"/>
  <c r="J26" i="23"/>
  <c r="K26" i="23" s="1"/>
  <c r="J26" i="27"/>
  <c r="K26" i="27" s="1"/>
  <c r="J26" i="26"/>
  <c r="K26" i="26" s="1"/>
  <c r="E26" i="20"/>
  <c r="I26" i="20" s="1"/>
  <c r="J26" i="28"/>
  <c r="K26" i="28" s="1"/>
  <c r="H30" i="19"/>
  <c r="H30" i="39" s="1"/>
  <c r="E30" i="21"/>
  <c r="I30" i="21" s="1"/>
  <c r="J30" i="22"/>
  <c r="K30" i="22" s="1"/>
  <c r="J30" i="23"/>
  <c r="K30" i="23" s="1"/>
  <c r="E30" i="20"/>
  <c r="I30" i="20" s="1"/>
  <c r="J30" i="27"/>
  <c r="K30" i="27" s="1"/>
  <c r="J30" i="28"/>
  <c r="K30" i="28" s="1"/>
  <c r="J30" i="26"/>
  <c r="K30" i="26" s="1"/>
  <c r="J34" i="22"/>
  <c r="K34" i="22" s="1"/>
  <c r="E34" i="21"/>
  <c r="I34" i="21" s="1"/>
  <c r="J34" i="26"/>
  <c r="K34" i="26" s="1"/>
  <c r="J34" i="27"/>
  <c r="K34" i="27" s="1"/>
  <c r="H38" i="19"/>
  <c r="H38" i="39" s="1"/>
  <c r="E38" i="21"/>
  <c r="I38" i="21" s="1"/>
  <c r="J38" i="22"/>
  <c r="K38" i="22" s="1"/>
  <c r="J38" i="27"/>
  <c r="K38" i="27" s="1"/>
  <c r="J38" i="28"/>
  <c r="K38" i="28" s="1"/>
  <c r="E38" i="20"/>
  <c r="I38" i="20" s="1"/>
  <c r="J38" i="23"/>
  <c r="K38" i="23" s="1"/>
  <c r="J38" i="26"/>
  <c r="K38" i="26" s="1"/>
  <c r="J42" i="22"/>
  <c r="K42" i="22" s="1"/>
  <c r="J42" i="28"/>
  <c r="K42" i="28" s="1"/>
  <c r="H46" i="19"/>
  <c r="H46" i="39" s="1"/>
  <c r="E46" i="21"/>
  <c r="I46" i="21" s="1"/>
  <c r="J46" i="22"/>
  <c r="K46" i="22" s="1"/>
  <c r="J46" i="26"/>
  <c r="K46" i="26" s="1"/>
  <c r="J46" i="27"/>
  <c r="K46" i="27" s="1"/>
  <c r="E46" i="20"/>
  <c r="I46" i="20" s="1"/>
  <c r="J46" i="28"/>
  <c r="K46" i="28" s="1"/>
  <c r="J46" i="23"/>
  <c r="K46" i="23" s="1"/>
  <c r="H50" i="19"/>
  <c r="H50" i="39" s="1"/>
  <c r="J50" i="22"/>
  <c r="K50" i="22" s="1"/>
  <c r="E50" i="21"/>
  <c r="I50" i="21" s="1"/>
  <c r="J50" i="23"/>
  <c r="K50" i="23" s="1"/>
  <c r="E50" i="20"/>
  <c r="I50" i="20" s="1"/>
  <c r="J50" i="26"/>
  <c r="K50" i="26" s="1"/>
  <c r="J50" i="28"/>
  <c r="K50" i="28" s="1"/>
  <c r="J50" i="27"/>
  <c r="K50" i="27" s="1"/>
  <c r="H54" i="19"/>
  <c r="H54" i="39" s="1"/>
  <c r="E54" i="21"/>
  <c r="I54" i="21" s="1"/>
  <c r="J54" i="22"/>
  <c r="K54" i="22" s="1"/>
  <c r="J54" i="28"/>
  <c r="K54" i="28" s="1"/>
  <c r="E54" i="20"/>
  <c r="I54" i="20" s="1"/>
  <c r="J54" i="26"/>
  <c r="K54" i="26" s="1"/>
  <c r="J54" i="23"/>
  <c r="K54" i="23" s="1"/>
  <c r="J54" i="27"/>
  <c r="K54" i="27" s="1"/>
  <c r="E58" i="21"/>
  <c r="I58" i="21" s="1"/>
  <c r="J58" i="22"/>
  <c r="K58" i="22" s="1"/>
  <c r="J58" i="26"/>
  <c r="K58" i="26" s="1"/>
  <c r="E58" i="20"/>
  <c r="I58" i="20" s="1"/>
  <c r="H62" i="19"/>
  <c r="H62" i="39" s="1"/>
  <c r="E62" i="21"/>
  <c r="I62" i="21" s="1"/>
  <c r="J62" i="22"/>
  <c r="K62" i="22" s="1"/>
  <c r="J62" i="23"/>
  <c r="K62" i="23" s="1"/>
  <c r="E62" i="20"/>
  <c r="I62" i="20" s="1"/>
  <c r="J62" i="26"/>
  <c r="K62" i="26" s="1"/>
  <c r="J62" i="27"/>
  <c r="K62" i="27" s="1"/>
  <c r="J62" i="28"/>
  <c r="K62" i="28" s="1"/>
  <c r="E66" i="21"/>
  <c r="I66" i="21" s="1"/>
  <c r="J66" i="27"/>
  <c r="K66" i="27" s="1"/>
  <c r="H70" i="19"/>
  <c r="H70" i="39" s="1"/>
  <c r="E70" i="21"/>
  <c r="I70" i="21" s="1"/>
  <c r="J70" i="22"/>
  <c r="K70" i="22" s="1"/>
  <c r="J70" i="28"/>
  <c r="K70" i="28" s="1"/>
  <c r="E70" i="20"/>
  <c r="I70" i="20" s="1"/>
  <c r="J70" i="23"/>
  <c r="K70" i="23" s="1"/>
  <c r="J70" i="27"/>
  <c r="K70" i="27" s="1"/>
  <c r="J70" i="26"/>
  <c r="K70" i="26" s="1"/>
  <c r="H74" i="19"/>
  <c r="H74" i="39" s="1"/>
  <c r="E74" i="21"/>
  <c r="I74" i="21" s="1"/>
  <c r="J74" i="22"/>
  <c r="K74" i="22" s="1"/>
  <c r="J74" i="23"/>
  <c r="K74" i="23" s="1"/>
  <c r="J74" i="27"/>
  <c r="K74" i="27" s="1"/>
  <c r="E74" i="20"/>
  <c r="I74" i="20" s="1"/>
  <c r="J74" i="28"/>
  <c r="K74" i="28" s="1"/>
  <c r="J74" i="26"/>
  <c r="K74" i="26" s="1"/>
  <c r="H78" i="19"/>
  <c r="H78" i="39" s="1"/>
  <c r="J78" i="22"/>
  <c r="K78" i="22" s="1"/>
  <c r="E78" i="21"/>
  <c r="I78" i="21" s="1"/>
  <c r="J78" i="26"/>
  <c r="K78" i="26" s="1"/>
  <c r="E78" i="20"/>
  <c r="I78" i="20" s="1"/>
  <c r="J78" i="23"/>
  <c r="K78" i="23" s="1"/>
  <c r="J78" i="27"/>
  <c r="K78" i="27" s="1"/>
  <c r="J78" i="28"/>
  <c r="K78" i="28" s="1"/>
  <c r="J82" i="22"/>
  <c r="K82" i="22" s="1"/>
  <c r="E82" i="21"/>
  <c r="I82" i="21" s="1"/>
  <c r="E82" i="20"/>
  <c r="I82" i="20" s="1"/>
  <c r="J82" i="28"/>
  <c r="K82" i="28" s="1"/>
  <c r="H86" i="19"/>
  <c r="H86" i="39" s="1"/>
  <c r="E86" i="21"/>
  <c r="I86" i="21" s="1"/>
  <c r="J86" i="22"/>
  <c r="K86" i="22" s="1"/>
  <c r="J86" i="28"/>
  <c r="K86" i="28" s="1"/>
  <c r="E86" i="20"/>
  <c r="I86" i="20" s="1"/>
  <c r="J86" i="26"/>
  <c r="K86" i="26" s="1"/>
  <c r="J86" i="27"/>
  <c r="K86" i="27" s="1"/>
  <c r="J86" i="23"/>
  <c r="K86" i="23" s="1"/>
  <c r="J90" i="23"/>
  <c r="K90" i="23" s="1"/>
  <c r="J90" i="28"/>
  <c r="K90" i="28" s="1"/>
  <c r="H94" i="19"/>
  <c r="H94" i="39" s="1"/>
  <c r="J94" i="22"/>
  <c r="K94" i="22" s="1"/>
  <c r="E94" i="21"/>
  <c r="I94" i="21" s="1"/>
  <c r="J94" i="23"/>
  <c r="K94" i="23" s="1"/>
  <c r="E94" i="20"/>
  <c r="I94" i="20" s="1"/>
  <c r="J94" i="27"/>
  <c r="K94" i="27" s="1"/>
  <c r="J94" i="28"/>
  <c r="K94" i="28" s="1"/>
  <c r="J94" i="26"/>
  <c r="K94" i="26" s="1"/>
  <c r="H98" i="19"/>
  <c r="H98" i="39" s="1"/>
  <c r="J98" i="22"/>
  <c r="K98" i="22" s="1"/>
  <c r="E98" i="21"/>
  <c r="I98" i="21" s="1"/>
  <c r="J98" i="23"/>
  <c r="K98" i="23" s="1"/>
  <c r="J98" i="26"/>
  <c r="K98" i="26" s="1"/>
  <c r="E98" i="20"/>
  <c r="I98" i="20" s="1"/>
  <c r="J98" i="27"/>
  <c r="K98" i="27" s="1"/>
  <c r="J98" i="28"/>
  <c r="K98" i="28" s="1"/>
  <c r="E102" i="21"/>
  <c r="E102" i="20"/>
  <c r="E110" i="21"/>
  <c r="E110" i="20"/>
  <c r="E114" i="21"/>
  <c r="E118" i="21"/>
  <c r="E118" i="20"/>
  <c r="E122" i="21"/>
  <c r="E122" i="20"/>
  <c r="E126" i="21"/>
  <c r="E126" i="20"/>
  <c r="E130" i="20"/>
  <c r="E134" i="20"/>
  <c r="E142" i="21"/>
  <c r="E142" i="20"/>
  <c r="E146" i="21"/>
  <c r="E146" i="20"/>
  <c r="B219" i="19"/>
  <c r="B218" i="19"/>
  <c r="G114" i="38" l="1"/>
  <c r="H72" i="38"/>
  <c r="K9" i="11"/>
  <c r="K57" i="38"/>
  <c r="K57" i="11" s="1"/>
  <c r="K62" i="11" s="1"/>
  <c r="H114" i="38"/>
  <c r="J52" i="11"/>
  <c r="J62" i="11" s="1"/>
  <c r="J57" i="38"/>
  <c r="J57" i="11" s="1"/>
  <c r="G72" i="38"/>
  <c r="J9" i="11"/>
  <c r="E148" i="20"/>
  <c r="E148" i="33"/>
  <c r="W148" i="39" s="1"/>
  <c r="C15" i="34"/>
  <c r="B15" i="9"/>
  <c r="F15" i="9" s="1"/>
  <c r="C16" i="34"/>
  <c r="B16" i="9"/>
  <c r="F16" i="9" s="1"/>
  <c r="J98" i="21"/>
  <c r="K98" i="21" s="1"/>
  <c r="J86" i="20"/>
  <c r="K86" i="20" s="1"/>
  <c r="J30" i="20"/>
  <c r="K30" i="20" s="1"/>
  <c r="J91" i="21"/>
  <c r="K91" i="21" s="1"/>
  <c r="J89" i="20"/>
  <c r="K89" i="20" s="1"/>
  <c r="J85" i="20"/>
  <c r="K85" i="20" s="1"/>
  <c r="J81" i="20"/>
  <c r="K81" i="20" s="1"/>
  <c r="J77" i="20"/>
  <c r="K77" i="20" s="1"/>
  <c r="J73" i="20"/>
  <c r="K73" i="20" s="1"/>
  <c r="J61" i="21"/>
  <c r="K61" i="21" s="1"/>
  <c r="J53" i="20"/>
  <c r="K53" i="20" s="1"/>
  <c r="J45" i="21"/>
  <c r="K45" i="21" s="1"/>
  <c r="J41" i="21"/>
  <c r="K41" i="21" s="1"/>
  <c r="J29" i="21"/>
  <c r="K29" i="21" s="1"/>
  <c r="J25" i="21"/>
  <c r="K25" i="21" s="1"/>
  <c r="J17" i="20"/>
  <c r="K17" i="20" s="1"/>
  <c r="J13" i="20"/>
  <c r="K13" i="20" s="1"/>
  <c r="J9" i="20"/>
  <c r="K9" i="20" s="1"/>
  <c r="J5" i="20"/>
  <c r="K5" i="20" s="1"/>
  <c r="J59" i="21"/>
  <c r="K59" i="21" s="1"/>
  <c r="J35" i="21"/>
  <c r="K35" i="21" s="1"/>
  <c r="J23" i="20"/>
  <c r="K23" i="20" s="1"/>
  <c r="J23" i="21"/>
  <c r="K23" i="21" s="1"/>
  <c r="J60" i="20"/>
  <c r="K60" i="20" s="1"/>
  <c r="J40" i="20"/>
  <c r="K40" i="20" s="1"/>
  <c r="J36" i="20"/>
  <c r="K36" i="20" s="1"/>
  <c r="J28" i="20"/>
  <c r="K28" i="20" s="1"/>
  <c r="J20" i="21"/>
  <c r="K20" i="21" s="1"/>
  <c r="J55" i="20"/>
  <c r="K55" i="20" s="1"/>
  <c r="J11" i="20"/>
  <c r="K11" i="20" s="1"/>
  <c r="J11" i="21"/>
  <c r="K11" i="21" s="1"/>
  <c r="H89" i="33"/>
  <c r="W89" i="39"/>
  <c r="I77" i="32"/>
  <c r="J77" i="32" s="1"/>
  <c r="Q77" i="39"/>
  <c r="H65" i="33"/>
  <c r="W65" i="39"/>
  <c r="I53" i="32"/>
  <c r="J53" i="32" s="1"/>
  <c r="Q53" i="39"/>
  <c r="I41" i="32"/>
  <c r="J41" i="32" s="1"/>
  <c r="Q41" i="39"/>
  <c r="H29" i="33"/>
  <c r="W29" i="39"/>
  <c r="H17" i="33"/>
  <c r="W17" i="39"/>
  <c r="J9" i="21"/>
  <c r="K9" i="21" s="1"/>
  <c r="H96" i="33"/>
  <c r="W96" i="39"/>
  <c r="H84" i="33"/>
  <c r="W84" i="39"/>
  <c r="H72" i="33"/>
  <c r="W72" i="39"/>
  <c r="H60" i="33"/>
  <c r="W60" i="39"/>
  <c r="H48" i="33"/>
  <c r="W48" i="39"/>
  <c r="I36" i="32"/>
  <c r="J36" i="32" s="1"/>
  <c r="Q36" i="39"/>
  <c r="H24" i="33"/>
  <c r="W24" i="39"/>
  <c r="I12" i="32"/>
  <c r="J12" i="32" s="1"/>
  <c r="Q12" i="39"/>
  <c r="H71" i="33"/>
  <c r="W71" i="39"/>
  <c r="H91" i="33"/>
  <c r="W91" i="39"/>
  <c r="I55" i="32"/>
  <c r="J55" i="32" s="1"/>
  <c r="Q55" i="39"/>
  <c r="H87" i="33"/>
  <c r="Z87" i="39" s="1"/>
  <c r="W87" i="39"/>
  <c r="H63" i="33"/>
  <c r="Z63" i="39" s="1"/>
  <c r="W63" i="39"/>
  <c r="H15" i="33"/>
  <c r="Z15" i="39" s="1"/>
  <c r="W15" i="39"/>
  <c r="H98" i="33"/>
  <c r="W98" i="39"/>
  <c r="H74" i="33"/>
  <c r="W74" i="39"/>
  <c r="H50" i="33"/>
  <c r="W50" i="39"/>
  <c r="H26" i="33"/>
  <c r="W26" i="39"/>
  <c r="I95" i="32"/>
  <c r="J95" i="32" s="1"/>
  <c r="Q95" i="39"/>
  <c r="H59" i="33"/>
  <c r="W59" i="39"/>
  <c r="H35" i="33"/>
  <c r="W35" i="39"/>
  <c r="H11" i="33"/>
  <c r="W11" i="39"/>
  <c r="I67" i="32"/>
  <c r="J67" i="32" s="1"/>
  <c r="Q67" i="39"/>
  <c r="I31" i="32"/>
  <c r="J31" i="32" s="1"/>
  <c r="Q31" i="39"/>
  <c r="J98" i="20"/>
  <c r="K98" i="20" s="1"/>
  <c r="J62" i="21"/>
  <c r="K62" i="21" s="1"/>
  <c r="J54" i="21"/>
  <c r="K54" i="21" s="1"/>
  <c r="J46" i="20"/>
  <c r="K46" i="20" s="1"/>
  <c r="J46" i="21"/>
  <c r="K46" i="21" s="1"/>
  <c r="J14" i="20"/>
  <c r="K14" i="20" s="1"/>
  <c r="J14" i="21"/>
  <c r="K14" i="21" s="1"/>
  <c r="J6" i="20"/>
  <c r="K6" i="20" s="1"/>
  <c r="J6" i="21"/>
  <c r="K6" i="21" s="1"/>
  <c r="J19" i="20"/>
  <c r="K19" i="20" s="1"/>
  <c r="J97" i="21"/>
  <c r="K97" i="21" s="1"/>
  <c r="J93" i="20"/>
  <c r="K93" i="20" s="1"/>
  <c r="J85" i="21"/>
  <c r="K85" i="21" s="1"/>
  <c r="J81" i="21"/>
  <c r="K81" i="21" s="1"/>
  <c r="J53" i="21"/>
  <c r="K53" i="21" s="1"/>
  <c r="J17" i="21"/>
  <c r="K17" i="21" s="1"/>
  <c r="J5" i="21"/>
  <c r="K5" i="21" s="1"/>
  <c r="J88" i="20"/>
  <c r="K88" i="20" s="1"/>
  <c r="J80" i="20"/>
  <c r="K80" i="20" s="1"/>
  <c r="J72" i="20"/>
  <c r="K72" i="20" s="1"/>
  <c r="J64" i="21"/>
  <c r="K64" i="21" s="1"/>
  <c r="J60" i="21"/>
  <c r="K60" i="21" s="1"/>
  <c r="J56" i="21"/>
  <c r="K56" i="21" s="1"/>
  <c r="J52" i="21"/>
  <c r="K52" i="21" s="1"/>
  <c r="J48" i="21"/>
  <c r="K48" i="21" s="1"/>
  <c r="J44" i="21"/>
  <c r="K44" i="21" s="1"/>
  <c r="J40" i="21"/>
  <c r="K40" i="21" s="1"/>
  <c r="J36" i="21"/>
  <c r="K36" i="21" s="1"/>
  <c r="J32" i="21"/>
  <c r="K32" i="21" s="1"/>
  <c r="J28" i="21"/>
  <c r="K28" i="21" s="1"/>
  <c r="J24" i="21"/>
  <c r="K24" i="21" s="1"/>
  <c r="J16" i="20"/>
  <c r="K16" i="20" s="1"/>
  <c r="J12" i="20"/>
  <c r="K12" i="20" s="1"/>
  <c r="J4" i="20"/>
  <c r="K4" i="20" s="1"/>
  <c r="J95" i="20"/>
  <c r="K95" i="20" s="1"/>
  <c r="J95" i="21"/>
  <c r="K95" i="21" s="1"/>
  <c r="J79" i="20"/>
  <c r="K79" i="20" s="1"/>
  <c r="J67" i="20"/>
  <c r="K67" i="20" s="1"/>
  <c r="I89" i="32"/>
  <c r="J89" i="32" s="1"/>
  <c r="Q89" i="39"/>
  <c r="H77" i="33"/>
  <c r="W77" i="39"/>
  <c r="I65" i="32"/>
  <c r="J65" i="32" s="1"/>
  <c r="Q65" i="39"/>
  <c r="H53" i="33"/>
  <c r="W53" i="39"/>
  <c r="H41" i="33"/>
  <c r="W41" i="39"/>
  <c r="I29" i="32"/>
  <c r="J29" i="32" s="1"/>
  <c r="Q29" i="39"/>
  <c r="I17" i="32"/>
  <c r="J17" i="32" s="1"/>
  <c r="Q17" i="39"/>
  <c r="I5" i="32"/>
  <c r="J5" i="32" s="1"/>
  <c r="Q5" i="39"/>
  <c r="I88" i="32"/>
  <c r="J88" i="32" s="1"/>
  <c r="Q88" i="39"/>
  <c r="I76" i="32"/>
  <c r="J76" i="32" s="1"/>
  <c r="Q76" i="39"/>
  <c r="I64" i="32"/>
  <c r="J64" i="32" s="1"/>
  <c r="Q64" i="39"/>
  <c r="I52" i="32"/>
  <c r="J52" i="32" s="1"/>
  <c r="Q52" i="39"/>
  <c r="I40" i="32"/>
  <c r="J40" i="32" s="1"/>
  <c r="Q40" i="39"/>
  <c r="I28" i="32"/>
  <c r="J28" i="32" s="1"/>
  <c r="Q28" i="39"/>
  <c r="H12" i="33"/>
  <c r="W12" i="39"/>
  <c r="I71" i="32"/>
  <c r="J71" i="32" s="1"/>
  <c r="Q71" i="39"/>
  <c r="H79" i="33"/>
  <c r="W79" i="39"/>
  <c r="H19" i="33"/>
  <c r="W19" i="39"/>
  <c r="H39" i="33"/>
  <c r="Z39" i="39" s="1"/>
  <c r="W39" i="39"/>
  <c r="I86" i="32"/>
  <c r="J86" i="32" s="1"/>
  <c r="Q86" i="39"/>
  <c r="I62" i="32"/>
  <c r="J62" i="32" s="1"/>
  <c r="Q62" i="39"/>
  <c r="I38" i="32"/>
  <c r="J38" i="32" s="1"/>
  <c r="Q38" i="39"/>
  <c r="I14" i="32"/>
  <c r="J14" i="32" s="1"/>
  <c r="Q14" i="39"/>
  <c r="I83" i="32"/>
  <c r="J83" i="32" s="1"/>
  <c r="Q83" i="39"/>
  <c r="H47" i="33"/>
  <c r="W47" i="39"/>
  <c r="H23" i="33"/>
  <c r="W23" i="39"/>
  <c r="H67" i="33"/>
  <c r="W67" i="39"/>
  <c r="H31" i="33"/>
  <c r="W31" i="39"/>
  <c r="J94" i="21"/>
  <c r="K94" i="21" s="1"/>
  <c r="J78" i="20"/>
  <c r="K78" i="20" s="1"/>
  <c r="J70" i="20"/>
  <c r="K70" i="20" s="1"/>
  <c r="J50" i="21"/>
  <c r="K50" i="21" s="1"/>
  <c r="J91" i="20"/>
  <c r="K91" i="20" s="1"/>
  <c r="J83" i="21"/>
  <c r="K83" i="21" s="1"/>
  <c r="J71" i="21"/>
  <c r="K71" i="21" s="1"/>
  <c r="J94" i="20"/>
  <c r="K94" i="20" s="1"/>
  <c r="J82" i="20"/>
  <c r="K82" i="20" s="1"/>
  <c r="J78" i="21"/>
  <c r="K78" i="21" s="1"/>
  <c r="J66" i="21"/>
  <c r="K66" i="21" s="1"/>
  <c r="J62" i="20"/>
  <c r="K62" i="20" s="1"/>
  <c r="J58" i="21"/>
  <c r="K58" i="21" s="1"/>
  <c r="J54" i="20"/>
  <c r="K54" i="20" s="1"/>
  <c r="J50" i="20"/>
  <c r="K50" i="20" s="1"/>
  <c r="J26" i="20"/>
  <c r="K26" i="20" s="1"/>
  <c r="J10" i="21"/>
  <c r="K10" i="21" s="1"/>
  <c r="J31" i="20"/>
  <c r="K31" i="20" s="1"/>
  <c r="J31" i="21"/>
  <c r="K31" i="21" s="1"/>
  <c r="J19" i="21"/>
  <c r="K19" i="21" s="1"/>
  <c r="J7" i="20"/>
  <c r="K7" i="20" s="1"/>
  <c r="J7" i="21"/>
  <c r="K7" i="21" s="1"/>
  <c r="J97" i="20"/>
  <c r="K97" i="20" s="1"/>
  <c r="J93" i="21"/>
  <c r="K93" i="21" s="1"/>
  <c r="J89" i="21"/>
  <c r="K89" i="21" s="1"/>
  <c r="J77" i="21"/>
  <c r="K77" i="21" s="1"/>
  <c r="J73" i="21"/>
  <c r="K73" i="21" s="1"/>
  <c r="J65" i="20"/>
  <c r="K65" i="20" s="1"/>
  <c r="J61" i="20"/>
  <c r="K61" i="20" s="1"/>
  <c r="J57" i="20"/>
  <c r="K57" i="20" s="1"/>
  <c r="J49" i="20"/>
  <c r="K49" i="20" s="1"/>
  <c r="J45" i="20"/>
  <c r="K45" i="20" s="1"/>
  <c r="J41" i="20"/>
  <c r="K41" i="20" s="1"/>
  <c r="J37" i="21"/>
  <c r="K37" i="21" s="1"/>
  <c r="J33" i="20"/>
  <c r="K33" i="20" s="1"/>
  <c r="J25" i="20"/>
  <c r="K25" i="20" s="1"/>
  <c r="J13" i="21"/>
  <c r="K13" i="21" s="1"/>
  <c r="J96" i="20"/>
  <c r="K96" i="20" s="1"/>
  <c r="J84" i="20"/>
  <c r="K84" i="20" s="1"/>
  <c r="J76" i="20"/>
  <c r="K76" i="20" s="1"/>
  <c r="J68" i="21"/>
  <c r="K68" i="21" s="1"/>
  <c r="J79" i="21"/>
  <c r="K79" i="21" s="1"/>
  <c r="J67" i="21"/>
  <c r="K67" i="21" s="1"/>
  <c r="J55" i="21"/>
  <c r="K55" i="21" s="1"/>
  <c r="J43" i="20"/>
  <c r="K43" i="20" s="1"/>
  <c r="J43" i="21"/>
  <c r="K43" i="21" s="1"/>
  <c r="H97" i="33"/>
  <c r="W97" i="39"/>
  <c r="I85" i="32"/>
  <c r="J85" i="32" s="1"/>
  <c r="Q85" i="39"/>
  <c r="H73" i="33"/>
  <c r="W73" i="39"/>
  <c r="I61" i="32"/>
  <c r="J61" i="32" s="1"/>
  <c r="Q61" i="39"/>
  <c r="H49" i="33"/>
  <c r="W49" i="39"/>
  <c r="I37" i="32"/>
  <c r="J37" i="32" s="1"/>
  <c r="Q37" i="39"/>
  <c r="H25" i="33"/>
  <c r="W25" i="39"/>
  <c r="H13" i="33"/>
  <c r="W13" i="39"/>
  <c r="H5" i="33"/>
  <c r="W5" i="39"/>
  <c r="H88" i="33"/>
  <c r="W88" i="39"/>
  <c r="H76" i="33"/>
  <c r="W76" i="39"/>
  <c r="H64" i="33"/>
  <c r="W64" i="39"/>
  <c r="H52" i="33"/>
  <c r="W52" i="39"/>
  <c r="H40" i="33"/>
  <c r="W40" i="39"/>
  <c r="H28" i="33"/>
  <c r="W28" i="39"/>
  <c r="I16" i="32"/>
  <c r="J16" i="32" s="1"/>
  <c r="Q16" i="39"/>
  <c r="I4" i="32"/>
  <c r="J4" i="32" s="1"/>
  <c r="Q4" i="39"/>
  <c r="I79" i="32"/>
  <c r="J79" i="32" s="1"/>
  <c r="Q79" i="39"/>
  <c r="I19" i="32"/>
  <c r="J19" i="32" s="1"/>
  <c r="Q19" i="39"/>
  <c r="H27" i="33"/>
  <c r="Z27" i="39" s="1"/>
  <c r="W27" i="39"/>
  <c r="H3" i="33"/>
  <c r="Z3" i="39" s="1"/>
  <c r="W3" i="39"/>
  <c r="H86" i="33"/>
  <c r="W86" i="39"/>
  <c r="H62" i="33"/>
  <c r="W62" i="39"/>
  <c r="H38" i="33"/>
  <c r="W38" i="39"/>
  <c r="H14" i="33"/>
  <c r="W14" i="39"/>
  <c r="H83" i="33"/>
  <c r="W83" i="39"/>
  <c r="I47" i="32"/>
  <c r="J47" i="32" s="1"/>
  <c r="Q47" i="39"/>
  <c r="I23" i="32"/>
  <c r="J23" i="32" s="1"/>
  <c r="Q23" i="39"/>
  <c r="I43" i="32"/>
  <c r="J43" i="32" s="1"/>
  <c r="Q43" i="39"/>
  <c r="I7" i="32"/>
  <c r="J7" i="32" s="1"/>
  <c r="Q7" i="39"/>
  <c r="J86" i="21"/>
  <c r="K86" i="21" s="1"/>
  <c r="J82" i="21"/>
  <c r="K82" i="21" s="1"/>
  <c r="J74" i="20"/>
  <c r="K74" i="20" s="1"/>
  <c r="J74" i="21"/>
  <c r="K74" i="21" s="1"/>
  <c r="J70" i="21"/>
  <c r="K70" i="21" s="1"/>
  <c r="J58" i="20"/>
  <c r="K58" i="20" s="1"/>
  <c r="J38" i="20"/>
  <c r="K38" i="20" s="1"/>
  <c r="J38" i="21"/>
  <c r="K38" i="21" s="1"/>
  <c r="J34" i="21"/>
  <c r="K34" i="21" s="1"/>
  <c r="J30" i="21"/>
  <c r="K30" i="21" s="1"/>
  <c r="J26" i="21"/>
  <c r="K26" i="21" s="1"/>
  <c r="J22" i="20"/>
  <c r="K22" i="20" s="1"/>
  <c r="J22" i="21"/>
  <c r="K22" i="21" s="1"/>
  <c r="J83" i="20"/>
  <c r="K83" i="20" s="1"/>
  <c r="J71" i="20"/>
  <c r="K71" i="20" s="1"/>
  <c r="J65" i="21"/>
  <c r="K65" i="21" s="1"/>
  <c r="J49" i="21"/>
  <c r="K49" i="21" s="1"/>
  <c r="J37" i="20"/>
  <c r="K37" i="20" s="1"/>
  <c r="J33" i="21"/>
  <c r="K33" i="21" s="1"/>
  <c r="J29" i="20"/>
  <c r="K29" i="20" s="1"/>
  <c r="J59" i="20"/>
  <c r="K59" i="20" s="1"/>
  <c r="J47" i="20"/>
  <c r="K47" i="20" s="1"/>
  <c r="J47" i="21"/>
  <c r="K47" i="21" s="1"/>
  <c r="J35" i="20"/>
  <c r="K35" i="20" s="1"/>
  <c r="J96" i="21"/>
  <c r="K96" i="21" s="1"/>
  <c r="J92" i="20"/>
  <c r="K92" i="20" s="1"/>
  <c r="J92" i="21"/>
  <c r="K92" i="21" s="1"/>
  <c r="J88" i="21"/>
  <c r="K88" i="21" s="1"/>
  <c r="J84" i="21"/>
  <c r="K84" i="21" s="1"/>
  <c r="J80" i="21"/>
  <c r="K80" i="21" s="1"/>
  <c r="J72" i="21"/>
  <c r="K72" i="21" s="1"/>
  <c r="J64" i="20"/>
  <c r="K64" i="20" s="1"/>
  <c r="J52" i="20"/>
  <c r="K52" i="20" s="1"/>
  <c r="J48" i="20"/>
  <c r="K48" i="20" s="1"/>
  <c r="J44" i="20"/>
  <c r="K44" i="20" s="1"/>
  <c r="J32" i="20"/>
  <c r="K32" i="20" s="1"/>
  <c r="J24" i="20"/>
  <c r="K24" i="20" s="1"/>
  <c r="J20" i="20"/>
  <c r="K20" i="20" s="1"/>
  <c r="J16" i="21"/>
  <c r="K16" i="21" s="1"/>
  <c r="J12" i="21"/>
  <c r="K12" i="21" s="1"/>
  <c r="J8" i="21"/>
  <c r="K8" i="21" s="1"/>
  <c r="J4" i="21"/>
  <c r="K4" i="21" s="1"/>
  <c r="I97" i="32"/>
  <c r="J97" i="32" s="1"/>
  <c r="Q97" i="39"/>
  <c r="H85" i="33"/>
  <c r="W85" i="39"/>
  <c r="I73" i="32"/>
  <c r="J73" i="32" s="1"/>
  <c r="Q73" i="39"/>
  <c r="H61" i="33"/>
  <c r="W61" i="39"/>
  <c r="I49" i="32"/>
  <c r="J49" i="32" s="1"/>
  <c r="Q49" i="39"/>
  <c r="H37" i="33"/>
  <c r="W37" i="39"/>
  <c r="I25" i="32"/>
  <c r="J25" i="32" s="1"/>
  <c r="Q25" i="39"/>
  <c r="I13" i="32"/>
  <c r="J13" i="32" s="1"/>
  <c r="Q13" i="39"/>
  <c r="I96" i="32"/>
  <c r="J96" i="32" s="1"/>
  <c r="Q96" i="39"/>
  <c r="I84" i="32"/>
  <c r="J84" i="32" s="1"/>
  <c r="Q84" i="39"/>
  <c r="I72" i="32"/>
  <c r="J72" i="32" s="1"/>
  <c r="Q72" i="39"/>
  <c r="I60" i="32"/>
  <c r="J60" i="32" s="1"/>
  <c r="Q60" i="39"/>
  <c r="I48" i="32"/>
  <c r="J48" i="32" s="1"/>
  <c r="Q48" i="39"/>
  <c r="H36" i="33"/>
  <c r="W36" i="39"/>
  <c r="I24" i="32"/>
  <c r="J24" i="32" s="1"/>
  <c r="Q24" i="39"/>
  <c r="H16" i="33"/>
  <c r="W16" i="39"/>
  <c r="H4" i="33"/>
  <c r="W4" i="39"/>
  <c r="I91" i="32"/>
  <c r="J91" i="32" s="1"/>
  <c r="Q91" i="39"/>
  <c r="H55" i="33"/>
  <c r="W55" i="39"/>
  <c r="H75" i="33"/>
  <c r="Z75" i="39" s="1"/>
  <c r="W75" i="39"/>
  <c r="H51" i="33"/>
  <c r="Z51" i="39" s="1"/>
  <c r="W51" i="39"/>
  <c r="I98" i="32"/>
  <c r="J98" i="32" s="1"/>
  <c r="Q98" i="39"/>
  <c r="I74" i="32"/>
  <c r="J74" i="32" s="1"/>
  <c r="Q74" i="39"/>
  <c r="I50" i="32"/>
  <c r="J50" i="32" s="1"/>
  <c r="Q50" i="39"/>
  <c r="I26" i="32"/>
  <c r="J26" i="32" s="1"/>
  <c r="Q26" i="39"/>
  <c r="H95" i="33"/>
  <c r="W95" i="39"/>
  <c r="I59" i="32"/>
  <c r="J59" i="32" s="1"/>
  <c r="Q59" i="39"/>
  <c r="I35" i="32"/>
  <c r="J35" i="32" s="1"/>
  <c r="Q35" i="39"/>
  <c r="I11" i="32"/>
  <c r="J11" i="32" s="1"/>
  <c r="Q11" i="39"/>
  <c r="H43" i="33"/>
  <c r="W43" i="39"/>
  <c r="H7" i="33"/>
  <c r="W7" i="39"/>
  <c r="E149" i="19"/>
  <c r="E148" i="39"/>
  <c r="E148" i="27"/>
  <c r="E148" i="22"/>
  <c r="E148" i="28"/>
  <c r="E148" i="26"/>
  <c r="E148" i="23"/>
  <c r="E148" i="32"/>
  <c r="N148" i="39" s="1"/>
  <c r="J63" i="23"/>
  <c r="K63" i="23" s="1"/>
  <c r="J51" i="21"/>
  <c r="K51" i="21" s="1"/>
  <c r="J39" i="21"/>
  <c r="K39" i="21" s="1"/>
  <c r="J87" i="28"/>
  <c r="K87" i="28" s="1"/>
  <c r="I217" i="28"/>
  <c r="J217" i="28" s="1"/>
  <c r="K217" i="28" s="1"/>
  <c r="J75" i="26"/>
  <c r="K75" i="26" s="1"/>
  <c r="J3" i="20"/>
  <c r="K3" i="20" s="1"/>
  <c r="J27" i="21"/>
  <c r="K27" i="21" s="1"/>
  <c r="J15" i="23"/>
  <c r="K15" i="23" s="1"/>
  <c r="E114" i="33"/>
  <c r="W114" i="39" s="1"/>
  <c r="E66" i="33"/>
  <c r="H66" i="32"/>
  <c r="E18" i="33"/>
  <c r="H18" i="32"/>
  <c r="E69" i="33"/>
  <c r="H69" i="32"/>
  <c r="H21" i="32"/>
  <c r="E21" i="33"/>
  <c r="E116" i="33"/>
  <c r="W116" i="39" s="1"/>
  <c r="E68" i="33"/>
  <c r="H68" i="32"/>
  <c r="I63" i="32"/>
  <c r="J63" i="32" s="1"/>
  <c r="I15" i="32"/>
  <c r="J15" i="32" s="1"/>
  <c r="E138" i="20"/>
  <c r="E90" i="21"/>
  <c r="I90" i="21" s="1"/>
  <c r="J66" i="22"/>
  <c r="K66" i="22" s="1"/>
  <c r="E42" i="21"/>
  <c r="I42" i="21" s="1"/>
  <c r="E18" i="20"/>
  <c r="I18" i="20" s="1"/>
  <c r="E18" i="21"/>
  <c r="I18" i="21" s="1"/>
  <c r="J39" i="26"/>
  <c r="K39" i="26" s="1"/>
  <c r="E21" i="20"/>
  <c r="I21" i="20" s="1"/>
  <c r="J87" i="22"/>
  <c r="K87" i="22" s="1"/>
  <c r="J75" i="22"/>
  <c r="K75" i="22" s="1"/>
  <c r="I216" i="22"/>
  <c r="J216" i="22" s="1"/>
  <c r="K216" i="22" s="1"/>
  <c r="J3" i="23"/>
  <c r="K3" i="23" s="1"/>
  <c r="E116" i="20"/>
  <c r="J20" i="28"/>
  <c r="K20" i="28" s="1"/>
  <c r="H20" i="19"/>
  <c r="H20" i="39" s="1"/>
  <c r="J27" i="27"/>
  <c r="K27" i="27" s="1"/>
  <c r="I212" i="27"/>
  <c r="J212" i="27" s="1"/>
  <c r="K212" i="27" s="1"/>
  <c r="E106" i="33"/>
  <c r="W106" i="39" s="1"/>
  <c r="E82" i="33"/>
  <c r="H82" i="32"/>
  <c r="E34" i="33"/>
  <c r="H34" i="32"/>
  <c r="E105" i="33"/>
  <c r="W105" i="39" s="1"/>
  <c r="H57" i="32"/>
  <c r="E57" i="33"/>
  <c r="E104" i="33"/>
  <c r="W104" i="39" s="1"/>
  <c r="E56" i="33"/>
  <c r="H56" i="32"/>
  <c r="E8" i="33"/>
  <c r="H8" i="32"/>
  <c r="I75" i="32"/>
  <c r="J75" i="32" s="1"/>
  <c r="E106" i="21"/>
  <c r="J90" i="22"/>
  <c r="K90" i="22" s="1"/>
  <c r="J82" i="26"/>
  <c r="K82" i="26" s="1"/>
  <c r="J82" i="23"/>
  <c r="K82" i="23" s="1"/>
  <c r="J66" i="28"/>
  <c r="K66" i="28" s="1"/>
  <c r="J66" i="23"/>
  <c r="K66" i="23" s="1"/>
  <c r="J58" i="28"/>
  <c r="K58" i="28" s="1"/>
  <c r="J42" i="26"/>
  <c r="K42" i="26" s="1"/>
  <c r="J34" i="28"/>
  <c r="K34" i="28" s="1"/>
  <c r="J34" i="23"/>
  <c r="K34" i="23" s="1"/>
  <c r="J18" i="26"/>
  <c r="K18" i="26" s="1"/>
  <c r="J18" i="23"/>
  <c r="K18" i="23" s="1"/>
  <c r="J10" i="22"/>
  <c r="K10" i="22" s="1"/>
  <c r="J63" i="22"/>
  <c r="K63" i="22" s="1"/>
  <c r="J63" i="27"/>
  <c r="K63" i="27" s="1"/>
  <c r="J51" i="28"/>
  <c r="K51" i="28" s="1"/>
  <c r="J51" i="23"/>
  <c r="K51" i="23" s="1"/>
  <c r="J39" i="28"/>
  <c r="K39" i="28" s="1"/>
  <c r="I213" i="28"/>
  <c r="J213" i="28" s="1"/>
  <c r="K213" i="28" s="1"/>
  <c r="J39" i="23"/>
  <c r="K39" i="23" s="1"/>
  <c r="I213" i="23"/>
  <c r="J213" i="23" s="1"/>
  <c r="K213" i="23" s="1"/>
  <c r="J69" i="23"/>
  <c r="K69" i="23" s="1"/>
  <c r="J69" i="22"/>
  <c r="K69" i="22" s="1"/>
  <c r="J57" i="23"/>
  <c r="K57" i="23" s="1"/>
  <c r="E57" i="21"/>
  <c r="I57" i="21" s="1"/>
  <c r="J21" i="27"/>
  <c r="K21" i="27" s="1"/>
  <c r="J21" i="22"/>
  <c r="K21" i="22" s="1"/>
  <c r="J9" i="27"/>
  <c r="K9" i="27" s="1"/>
  <c r="J87" i="20"/>
  <c r="K87" i="20" s="1"/>
  <c r="J87" i="23"/>
  <c r="K87" i="23" s="1"/>
  <c r="I217" i="23"/>
  <c r="J217" i="23" s="1"/>
  <c r="K217" i="23" s="1"/>
  <c r="J75" i="28"/>
  <c r="K75" i="28" s="1"/>
  <c r="I216" i="28"/>
  <c r="J216" i="28" s="1"/>
  <c r="K216" i="28" s="1"/>
  <c r="J75" i="23"/>
  <c r="K75" i="23" s="1"/>
  <c r="J3" i="22"/>
  <c r="K3" i="22" s="1"/>
  <c r="J3" i="27"/>
  <c r="K3" i="27" s="1"/>
  <c r="J68" i="28"/>
  <c r="K68" i="28" s="1"/>
  <c r="J68" i="22"/>
  <c r="K68" i="22" s="1"/>
  <c r="E56" i="20"/>
  <c r="I56" i="20" s="1"/>
  <c r="J56" i="22"/>
  <c r="K56" i="22" s="1"/>
  <c r="J20" i="22"/>
  <c r="K20" i="22" s="1"/>
  <c r="J8" i="28"/>
  <c r="K8" i="28" s="1"/>
  <c r="J8" i="22"/>
  <c r="K8" i="22" s="1"/>
  <c r="J27" i="20"/>
  <c r="K27" i="20" s="1"/>
  <c r="J27" i="23"/>
  <c r="K27" i="23" s="1"/>
  <c r="J15" i="20"/>
  <c r="K15" i="20" s="1"/>
  <c r="J15" i="22"/>
  <c r="K15" i="22" s="1"/>
  <c r="W142" i="39"/>
  <c r="E118" i="33"/>
  <c r="W118" i="39" s="1"/>
  <c r="E94" i="33"/>
  <c r="H94" i="32"/>
  <c r="E70" i="33"/>
  <c r="H70" i="32"/>
  <c r="E46" i="33"/>
  <c r="H46" i="32"/>
  <c r="E22" i="33"/>
  <c r="H22" i="32"/>
  <c r="E129" i="33"/>
  <c r="W129" i="39" s="1"/>
  <c r="H81" i="32"/>
  <c r="E81" i="33"/>
  <c r="E33" i="33"/>
  <c r="H33" i="32"/>
  <c r="E128" i="33"/>
  <c r="W128" i="39" s="1"/>
  <c r="E80" i="33"/>
  <c r="H80" i="32"/>
  <c r="E32" i="33"/>
  <c r="H32" i="32"/>
  <c r="I39" i="32"/>
  <c r="J39" i="32" s="1"/>
  <c r="I15" i="33"/>
  <c r="J15" i="33" s="1"/>
  <c r="J63" i="20"/>
  <c r="K63" i="20" s="1"/>
  <c r="J51" i="26"/>
  <c r="K51" i="26" s="1"/>
  <c r="J39" i="22"/>
  <c r="K39" i="22" s="1"/>
  <c r="I213" i="22"/>
  <c r="J213" i="22" s="1"/>
  <c r="K213" i="22" s="1"/>
  <c r="J87" i="21"/>
  <c r="K87" i="21" s="1"/>
  <c r="J75" i="21"/>
  <c r="K75" i="21" s="1"/>
  <c r="J3" i="21"/>
  <c r="K3" i="21" s="1"/>
  <c r="J27" i="26"/>
  <c r="K27" i="26" s="1"/>
  <c r="I212" i="26"/>
  <c r="J212" i="26" s="1"/>
  <c r="K212" i="26" s="1"/>
  <c r="J15" i="27"/>
  <c r="K15" i="27" s="1"/>
  <c r="W138" i="39"/>
  <c r="E90" i="33"/>
  <c r="H90" i="32"/>
  <c r="E42" i="33"/>
  <c r="H42" i="32"/>
  <c r="E117" i="33"/>
  <c r="W117" i="39" s="1"/>
  <c r="E20" i="33"/>
  <c r="H20" i="32"/>
  <c r="I87" i="32"/>
  <c r="J87" i="32" s="1"/>
  <c r="E90" i="20"/>
  <c r="I90" i="20" s="1"/>
  <c r="J66" i="26"/>
  <c r="K66" i="26" s="1"/>
  <c r="E42" i="20"/>
  <c r="I42" i="20" s="1"/>
  <c r="J63" i="26"/>
  <c r="K63" i="26" s="1"/>
  <c r="J51" i="27"/>
  <c r="K51" i="27" s="1"/>
  <c r="E69" i="20"/>
  <c r="I69" i="20" s="1"/>
  <c r="J69" i="26"/>
  <c r="K69" i="26" s="1"/>
  <c r="J21" i="26"/>
  <c r="K21" i="26" s="1"/>
  <c r="J87" i="26"/>
  <c r="K87" i="26" s="1"/>
  <c r="J75" i="20"/>
  <c r="K75" i="20" s="1"/>
  <c r="J3" i="28"/>
  <c r="K3" i="28" s="1"/>
  <c r="E116" i="21"/>
  <c r="J68" i="23"/>
  <c r="K68" i="23" s="1"/>
  <c r="H68" i="19"/>
  <c r="H68" i="39" s="1"/>
  <c r="J15" i="26"/>
  <c r="K15" i="26" s="1"/>
  <c r="E130" i="33"/>
  <c r="W130" i="39" s="1"/>
  <c r="E58" i="33"/>
  <c r="H58" i="32"/>
  <c r="E10" i="33"/>
  <c r="H10" i="32"/>
  <c r="E9" i="33"/>
  <c r="H9" i="32"/>
  <c r="I51" i="32"/>
  <c r="J51" i="32" s="1"/>
  <c r="E114" i="20"/>
  <c r="E106" i="20"/>
  <c r="J90" i="26"/>
  <c r="K90" i="26" s="1"/>
  <c r="H90" i="19"/>
  <c r="H90" i="39" s="1"/>
  <c r="J82" i="27"/>
  <c r="K82" i="27" s="1"/>
  <c r="H82" i="19"/>
  <c r="H82" i="39" s="1"/>
  <c r="E66" i="20"/>
  <c r="I66" i="20" s="1"/>
  <c r="H66" i="19"/>
  <c r="H66" i="39" s="1"/>
  <c r="J58" i="27"/>
  <c r="K58" i="27" s="1"/>
  <c r="H58" i="19"/>
  <c r="H58" i="39" s="1"/>
  <c r="J42" i="27"/>
  <c r="K42" i="27" s="1"/>
  <c r="H42" i="19"/>
  <c r="H42" i="39" s="1"/>
  <c r="E34" i="20"/>
  <c r="I34" i="20" s="1"/>
  <c r="H34" i="19"/>
  <c r="H34" i="39" s="1"/>
  <c r="J18" i="27"/>
  <c r="K18" i="27" s="1"/>
  <c r="H18" i="19"/>
  <c r="H18" i="39" s="1"/>
  <c r="E10" i="20"/>
  <c r="I10" i="20" s="1"/>
  <c r="H10" i="19"/>
  <c r="H10" i="39" s="1"/>
  <c r="J63" i="28"/>
  <c r="K63" i="28" s="1"/>
  <c r="J63" i="21"/>
  <c r="K63" i="21" s="1"/>
  <c r="J51" i="20"/>
  <c r="K51" i="20" s="1"/>
  <c r="J51" i="22"/>
  <c r="K51" i="22" s="1"/>
  <c r="J39" i="20"/>
  <c r="K39" i="20" s="1"/>
  <c r="J39" i="27"/>
  <c r="K39" i="27" s="1"/>
  <c r="E117" i="21"/>
  <c r="J69" i="27"/>
  <c r="K69" i="27" s="1"/>
  <c r="E69" i="21"/>
  <c r="I69" i="21" s="1"/>
  <c r="J57" i="27"/>
  <c r="K57" i="27" s="1"/>
  <c r="J57" i="22"/>
  <c r="K57" i="22" s="1"/>
  <c r="J21" i="23"/>
  <c r="K21" i="23" s="1"/>
  <c r="E21" i="21"/>
  <c r="I21" i="21" s="1"/>
  <c r="J9" i="23"/>
  <c r="K9" i="23" s="1"/>
  <c r="J9" i="22"/>
  <c r="K9" i="22" s="1"/>
  <c r="J87" i="27"/>
  <c r="K87" i="27" s="1"/>
  <c r="I217" i="27"/>
  <c r="J217" i="27" s="1"/>
  <c r="K217" i="27" s="1"/>
  <c r="J75" i="27"/>
  <c r="K75" i="27" s="1"/>
  <c r="J3" i="26"/>
  <c r="K3" i="26" s="1"/>
  <c r="E104" i="20"/>
  <c r="E104" i="21"/>
  <c r="E68" i="20"/>
  <c r="I68" i="20" s="1"/>
  <c r="J68" i="26"/>
  <c r="K68" i="26" s="1"/>
  <c r="J56" i="27"/>
  <c r="K56" i="27" s="1"/>
  <c r="J56" i="26"/>
  <c r="K56" i="26" s="1"/>
  <c r="J20" i="27"/>
  <c r="K20" i="27" s="1"/>
  <c r="J20" i="23"/>
  <c r="K20" i="23" s="1"/>
  <c r="E8" i="20"/>
  <c r="I8" i="20" s="1"/>
  <c r="J8" i="26"/>
  <c r="K8" i="26" s="1"/>
  <c r="J27" i="28"/>
  <c r="K27" i="28" s="1"/>
  <c r="J27" i="22"/>
  <c r="K27" i="22" s="1"/>
  <c r="I212" i="22"/>
  <c r="J212" i="22" s="1"/>
  <c r="K212" i="22" s="1"/>
  <c r="J15" i="28"/>
  <c r="K15" i="28" s="1"/>
  <c r="J15" i="21"/>
  <c r="K15" i="21" s="1"/>
  <c r="E126" i="33"/>
  <c r="W126" i="39" s="1"/>
  <c r="E102" i="33"/>
  <c r="W102" i="39" s="1"/>
  <c r="E78" i="33"/>
  <c r="H78" i="32"/>
  <c r="E54" i="33"/>
  <c r="H54" i="32"/>
  <c r="E30" i="33"/>
  <c r="H30" i="32"/>
  <c r="E6" i="33"/>
  <c r="H6" i="32"/>
  <c r="W141" i="39"/>
  <c r="E93" i="33"/>
  <c r="H93" i="32"/>
  <c r="E45" i="33"/>
  <c r="H45" i="32"/>
  <c r="W140" i="39"/>
  <c r="E92" i="33"/>
  <c r="H92" i="32"/>
  <c r="H44" i="32"/>
  <c r="E44" i="33"/>
  <c r="I27" i="32"/>
  <c r="J27" i="32" s="1"/>
  <c r="J12" i="17"/>
  <c r="J11" i="17"/>
  <c r="D12" i="30" l="1"/>
  <c r="K12" i="17"/>
  <c r="K13" i="17"/>
  <c r="P39" i="9"/>
  <c r="J62" i="38"/>
  <c r="P38" i="9"/>
  <c r="K62" i="38"/>
  <c r="B17" i="37"/>
  <c r="K5" i="38"/>
  <c r="C35" i="34"/>
  <c r="I75" i="33"/>
  <c r="J75" i="33" s="1"/>
  <c r="I210" i="21"/>
  <c r="J210" i="21" s="1"/>
  <c r="K210" i="21" s="1"/>
  <c r="C34" i="34"/>
  <c r="J5" i="38"/>
  <c r="B16" i="37"/>
  <c r="I3" i="33"/>
  <c r="J3" i="33" s="1"/>
  <c r="I216" i="20"/>
  <c r="J216" i="20" s="1"/>
  <c r="K216" i="20" s="1"/>
  <c r="I63" i="33"/>
  <c r="J63" i="33" s="1"/>
  <c r="I212" i="21"/>
  <c r="J212" i="21" s="1"/>
  <c r="K212" i="21" s="1"/>
  <c r="I51" i="33"/>
  <c r="J51" i="33" s="1"/>
  <c r="I216" i="21"/>
  <c r="J216" i="21" s="1"/>
  <c r="K216" i="21" s="1"/>
  <c r="I39" i="33"/>
  <c r="J39" i="33" s="1"/>
  <c r="I87" i="33"/>
  <c r="J87" i="33" s="1"/>
  <c r="I27" i="33"/>
  <c r="J27" i="33" s="1"/>
  <c r="I58" i="32"/>
  <c r="J58" i="32" s="1"/>
  <c r="Q58" i="39"/>
  <c r="H20" i="33"/>
  <c r="W20" i="39"/>
  <c r="H42" i="33"/>
  <c r="W42" i="39"/>
  <c r="I81" i="32"/>
  <c r="J81" i="32" s="1"/>
  <c r="Q81" i="39"/>
  <c r="I70" i="32"/>
  <c r="J70" i="32" s="1"/>
  <c r="Q70" i="39"/>
  <c r="J56" i="20"/>
  <c r="K56" i="20" s="1"/>
  <c r="I82" i="32"/>
  <c r="J82" i="32" s="1"/>
  <c r="Q82" i="39"/>
  <c r="H21" i="33"/>
  <c r="W21" i="39"/>
  <c r="H66" i="33"/>
  <c r="W66" i="39"/>
  <c r="H44" i="33"/>
  <c r="W44" i="39"/>
  <c r="I93" i="32"/>
  <c r="J93" i="32" s="1"/>
  <c r="Q93" i="39"/>
  <c r="I6" i="32"/>
  <c r="J6" i="32" s="1"/>
  <c r="Q6" i="39"/>
  <c r="I54" i="32"/>
  <c r="J54" i="32" s="1"/>
  <c r="Q54" i="39"/>
  <c r="J8" i="20"/>
  <c r="K8" i="20" s="1"/>
  <c r="J10" i="20"/>
  <c r="K10" i="20" s="1"/>
  <c r="I212" i="20"/>
  <c r="J212" i="20" s="1"/>
  <c r="K212" i="20" s="1"/>
  <c r="H58" i="33"/>
  <c r="W58" i="39"/>
  <c r="I90" i="32"/>
  <c r="J90" i="32" s="1"/>
  <c r="Q90" i="39"/>
  <c r="I80" i="32"/>
  <c r="J80" i="32" s="1"/>
  <c r="Q80" i="39"/>
  <c r="I33" i="32"/>
  <c r="J33" i="32" s="1"/>
  <c r="Q33" i="39"/>
  <c r="H22" i="33"/>
  <c r="W22" i="39"/>
  <c r="H70" i="33"/>
  <c r="W70" i="39"/>
  <c r="I8" i="32"/>
  <c r="J8" i="32" s="1"/>
  <c r="Q8" i="39"/>
  <c r="H82" i="33"/>
  <c r="W82" i="39"/>
  <c r="J42" i="21"/>
  <c r="K42" i="21" s="1"/>
  <c r="I68" i="32"/>
  <c r="J68" i="32" s="1"/>
  <c r="Q68" i="39"/>
  <c r="I21" i="32"/>
  <c r="J21" i="32" s="1"/>
  <c r="Q21" i="39"/>
  <c r="I18" i="32"/>
  <c r="J18" i="32" s="1"/>
  <c r="Q18" i="39"/>
  <c r="E149" i="39"/>
  <c r="E149" i="27"/>
  <c r="E149" i="26"/>
  <c r="E149" i="28"/>
  <c r="E149" i="23"/>
  <c r="E149" i="22"/>
  <c r="E149" i="32"/>
  <c r="N149" i="39" s="1"/>
  <c r="E149" i="20"/>
  <c r="E149" i="33"/>
  <c r="W149" i="39" s="1"/>
  <c r="E149" i="21"/>
  <c r="I43" i="33"/>
  <c r="J43" i="33" s="1"/>
  <c r="Z43" i="39"/>
  <c r="I95" i="33"/>
  <c r="J95" i="33" s="1"/>
  <c r="Z95" i="39"/>
  <c r="I16" i="33"/>
  <c r="J16" i="33" s="1"/>
  <c r="Z16" i="39"/>
  <c r="I36" i="33"/>
  <c r="J36" i="33" s="1"/>
  <c r="Z36" i="39"/>
  <c r="I37" i="33"/>
  <c r="J37" i="33" s="1"/>
  <c r="Z37" i="39"/>
  <c r="I61" i="33"/>
  <c r="J61" i="33" s="1"/>
  <c r="Z61" i="39"/>
  <c r="I85" i="33"/>
  <c r="J85" i="33" s="1"/>
  <c r="Z85" i="39"/>
  <c r="J76" i="21"/>
  <c r="K76" i="21" s="1"/>
  <c r="I14" i="33"/>
  <c r="J14" i="33" s="1"/>
  <c r="Z14" i="39"/>
  <c r="I62" i="33"/>
  <c r="J62" i="33" s="1"/>
  <c r="Z62" i="39"/>
  <c r="I28" i="33"/>
  <c r="J28" i="33" s="1"/>
  <c r="Z28" i="39"/>
  <c r="I52" i="33"/>
  <c r="J52" i="33" s="1"/>
  <c r="Z52" i="39"/>
  <c r="I76" i="33"/>
  <c r="J76" i="33" s="1"/>
  <c r="Z76" i="39"/>
  <c r="I5" i="33"/>
  <c r="J5" i="33" s="1"/>
  <c r="Z5" i="39"/>
  <c r="I25" i="33"/>
  <c r="J25" i="33" s="1"/>
  <c r="Z25" i="39"/>
  <c r="I49" i="33"/>
  <c r="J49" i="33" s="1"/>
  <c r="Z49" i="39"/>
  <c r="I73" i="33"/>
  <c r="J73" i="33" s="1"/>
  <c r="Z73" i="39"/>
  <c r="I97" i="33"/>
  <c r="J97" i="33" s="1"/>
  <c r="Z97" i="39"/>
  <c r="I67" i="33"/>
  <c r="J67" i="33" s="1"/>
  <c r="Z67" i="39"/>
  <c r="I47" i="33"/>
  <c r="J47" i="33" s="1"/>
  <c r="Z47" i="39"/>
  <c r="I79" i="33"/>
  <c r="J79" i="33" s="1"/>
  <c r="Z79" i="39"/>
  <c r="I12" i="33"/>
  <c r="J12" i="33" s="1"/>
  <c r="Z12" i="39"/>
  <c r="I41" i="33"/>
  <c r="J41" i="33" s="1"/>
  <c r="Z41" i="39"/>
  <c r="I35" i="33"/>
  <c r="J35" i="33" s="1"/>
  <c r="Z35" i="39"/>
  <c r="I50" i="33"/>
  <c r="J50" i="33" s="1"/>
  <c r="Z50" i="39"/>
  <c r="I98" i="33"/>
  <c r="J98" i="33" s="1"/>
  <c r="Z98" i="39"/>
  <c r="I71" i="33"/>
  <c r="J71" i="33" s="1"/>
  <c r="Z71" i="39"/>
  <c r="I24" i="33"/>
  <c r="J24" i="33" s="1"/>
  <c r="Z24" i="39"/>
  <c r="I48" i="33"/>
  <c r="J48" i="33" s="1"/>
  <c r="Z48" i="39"/>
  <c r="I72" i="33"/>
  <c r="J72" i="33" s="1"/>
  <c r="Z72" i="39"/>
  <c r="I96" i="33"/>
  <c r="J96" i="33" s="1"/>
  <c r="Z96" i="39"/>
  <c r="I17" i="33"/>
  <c r="J17" i="33" s="1"/>
  <c r="Z17" i="39"/>
  <c r="I65" i="33"/>
  <c r="J65" i="33" s="1"/>
  <c r="Z65" i="39"/>
  <c r="I89" i="33"/>
  <c r="J89" i="33" s="1"/>
  <c r="Z89" i="39"/>
  <c r="H92" i="33"/>
  <c r="W92" i="39"/>
  <c r="H45" i="33"/>
  <c r="W45" i="39"/>
  <c r="H30" i="33"/>
  <c r="W30" i="39"/>
  <c r="H78" i="33"/>
  <c r="W78" i="39"/>
  <c r="H9" i="33"/>
  <c r="W9" i="39"/>
  <c r="J90" i="20"/>
  <c r="K90" i="20" s="1"/>
  <c r="H32" i="33"/>
  <c r="W32" i="39"/>
  <c r="I22" i="32"/>
  <c r="J22" i="32" s="1"/>
  <c r="Q22" i="39"/>
  <c r="H56" i="33"/>
  <c r="W56" i="39"/>
  <c r="I57" i="32"/>
  <c r="J57" i="32" s="1"/>
  <c r="Q57" i="39"/>
  <c r="J18" i="20"/>
  <c r="K18" i="20" s="1"/>
  <c r="I44" i="32"/>
  <c r="J44" i="32" s="1"/>
  <c r="Q44" i="39"/>
  <c r="H93" i="33"/>
  <c r="W93" i="39"/>
  <c r="H6" i="33"/>
  <c r="W6" i="39"/>
  <c r="H54" i="33"/>
  <c r="W54" i="39"/>
  <c r="J21" i="21"/>
  <c r="K21" i="21" s="1"/>
  <c r="I215" i="21"/>
  <c r="J215" i="21" s="1"/>
  <c r="K215" i="21" s="1"/>
  <c r="I10" i="32"/>
  <c r="J10" i="32" s="1"/>
  <c r="Q10" i="39"/>
  <c r="I213" i="20"/>
  <c r="J213" i="20" s="1"/>
  <c r="K213" i="20" s="1"/>
  <c r="H90" i="33"/>
  <c r="W90" i="39"/>
  <c r="H80" i="33"/>
  <c r="W80" i="39"/>
  <c r="H33" i="33"/>
  <c r="W33" i="39"/>
  <c r="I46" i="32"/>
  <c r="J46" i="32" s="1"/>
  <c r="Q46" i="39"/>
  <c r="I94" i="32"/>
  <c r="J94" i="32" s="1"/>
  <c r="Q94" i="39"/>
  <c r="H8" i="33"/>
  <c r="W8" i="39"/>
  <c r="I34" i="32"/>
  <c r="J34" i="32" s="1"/>
  <c r="Q34" i="39"/>
  <c r="J21" i="20"/>
  <c r="K21" i="20" s="1"/>
  <c r="H68" i="33"/>
  <c r="W68" i="39"/>
  <c r="I69" i="32"/>
  <c r="J69" i="32" s="1"/>
  <c r="Q69" i="39"/>
  <c r="H18" i="33"/>
  <c r="W18" i="39"/>
  <c r="I92" i="32"/>
  <c r="J92" i="32" s="1"/>
  <c r="Q92" i="39"/>
  <c r="I45" i="32"/>
  <c r="J45" i="32" s="1"/>
  <c r="Q45" i="39"/>
  <c r="I30" i="32"/>
  <c r="J30" i="32" s="1"/>
  <c r="Q30" i="39"/>
  <c r="I78" i="32"/>
  <c r="J78" i="32" s="1"/>
  <c r="Q78" i="39"/>
  <c r="J68" i="20"/>
  <c r="K68" i="20" s="1"/>
  <c r="J66" i="20"/>
  <c r="K66" i="20" s="1"/>
  <c r="I9" i="32"/>
  <c r="J9" i="32" s="1"/>
  <c r="Q9" i="39"/>
  <c r="H10" i="33"/>
  <c r="W10" i="39"/>
  <c r="J69" i="20"/>
  <c r="K69" i="20" s="1"/>
  <c r="I20" i="32"/>
  <c r="J20" i="32" s="1"/>
  <c r="Q20" i="39"/>
  <c r="I42" i="32"/>
  <c r="J42" i="32" s="1"/>
  <c r="Q42" i="39"/>
  <c r="I32" i="32"/>
  <c r="J32" i="32" s="1"/>
  <c r="Q32" i="39"/>
  <c r="H81" i="33"/>
  <c r="W81" i="39"/>
  <c r="H46" i="33"/>
  <c r="W46" i="39"/>
  <c r="H94" i="33"/>
  <c r="W94" i="39"/>
  <c r="J57" i="21"/>
  <c r="K57" i="21" s="1"/>
  <c r="I56" i="32"/>
  <c r="J56" i="32" s="1"/>
  <c r="Q56" i="39"/>
  <c r="H57" i="33"/>
  <c r="W57" i="39"/>
  <c r="H34" i="33"/>
  <c r="W34" i="39"/>
  <c r="J18" i="21"/>
  <c r="K18" i="21" s="1"/>
  <c r="I217" i="21"/>
  <c r="J217" i="21" s="1"/>
  <c r="K217" i="21" s="1"/>
  <c r="H69" i="33"/>
  <c r="W69" i="39"/>
  <c r="I66" i="32"/>
  <c r="J66" i="32" s="1"/>
  <c r="Q66" i="39"/>
  <c r="I7" i="33"/>
  <c r="J7" i="33" s="1"/>
  <c r="Z7" i="39"/>
  <c r="I55" i="33"/>
  <c r="J55" i="33" s="1"/>
  <c r="Z55" i="39"/>
  <c r="I4" i="33"/>
  <c r="J4" i="33" s="1"/>
  <c r="Z4" i="39"/>
  <c r="I83" i="33"/>
  <c r="J83" i="33" s="1"/>
  <c r="Z83" i="39"/>
  <c r="I38" i="33"/>
  <c r="J38" i="33" s="1"/>
  <c r="Z38" i="39"/>
  <c r="I86" i="33"/>
  <c r="J86" i="33" s="1"/>
  <c r="Z86" i="39"/>
  <c r="I40" i="33"/>
  <c r="J40" i="33" s="1"/>
  <c r="Z40" i="39"/>
  <c r="I64" i="33"/>
  <c r="J64" i="33" s="1"/>
  <c r="Z64" i="39"/>
  <c r="I88" i="33"/>
  <c r="J88" i="33" s="1"/>
  <c r="Z88" i="39"/>
  <c r="I13" i="33"/>
  <c r="J13" i="33" s="1"/>
  <c r="Z13" i="39"/>
  <c r="I31" i="33"/>
  <c r="J31" i="33" s="1"/>
  <c r="Z31" i="39"/>
  <c r="I23" i="33"/>
  <c r="J23" i="33" s="1"/>
  <c r="Z23" i="39"/>
  <c r="I19" i="33"/>
  <c r="J19" i="33" s="1"/>
  <c r="Z19" i="39"/>
  <c r="I53" i="33"/>
  <c r="J53" i="33" s="1"/>
  <c r="Z53" i="39"/>
  <c r="I77" i="33"/>
  <c r="J77" i="33" s="1"/>
  <c r="Z77" i="39"/>
  <c r="I11" i="33"/>
  <c r="J11" i="33" s="1"/>
  <c r="Z11" i="39"/>
  <c r="I59" i="33"/>
  <c r="J59" i="33" s="1"/>
  <c r="Z59" i="39"/>
  <c r="I26" i="33"/>
  <c r="J26" i="33" s="1"/>
  <c r="Z26" i="39"/>
  <c r="I74" i="33"/>
  <c r="J74" i="33" s="1"/>
  <c r="Z74" i="39"/>
  <c r="I91" i="33"/>
  <c r="J91" i="33" s="1"/>
  <c r="Z91" i="39"/>
  <c r="I60" i="33"/>
  <c r="J60" i="33" s="1"/>
  <c r="Z60" i="39"/>
  <c r="I84" i="33"/>
  <c r="J84" i="33" s="1"/>
  <c r="Z84" i="39"/>
  <c r="I29" i="33"/>
  <c r="J29" i="33" s="1"/>
  <c r="Z29" i="39"/>
  <c r="G39" i="9"/>
  <c r="G57" i="9" s="1"/>
  <c r="J31" i="17"/>
  <c r="J32" i="17"/>
  <c r="G38" i="9"/>
  <c r="I210" i="27"/>
  <c r="J210" i="27" s="1"/>
  <c r="K210" i="27" s="1"/>
  <c r="I216" i="23"/>
  <c r="J216" i="23" s="1"/>
  <c r="K216" i="23" s="1"/>
  <c r="I211" i="22"/>
  <c r="J211" i="22" s="1"/>
  <c r="K211" i="22" s="1"/>
  <c r="I212" i="23"/>
  <c r="J212" i="23" s="1"/>
  <c r="K212" i="23" s="1"/>
  <c r="I212" i="28"/>
  <c r="J212" i="28" s="1"/>
  <c r="K212" i="28" s="1"/>
  <c r="I215" i="28"/>
  <c r="J215" i="28" s="1"/>
  <c r="K215" i="28" s="1"/>
  <c r="H212" i="32"/>
  <c r="M212" i="32" s="1"/>
  <c r="O212" i="32" s="1"/>
  <c r="H217" i="32"/>
  <c r="M217" i="32" s="1"/>
  <c r="O217" i="32" s="1"/>
  <c r="H213" i="32"/>
  <c r="M213" i="32" s="1"/>
  <c r="O213" i="32" s="1"/>
  <c r="I211" i="28"/>
  <c r="J211" i="28" s="1"/>
  <c r="K211" i="28" s="1"/>
  <c r="I211" i="26"/>
  <c r="J211" i="26" s="1"/>
  <c r="K211" i="26" s="1"/>
  <c r="I214" i="28"/>
  <c r="J214" i="28" s="1"/>
  <c r="K214" i="28" s="1"/>
  <c r="I210" i="23"/>
  <c r="J210" i="23" s="1"/>
  <c r="K210" i="23" s="1"/>
  <c r="I217" i="22"/>
  <c r="J217" i="22" s="1"/>
  <c r="K217" i="22" s="1"/>
  <c r="D11" i="30"/>
  <c r="H215" i="32"/>
  <c r="M215" i="32" s="1"/>
  <c r="O215" i="32" s="1"/>
  <c r="I211" i="23"/>
  <c r="J211" i="23" s="1"/>
  <c r="K211" i="23" s="1"/>
  <c r="I210" i="26"/>
  <c r="J210" i="26" s="1"/>
  <c r="K210" i="26" s="1"/>
  <c r="I213" i="27"/>
  <c r="J213" i="27" s="1"/>
  <c r="K213" i="27" s="1"/>
  <c r="I214" i="22"/>
  <c r="J214" i="22" s="1"/>
  <c r="K214" i="22" s="1"/>
  <c r="H214" i="32"/>
  <c r="M214" i="32" s="1"/>
  <c r="O214" i="32" s="1"/>
  <c r="I210" i="28"/>
  <c r="J210" i="28" s="1"/>
  <c r="K210" i="28" s="1"/>
  <c r="I217" i="26"/>
  <c r="J217" i="26" s="1"/>
  <c r="K217" i="26" s="1"/>
  <c r="I214" i="23"/>
  <c r="J214" i="23" s="1"/>
  <c r="K214" i="23" s="1"/>
  <c r="I215" i="27"/>
  <c r="J215" i="27" s="1"/>
  <c r="K215" i="27" s="1"/>
  <c r="H211" i="32"/>
  <c r="M211" i="32" s="1"/>
  <c r="O211" i="32" s="1"/>
  <c r="I216" i="26"/>
  <c r="J216" i="26" s="1"/>
  <c r="K216" i="26" s="1"/>
  <c r="I215" i="23"/>
  <c r="J215" i="23" s="1"/>
  <c r="K215" i="23" s="1"/>
  <c r="I214" i="27"/>
  <c r="J214" i="27" s="1"/>
  <c r="K214" i="27" s="1"/>
  <c r="I213" i="26"/>
  <c r="J213" i="26" s="1"/>
  <c r="K213" i="26" s="1"/>
  <c r="I216" i="27"/>
  <c r="J216" i="27" s="1"/>
  <c r="K216" i="27" s="1"/>
  <c r="I215" i="22"/>
  <c r="J215" i="22" s="1"/>
  <c r="K215" i="22" s="1"/>
  <c r="H216" i="32"/>
  <c r="M216" i="32" s="1"/>
  <c r="O216" i="32" s="1"/>
  <c r="I215" i="26"/>
  <c r="J215" i="26" s="1"/>
  <c r="K215" i="26" s="1"/>
  <c r="I211" i="27"/>
  <c r="J211" i="27" s="1"/>
  <c r="K211" i="27" s="1"/>
  <c r="I214" i="26"/>
  <c r="J214" i="26" s="1"/>
  <c r="K214" i="26" s="1"/>
  <c r="I210" i="22"/>
  <c r="J210" i="22" s="1"/>
  <c r="K210" i="22" s="1"/>
  <c r="C133" i="39"/>
  <c r="C125" i="39"/>
  <c r="D133" i="39"/>
  <c r="D132" i="39"/>
  <c r="D131" i="39"/>
  <c r="D130" i="39"/>
  <c r="D129" i="39"/>
  <c r="D128" i="39"/>
  <c r="D127" i="39"/>
  <c r="D126" i="39"/>
  <c r="D125" i="39"/>
  <c r="D124" i="39"/>
  <c r="D123" i="39"/>
  <c r="C132" i="39"/>
  <c r="C131" i="39"/>
  <c r="C130" i="39"/>
  <c r="C129" i="39"/>
  <c r="C128" i="39"/>
  <c r="C127" i="39"/>
  <c r="C126" i="39"/>
  <c r="C124" i="39"/>
  <c r="C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C114" i="39"/>
  <c r="C122" i="39"/>
  <c r="C121" i="39"/>
  <c r="C120" i="39"/>
  <c r="C119" i="39"/>
  <c r="C118" i="39"/>
  <c r="C117" i="39"/>
  <c r="C116" i="39"/>
  <c r="C115" i="39"/>
  <c r="C113" i="39"/>
  <c r="C112" i="39"/>
  <c r="C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C99" i="39"/>
  <c r="C100" i="39"/>
  <c r="C101" i="39"/>
  <c r="C102" i="39"/>
  <c r="C103" i="39"/>
  <c r="C104" i="39"/>
  <c r="C105" i="39"/>
  <c r="C106" i="39"/>
  <c r="C107" i="39"/>
  <c r="C108" i="39"/>
  <c r="C109" i="39"/>
  <c r="C110" i="39"/>
  <c r="H214" i="33" l="1"/>
  <c r="M214" i="33" s="1"/>
  <c r="O214" i="33" s="1"/>
  <c r="Q214" i="33" s="1"/>
  <c r="I213" i="21"/>
  <c r="J213" i="21" s="1"/>
  <c r="K213" i="21" s="1"/>
  <c r="Q215" i="32"/>
  <c r="Q217" i="32"/>
  <c r="Q212" i="32"/>
  <c r="Q216" i="32"/>
  <c r="Q211" i="32"/>
  <c r="Q214" i="32"/>
  <c r="Q213" i="32"/>
  <c r="I214" i="21"/>
  <c r="J214" i="21" s="1"/>
  <c r="K214" i="21" s="1"/>
  <c r="H211" i="33"/>
  <c r="M211" i="33" s="1"/>
  <c r="O211" i="33" s="1"/>
  <c r="H215" i="33"/>
  <c r="M215" i="33" s="1"/>
  <c r="O215" i="33" s="1"/>
  <c r="H210" i="33"/>
  <c r="M210" i="33" s="1"/>
  <c r="O210" i="33" s="1"/>
  <c r="H212" i="33"/>
  <c r="M212" i="33" s="1"/>
  <c r="O212" i="33" s="1"/>
  <c r="H217" i="33"/>
  <c r="M217" i="33" s="1"/>
  <c r="O217" i="33" s="1"/>
  <c r="J5" i="11"/>
  <c r="G68" i="38"/>
  <c r="H68" i="38"/>
  <c r="K5" i="11"/>
  <c r="I214" i="20"/>
  <c r="J214" i="20" s="1"/>
  <c r="K214" i="20" s="1"/>
  <c r="C6" i="37"/>
  <c r="D6" i="37" s="1"/>
  <c r="C17" i="37"/>
  <c r="D17" i="37" s="1"/>
  <c r="H213" i="33"/>
  <c r="M213" i="33" s="1"/>
  <c r="O213" i="33" s="1"/>
  <c r="H216" i="33"/>
  <c r="M216" i="33" s="1"/>
  <c r="O216" i="33" s="1"/>
  <c r="I217" i="20"/>
  <c r="J217" i="20" s="1"/>
  <c r="K217" i="20" s="1"/>
  <c r="I210" i="20"/>
  <c r="J210" i="20" s="1"/>
  <c r="K210" i="20" s="1"/>
  <c r="I211" i="20"/>
  <c r="J211" i="20" s="1"/>
  <c r="K211" i="20" s="1"/>
  <c r="J90" i="21"/>
  <c r="K90" i="21" s="1"/>
  <c r="I34" i="33"/>
  <c r="J34" i="33" s="1"/>
  <c r="Z34" i="39"/>
  <c r="I94" i="33"/>
  <c r="J94" i="33" s="1"/>
  <c r="Z94" i="39"/>
  <c r="I81" i="33"/>
  <c r="J81" i="33" s="1"/>
  <c r="Z81" i="39"/>
  <c r="I8" i="33"/>
  <c r="J8" i="33" s="1"/>
  <c r="Z8" i="39"/>
  <c r="I80" i="33"/>
  <c r="J80" i="33" s="1"/>
  <c r="Z80" i="39"/>
  <c r="J42" i="20"/>
  <c r="K42" i="20" s="1"/>
  <c r="J69" i="21"/>
  <c r="K69" i="21" s="1"/>
  <c r="I54" i="33"/>
  <c r="J54" i="33" s="1"/>
  <c r="Z54" i="39"/>
  <c r="I93" i="33"/>
  <c r="J93" i="33" s="1"/>
  <c r="Z93" i="39"/>
  <c r="I56" i="33"/>
  <c r="J56" i="33" s="1"/>
  <c r="Z56" i="39"/>
  <c r="I32" i="33"/>
  <c r="J32" i="33" s="1"/>
  <c r="Z32" i="39"/>
  <c r="I9" i="33"/>
  <c r="J9" i="33" s="1"/>
  <c r="Z9" i="39"/>
  <c r="I30" i="33"/>
  <c r="J30" i="33" s="1"/>
  <c r="Z30" i="39"/>
  <c r="I92" i="33"/>
  <c r="J92" i="33" s="1"/>
  <c r="Z92" i="39"/>
  <c r="I82" i="33"/>
  <c r="J82" i="33" s="1"/>
  <c r="Z82" i="39"/>
  <c r="I70" i="33"/>
  <c r="J70" i="33" s="1"/>
  <c r="Z70" i="39"/>
  <c r="J34" i="20"/>
  <c r="K34" i="20" s="1"/>
  <c r="I44" i="33"/>
  <c r="J44" i="33" s="1"/>
  <c r="Z44" i="39"/>
  <c r="I21" i="33"/>
  <c r="J21" i="33" s="1"/>
  <c r="Z21" i="39"/>
  <c r="I20" i="33"/>
  <c r="J20" i="33" s="1"/>
  <c r="Z20" i="39"/>
  <c r="I215" i="20"/>
  <c r="J215" i="20" s="1"/>
  <c r="K215" i="20" s="1"/>
  <c r="I211" i="21"/>
  <c r="J211" i="21" s="1"/>
  <c r="K211" i="21" s="1"/>
  <c r="I69" i="33"/>
  <c r="J69" i="33" s="1"/>
  <c r="Z69" i="39"/>
  <c r="I57" i="33"/>
  <c r="J57" i="33" s="1"/>
  <c r="Z57" i="39"/>
  <c r="I46" i="33"/>
  <c r="J46" i="33" s="1"/>
  <c r="Z46" i="39"/>
  <c r="I10" i="33"/>
  <c r="J10" i="33" s="1"/>
  <c r="Z10" i="39"/>
  <c r="I18" i="33"/>
  <c r="J18" i="33" s="1"/>
  <c r="Z18" i="39"/>
  <c r="I68" i="33"/>
  <c r="J68" i="33" s="1"/>
  <c r="Z68" i="39"/>
  <c r="I33" i="33"/>
  <c r="J33" i="33" s="1"/>
  <c r="Z33" i="39"/>
  <c r="I90" i="33"/>
  <c r="J90" i="33" s="1"/>
  <c r="Z90" i="39"/>
  <c r="I6" i="33"/>
  <c r="J6" i="33" s="1"/>
  <c r="Z6" i="39"/>
  <c r="I78" i="33"/>
  <c r="J78" i="33" s="1"/>
  <c r="Z78" i="39"/>
  <c r="I45" i="33"/>
  <c r="J45" i="33" s="1"/>
  <c r="Z45" i="39"/>
  <c r="E151" i="19"/>
  <c r="E150" i="39"/>
  <c r="E150" i="28"/>
  <c r="E150" i="23"/>
  <c r="E150" i="27"/>
  <c r="E150" i="26"/>
  <c r="E150" i="22"/>
  <c r="E150" i="32"/>
  <c r="N150" i="39" s="1"/>
  <c r="E150" i="21"/>
  <c r="E150" i="20"/>
  <c r="E150" i="33"/>
  <c r="W150" i="39" s="1"/>
  <c r="I22" i="33"/>
  <c r="J22" i="33" s="1"/>
  <c r="Z22" i="39"/>
  <c r="I58" i="33"/>
  <c r="J58" i="33" s="1"/>
  <c r="Z58" i="39"/>
  <c r="I66" i="33"/>
  <c r="J66" i="33" s="1"/>
  <c r="Z66" i="39"/>
  <c r="I42" i="33"/>
  <c r="J42" i="33" s="1"/>
  <c r="Z42" i="39"/>
  <c r="I214" i="33"/>
  <c r="J214" i="33" s="1"/>
  <c r="J56" i="11"/>
  <c r="K56" i="11"/>
  <c r="G6" i="37"/>
  <c r="H6" i="37" s="1"/>
  <c r="G17" i="37"/>
  <c r="H17" i="37" s="1"/>
  <c r="G18" i="37"/>
  <c r="H18" i="37" s="1"/>
  <c r="I211" i="32"/>
  <c r="J211" i="32" s="1"/>
  <c r="I217" i="32"/>
  <c r="J217" i="32" s="1"/>
  <c r="I213" i="32"/>
  <c r="J213" i="32" s="1"/>
  <c r="I214" i="32"/>
  <c r="J214" i="32" s="1"/>
  <c r="I215" i="32"/>
  <c r="J215" i="32" s="1"/>
  <c r="I212" i="32"/>
  <c r="J212" i="32" s="1"/>
  <c r="I216" i="32"/>
  <c r="J216" i="32" s="1"/>
  <c r="C103" i="33"/>
  <c r="U103" i="39" s="1"/>
  <c r="C103" i="32"/>
  <c r="L103" i="39" s="1"/>
  <c r="D106" i="33"/>
  <c r="V106" i="39" s="1"/>
  <c r="D106" i="32"/>
  <c r="M106" i="39" s="1"/>
  <c r="C115" i="33"/>
  <c r="U115" i="39" s="1"/>
  <c r="C115" i="32"/>
  <c r="L115" i="39" s="1"/>
  <c r="C114" i="33"/>
  <c r="U114" i="39" s="1"/>
  <c r="C114" i="32"/>
  <c r="L114" i="39" s="1"/>
  <c r="D118" i="33"/>
  <c r="V118" i="39" s="1"/>
  <c r="D118" i="32"/>
  <c r="M118" i="39" s="1"/>
  <c r="C127" i="33"/>
  <c r="U127" i="39" s="1"/>
  <c r="C127" i="32"/>
  <c r="D125" i="33"/>
  <c r="V125" i="39" s="1"/>
  <c r="D125" i="32"/>
  <c r="M125" i="39" s="1"/>
  <c r="D133" i="33"/>
  <c r="V133" i="39" s="1"/>
  <c r="D133" i="32"/>
  <c r="M133" i="39" s="1"/>
  <c r="C110" i="33"/>
  <c r="U110" i="39" s="1"/>
  <c r="C110" i="32"/>
  <c r="L110" i="39" s="1"/>
  <c r="C102" i="33"/>
  <c r="U102" i="39" s="1"/>
  <c r="C102" i="32"/>
  <c r="L102" i="39" s="1"/>
  <c r="D103" i="32"/>
  <c r="M103" i="39" s="1"/>
  <c r="D103" i="33"/>
  <c r="V103" i="39" s="1"/>
  <c r="C111" i="33"/>
  <c r="U111" i="39" s="1"/>
  <c r="C111" i="32"/>
  <c r="L111" i="39" s="1"/>
  <c r="C120" i="33"/>
  <c r="U120" i="39" s="1"/>
  <c r="C120" i="32"/>
  <c r="L120" i="39" s="1"/>
  <c r="D115" i="32"/>
  <c r="M115" i="39" s="1"/>
  <c r="D115" i="33"/>
  <c r="V115" i="39" s="1"/>
  <c r="C123" i="33"/>
  <c r="U123" i="39" s="1"/>
  <c r="C123" i="32"/>
  <c r="C123" i="21"/>
  <c r="C123" i="27"/>
  <c r="C123" i="28"/>
  <c r="C132" i="33"/>
  <c r="U132" i="39" s="1"/>
  <c r="C132" i="32"/>
  <c r="D130" i="33"/>
  <c r="V130" i="39" s="1"/>
  <c r="D130" i="32"/>
  <c r="M130" i="39" s="1"/>
  <c r="C108" i="33"/>
  <c r="U108" i="39" s="1"/>
  <c r="C108" i="32"/>
  <c r="L108" i="39" s="1"/>
  <c r="C104" i="33"/>
  <c r="U104" i="39" s="1"/>
  <c r="C104" i="32"/>
  <c r="L104" i="39" s="1"/>
  <c r="C100" i="33"/>
  <c r="U100" i="39" s="1"/>
  <c r="C100" i="32"/>
  <c r="L100" i="39" s="1"/>
  <c r="D101" i="32"/>
  <c r="M101" i="39" s="1"/>
  <c r="D101" i="33"/>
  <c r="V101" i="39" s="1"/>
  <c r="D105" i="33"/>
  <c r="V105" i="39" s="1"/>
  <c r="D105" i="32"/>
  <c r="M105" i="39" s="1"/>
  <c r="D109" i="33"/>
  <c r="V109" i="39" s="1"/>
  <c r="D109" i="32"/>
  <c r="M109" i="39" s="1"/>
  <c r="C113" i="33"/>
  <c r="U113" i="39" s="1"/>
  <c r="C113" i="32"/>
  <c r="L113" i="39" s="1"/>
  <c r="C118" i="33"/>
  <c r="U118" i="39" s="1"/>
  <c r="C118" i="32"/>
  <c r="L118" i="39" s="1"/>
  <c r="C122" i="33"/>
  <c r="U122" i="39" s="1"/>
  <c r="C122" i="32"/>
  <c r="L122" i="39" s="1"/>
  <c r="D113" i="32"/>
  <c r="M113" i="39" s="1"/>
  <c r="D113" i="33"/>
  <c r="V113" i="39" s="1"/>
  <c r="D117" i="33"/>
  <c r="V117" i="39" s="1"/>
  <c r="D117" i="32"/>
  <c r="M117" i="39" s="1"/>
  <c r="D121" i="33"/>
  <c r="V121" i="39" s="1"/>
  <c r="D121" i="32"/>
  <c r="M121" i="39" s="1"/>
  <c r="C126" i="33"/>
  <c r="U126" i="39" s="1"/>
  <c r="C126" i="32"/>
  <c r="C130" i="33"/>
  <c r="U130" i="39" s="1"/>
  <c r="C130" i="32"/>
  <c r="D124" i="33"/>
  <c r="V124" i="39" s="1"/>
  <c r="D124" i="32"/>
  <c r="M124" i="39" s="1"/>
  <c r="D128" i="33"/>
  <c r="V128" i="39" s="1"/>
  <c r="D128" i="32"/>
  <c r="M128" i="39" s="1"/>
  <c r="D132" i="33"/>
  <c r="V132" i="39" s="1"/>
  <c r="D132" i="32"/>
  <c r="M132" i="39" s="1"/>
  <c r="C107" i="33"/>
  <c r="U107" i="39" s="1"/>
  <c r="C107" i="32"/>
  <c r="L107" i="39" s="1"/>
  <c r="C99" i="33"/>
  <c r="U99" i="39" s="1"/>
  <c r="C99" i="32"/>
  <c r="L99" i="39" s="1"/>
  <c r="D102" i="33"/>
  <c r="V102" i="39" s="1"/>
  <c r="D102" i="32"/>
  <c r="M102" i="39" s="1"/>
  <c r="D110" i="33"/>
  <c r="V110" i="39" s="1"/>
  <c r="D110" i="32"/>
  <c r="M110" i="39" s="1"/>
  <c r="C119" i="33"/>
  <c r="U119" i="39" s="1"/>
  <c r="C119" i="32"/>
  <c r="L119" i="39" s="1"/>
  <c r="D114" i="33"/>
  <c r="V114" i="39" s="1"/>
  <c r="D114" i="32"/>
  <c r="M114" i="39" s="1"/>
  <c r="D122" i="33"/>
  <c r="V122" i="39" s="1"/>
  <c r="D122" i="32"/>
  <c r="M122" i="39" s="1"/>
  <c r="C131" i="33"/>
  <c r="U131" i="39" s="1"/>
  <c r="C131" i="32"/>
  <c r="D129" i="33"/>
  <c r="V129" i="39" s="1"/>
  <c r="D129" i="32"/>
  <c r="M129" i="39" s="1"/>
  <c r="C106" i="33"/>
  <c r="U106" i="39" s="1"/>
  <c r="C106" i="32"/>
  <c r="L106" i="39" s="1"/>
  <c r="D99" i="32"/>
  <c r="M99" i="39" s="1"/>
  <c r="D99" i="33"/>
  <c r="V99" i="39" s="1"/>
  <c r="D107" i="32"/>
  <c r="M107" i="39" s="1"/>
  <c r="D107" i="33"/>
  <c r="V107" i="39" s="1"/>
  <c r="C116" i="33"/>
  <c r="U116" i="39" s="1"/>
  <c r="C116" i="32"/>
  <c r="L116" i="39" s="1"/>
  <c r="D111" i="32"/>
  <c r="M111" i="39" s="1"/>
  <c r="D111" i="33"/>
  <c r="D119" i="32"/>
  <c r="M119" i="39" s="1"/>
  <c r="D119" i="33"/>
  <c r="V119" i="39" s="1"/>
  <c r="C128" i="33"/>
  <c r="U128" i="39" s="1"/>
  <c r="C128" i="32"/>
  <c r="D126" i="33"/>
  <c r="V126" i="39" s="1"/>
  <c r="D126" i="32"/>
  <c r="M126" i="39" s="1"/>
  <c r="C125" i="32"/>
  <c r="C125" i="33"/>
  <c r="U125" i="39" s="1"/>
  <c r="C109" i="33"/>
  <c r="U109" i="39" s="1"/>
  <c r="C109" i="32"/>
  <c r="L109" i="39" s="1"/>
  <c r="C105" i="32"/>
  <c r="L105" i="39" s="1"/>
  <c r="C105" i="33"/>
  <c r="U105" i="39" s="1"/>
  <c r="C101" i="33"/>
  <c r="U101" i="39" s="1"/>
  <c r="C101" i="32"/>
  <c r="L101" i="39" s="1"/>
  <c r="D100" i="33"/>
  <c r="V100" i="39" s="1"/>
  <c r="D100" i="32"/>
  <c r="M100" i="39" s="1"/>
  <c r="D104" i="33"/>
  <c r="V104" i="39" s="1"/>
  <c r="D104" i="32"/>
  <c r="M104" i="39" s="1"/>
  <c r="D108" i="33"/>
  <c r="V108" i="39" s="1"/>
  <c r="D108" i="32"/>
  <c r="M108" i="39" s="1"/>
  <c r="C112" i="33"/>
  <c r="U112" i="39" s="1"/>
  <c r="C112" i="32"/>
  <c r="L112" i="39" s="1"/>
  <c r="C117" i="32"/>
  <c r="L117" i="39" s="1"/>
  <c r="C117" i="33"/>
  <c r="U117" i="39" s="1"/>
  <c r="C121" i="33"/>
  <c r="U121" i="39" s="1"/>
  <c r="C121" i="32"/>
  <c r="L121" i="39" s="1"/>
  <c r="D112" i="33"/>
  <c r="V112" i="39" s="1"/>
  <c r="D112" i="32"/>
  <c r="M112" i="39" s="1"/>
  <c r="D116" i="33"/>
  <c r="V116" i="39" s="1"/>
  <c r="D116" i="32"/>
  <c r="M116" i="39" s="1"/>
  <c r="D120" i="33"/>
  <c r="V120" i="39" s="1"/>
  <c r="D120" i="32"/>
  <c r="M120" i="39" s="1"/>
  <c r="C124" i="33"/>
  <c r="U124" i="39" s="1"/>
  <c r="C124" i="32"/>
  <c r="C129" i="32"/>
  <c r="C129" i="33"/>
  <c r="U129" i="39" s="1"/>
  <c r="D123" i="32"/>
  <c r="M123" i="39" s="1"/>
  <c r="D123" i="33"/>
  <c r="V123" i="39" s="1"/>
  <c r="D123" i="27"/>
  <c r="D123" i="28"/>
  <c r="D123" i="21"/>
  <c r="D127" i="32"/>
  <c r="M127" i="39" s="1"/>
  <c r="D127" i="33"/>
  <c r="V127" i="39" s="1"/>
  <c r="D131" i="32"/>
  <c r="M131" i="39" s="1"/>
  <c r="D131" i="33"/>
  <c r="V131" i="39" s="1"/>
  <c r="C133" i="33"/>
  <c r="U133" i="39" s="1"/>
  <c r="C133" i="32"/>
  <c r="C104" i="20"/>
  <c r="C104" i="21"/>
  <c r="C104" i="22"/>
  <c r="C104" i="26"/>
  <c r="C104" i="23"/>
  <c r="C104" i="27"/>
  <c r="C104" i="28"/>
  <c r="D109" i="21"/>
  <c r="D109" i="26"/>
  <c r="D109" i="23"/>
  <c r="D109" i="27"/>
  <c r="D109" i="22"/>
  <c r="D109" i="20"/>
  <c r="D109" i="28"/>
  <c r="C122" i="20"/>
  <c r="C122" i="21"/>
  <c r="C122" i="22"/>
  <c r="I122" i="22" s="1"/>
  <c r="C122" i="28"/>
  <c r="C122" i="23"/>
  <c r="C122" i="27"/>
  <c r="C122" i="26"/>
  <c r="D121" i="22"/>
  <c r="D121" i="26"/>
  <c r="D121" i="23"/>
  <c r="D121" i="27"/>
  <c r="D121" i="21"/>
  <c r="D121" i="20"/>
  <c r="D121" i="28"/>
  <c r="D124" i="20"/>
  <c r="D124" i="22"/>
  <c r="D124" i="21"/>
  <c r="D124" i="26"/>
  <c r="D124" i="28"/>
  <c r="D124" i="23"/>
  <c r="D124" i="27"/>
  <c r="H107" i="19"/>
  <c r="H107" i="39" s="1"/>
  <c r="C107" i="21"/>
  <c r="C107" i="26"/>
  <c r="C107" i="23"/>
  <c r="C107" i="27"/>
  <c r="C107" i="28"/>
  <c r="I107" i="28" s="1"/>
  <c r="C107" i="20"/>
  <c r="C107" i="22"/>
  <c r="H103" i="19"/>
  <c r="H103" i="39" s="1"/>
  <c r="C103" i="22"/>
  <c r="C103" i="26"/>
  <c r="C103" i="23"/>
  <c r="C103" i="27"/>
  <c r="C103" i="28"/>
  <c r="C103" i="20"/>
  <c r="C103" i="21"/>
  <c r="H99" i="19"/>
  <c r="H99" i="39" s="1"/>
  <c r="C99" i="21"/>
  <c r="C99" i="26"/>
  <c r="C99" i="23"/>
  <c r="C99" i="27"/>
  <c r="C99" i="28"/>
  <c r="I99" i="28" s="1"/>
  <c r="C99" i="20"/>
  <c r="C99" i="22"/>
  <c r="D102" i="20"/>
  <c r="D102" i="22"/>
  <c r="D102" i="21"/>
  <c r="D102" i="26"/>
  <c r="D102" i="23"/>
  <c r="D102" i="27"/>
  <c r="D102" i="28"/>
  <c r="D106" i="20"/>
  <c r="D106" i="21"/>
  <c r="D106" i="22"/>
  <c r="D106" i="26"/>
  <c r="D106" i="23"/>
  <c r="D106" i="27"/>
  <c r="D106" i="28"/>
  <c r="D110" i="20"/>
  <c r="D110" i="22"/>
  <c r="D110" i="26"/>
  <c r="D110" i="23"/>
  <c r="D110" i="27"/>
  <c r="D110" i="28"/>
  <c r="D110" i="21"/>
  <c r="H115" i="19"/>
  <c r="H115" i="39" s="1"/>
  <c r="C115" i="21"/>
  <c r="C115" i="26"/>
  <c r="C115" i="23"/>
  <c r="C115" i="27"/>
  <c r="C115" i="28"/>
  <c r="C115" i="20"/>
  <c r="C115" i="22"/>
  <c r="H119" i="19"/>
  <c r="H119" i="39" s="1"/>
  <c r="C119" i="22"/>
  <c r="C119" i="26"/>
  <c r="C119" i="23"/>
  <c r="C119" i="27"/>
  <c r="I119" i="27" s="1"/>
  <c r="C119" i="28"/>
  <c r="C119" i="20"/>
  <c r="C119" i="21"/>
  <c r="H114" i="19"/>
  <c r="H114" i="39" s="1"/>
  <c r="C114" i="20"/>
  <c r="C114" i="21"/>
  <c r="C114" i="22"/>
  <c r="C114" i="28"/>
  <c r="I114" i="28" s="1"/>
  <c r="C114" i="23"/>
  <c r="C114" i="27"/>
  <c r="C114" i="26"/>
  <c r="D114" i="20"/>
  <c r="D114" i="21"/>
  <c r="D114" i="26"/>
  <c r="D114" i="22"/>
  <c r="D114" i="23"/>
  <c r="D114" i="27"/>
  <c r="D114" i="28"/>
  <c r="D118" i="20"/>
  <c r="D118" i="22"/>
  <c r="D118" i="26"/>
  <c r="D118" i="21"/>
  <c r="D118" i="23"/>
  <c r="D118" i="27"/>
  <c r="D118" i="28"/>
  <c r="D122" i="20"/>
  <c r="D122" i="21"/>
  <c r="D122" i="26"/>
  <c r="D122" i="23"/>
  <c r="D122" i="27"/>
  <c r="D122" i="22"/>
  <c r="D122" i="28"/>
  <c r="H127" i="19"/>
  <c r="C127" i="22"/>
  <c r="C127" i="26"/>
  <c r="C127" i="23"/>
  <c r="I127" i="23" s="1"/>
  <c r="C127" i="27"/>
  <c r="C127" i="28"/>
  <c r="C127" i="20"/>
  <c r="C127" i="21"/>
  <c r="I127" i="21" s="1"/>
  <c r="H131" i="19"/>
  <c r="C131" i="21"/>
  <c r="C131" i="26"/>
  <c r="C131" i="23"/>
  <c r="I131" i="23" s="1"/>
  <c r="C131" i="27"/>
  <c r="C131" i="28"/>
  <c r="C131" i="20"/>
  <c r="C131" i="22"/>
  <c r="D125" i="21"/>
  <c r="D125" i="26"/>
  <c r="D125" i="23"/>
  <c r="D125" i="27"/>
  <c r="D125" i="22"/>
  <c r="D125" i="20"/>
  <c r="D125" i="28"/>
  <c r="D129" i="22"/>
  <c r="D129" i="26"/>
  <c r="D129" i="23"/>
  <c r="D129" i="27"/>
  <c r="D129" i="21"/>
  <c r="D129" i="28"/>
  <c r="D129" i="20"/>
  <c r="D133" i="21"/>
  <c r="D133" i="26"/>
  <c r="D133" i="23"/>
  <c r="D133" i="27"/>
  <c r="D133" i="22"/>
  <c r="D133" i="20"/>
  <c r="D133" i="28"/>
  <c r="D101" i="21"/>
  <c r="D101" i="26"/>
  <c r="D101" i="23"/>
  <c r="D101" i="27"/>
  <c r="D101" i="22"/>
  <c r="D101" i="20"/>
  <c r="D101" i="28"/>
  <c r="C118" i="20"/>
  <c r="C118" i="21"/>
  <c r="I118" i="21" s="1"/>
  <c r="C118" i="22"/>
  <c r="C118" i="27"/>
  <c r="I118" i="27" s="1"/>
  <c r="C118" i="28"/>
  <c r="I118" i="28" s="1"/>
  <c r="C118" i="26"/>
  <c r="C118" i="23"/>
  <c r="I118" i="23" s="1"/>
  <c r="D117" i="21"/>
  <c r="D117" i="26"/>
  <c r="D117" i="23"/>
  <c r="D117" i="27"/>
  <c r="D117" i="22"/>
  <c r="D117" i="20"/>
  <c r="D117" i="28"/>
  <c r="C130" i="20"/>
  <c r="C130" i="21"/>
  <c r="C130" i="22"/>
  <c r="C130" i="28"/>
  <c r="C130" i="27"/>
  <c r="C130" i="26"/>
  <c r="C130" i="23"/>
  <c r="D132" i="20"/>
  <c r="D132" i="22"/>
  <c r="D132" i="21"/>
  <c r="D132" i="26"/>
  <c r="D132" i="28"/>
  <c r="D132" i="23"/>
  <c r="D132" i="27"/>
  <c r="C102" i="20"/>
  <c r="C102" i="21"/>
  <c r="C102" i="22"/>
  <c r="C102" i="26"/>
  <c r="I102" i="26" s="1"/>
  <c r="C102" i="27"/>
  <c r="C102" i="28"/>
  <c r="C102" i="23"/>
  <c r="I102" i="23" s="1"/>
  <c r="D99" i="26"/>
  <c r="D99" i="23"/>
  <c r="D99" i="27"/>
  <c r="D99" i="20"/>
  <c r="D99" i="22"/>
  <c r="D99" i="21"/>
  <c r="D99" i="28"/>
  <c r="D103" i="26"/>
  <c r="D103" i="23"/>
  <c r="D103" i="27"/>
  <c r="D103" i="20"/>
  <c r="D103" i="21"/>
  <c r="D103" i="28"/>
  <c r="D103" i="22"/>
  <c r="D107" i="26"/>
  <c r="D107" i="23"/>
  <c r="D107" i="27"/>
  <c r="D107" i="20"/>
  <c r="D107" i="22"/>
  <c r="D107" i="28"/>
  <c r="D107" i="21"/>
  <c r="H111" i="19"/>
  <c r="H111" i="39" s="1"/>
  <c r="C111" i="22"/>
  <c r="C111" i="26"/>
  <c r="C111" i="23"/>
  <c r="C111" i="27"/>
  <c r="C111" i="28"/>
  <c r="C111" i="20"/>
  <c r="C111" i="21"/>
  <c r="I111" i="21" s="1"/>
  <c r="C116" i="20"/>
  <c r="C116" i="21"/>
  <c r="C116" i="22"/>
  <c r="C116" i="23"/>
  <c r="I116" i="23" s="1"/>
  <c r="C116" i="27"/>
  <c r="C116" i="26"/>
  <c r="C116" i="28"/>
  <c r="C120" i="20"/>
  <c r="C120" i="21"/>
  <c r="C120" i="22"/>
  <c r="C120" i="26"/>
  <c r="C120" i="23"/>
  <c r="C120" i="27"/>
  <c r="C120" i="28"/>
  <c r="D111" i="26"/>
  <c r="D111" i="23"/>
  <c r="D111" i="27"/>
  <c r="D111" i="20"/>
  <c r="D111" i="21"/>
  <c r="D111" i="28"/>
  <c r="D111" i="22"/>
  <c r="D115" i="26"/>
  <c r="D115" i="23"/>
  <c r="D115" i="27"/>
  <c r="D115" i="20"/>
  <c r="D115" i="22"/>
  <c r="D115" i="21"/>
  <c r="D115" i="28"/>
  <c r="D119" i="26"/>
  <c r="D119" i="23"/>
  <c r="D119" i="27"/>
  <c r="D119" i="20"/>
  <c r="D119" i="21"/>
  <c r="D119" i="28"/>
  <c r="D119" i="22"/>
  <c r="C123" i="26"/>
  <c r="I123" i="26" s="1"/>
  <c r="C123" i="23"/>
  <c r="C123" i="20"/>
  <c r="C123" i="22"/>
  <c r="H128" i="19"/>
  <c r="C128" i="20"/>
  <c r="C128" i="21"/>
  <c r="C128" i="22"/>
  <c r="C128" i="26"/>
  <c r="I128" i="26" s="1"/>
  <c r="C128" i="23"/>
  <c r="C128" i="27"/>
  <c r="C128" i="28"/>
  <c r="H132" i="19"/>
  <c r="C132" i="20"/>
  <c r="I132" i="20" s="1"/>
  <c r="C132" i="21"/>
  <c r="C132" i="22"/>
  <c r="I132" i="22" s="1"/>
  <c r="C132" i="23"/>
  <c r="I132" i="23" s="1"/>
  <c r="C132" i="27"/>
  <c r="C132" i="28"/>
  <c r="I132" i="28" s="1"/>
  <c r="C132" i="26"/>
  <c r="D126" i="20"/>
  <c r="D126" i="22"/>
  <c r="D126" i="26"/>
  <c r="D126" i="21"/>
  <c r="D126" i="23"/>
  <c r="D126" i="27"/>
  <c r="D126" i="28"/>
  <c r="D130" i="20"/>
  <c r="D130" i="21"/>
  <c r="D130" i="26"/>
  <c r="D130" i="23"/>
  <c r="D130" i="27"/>
  <c r="D130" i="22"/>
  <c r="D130" i="28"/>
  <c r="C125" i="20"/>
  <c r="I125" i="20" s="1"/>
  <c r="C125" i="21"/>
  <c r="C125" i="26"/>
  <c r="I125" i="26" s="1"/>
  <c r="C125" i="23"/>
  <c r="C125" i="27"/>
  <c r="C125" i="28"/>
  <c r="I125" i="28" s="1"/>
  <c r="C125" i="22"/>
  <c r="C108" i="20"/>
  <c r="C108" i="21"/>
  <c r="C108" i="22"/>
  <c r="C108" i="26"/>
  <c r="I108" i="26" s="1"/>
  <c r="C108" i="23"/>
  <c r="C108" i="27"/>
  <c r="C108" i="28"/>
  <c r="C100" i="20"/>
  <c r="C100" i="21"/>
  <c r="C100" i="22"/>
  <c r="C100" i="26"/>
  <c r="C100" i="23"/>
  <c r="C100" i="27"/>
  <c r="C100" i="28"/>
  <c r="D105" i="22"/>
  <c r="D105" i="26"/>
  <c r="D105" i="23"/>
  <c r="D105" i="27"/>
  <c r="D105" i="21"/>
  <c r="D105" i="20"/>
  <c r="D105" i="28"/>
  <c r="H113" i="19"/>
  <c r="H113" i="39" s="1"/>
  <c r="C113" i="20"/>
  <c r="C113" i="22"/>
  <c r="I113" i="22" s="1"/>
  <c r="C113" i="26"/>
  <c r="C113" i="23"/>
  <c r="C113" i="27"/>
  <c r="C113" i="28"/>
  <c r="I113" i="28" s="1"/>
  <c r="C113" i="21"/>
  <c r="D113" i="22"/>
  <c r="D113" i="26"/>
  <c r="D113" i="23"/>
  <c r="D113" i="27"/>
  <c r="D113" i="21"/>
  <c r="D113" i="28"/>
  <c r="D113" i="20"/>
  <c r="C126" i="20"/>
  <c r="C126" i="21"/>
  <c r="C126" i="22"/>
  <c r="C126" i="23"/>
  <c r="I126" i="23" s="1"/>
  <c r="C126" i="26"/>
  <c r="I126" i="26" s="1"/>
  <c r="C126" i="27"/>
  <c r="C126" i="28"/>
  <c r="I126" i="28" s="1"/>
  <c r="D128" i="20"/>
  <c r="D128" i="21"/>
  <c r="D128" i="22"/>
  <c r="D128" i="26"/>
  <c r="D128" i="28"/>
  <c r="D128" i="23"/>
  <c r="D128" i="27"/>
  <c r="C110" i="20"/>
  <c r="C110" i="21"/>
  <c r="I110" i="21" s="1"/>
  <c r="C110" i="22"/>
  <c r="I110" i="22" s="1"/>
  <c r="C110" i="23"/>
  <c r="C110" i="28"/>
  <c r="I110" i="28" s="1"/>
  <c r="C110" i="26"/>
  <c r="I110" i="26" s="1"/>
  <c r="C110" i="27"/>
  <c r="I110" i="27" s="1"/>
  <c r="C106" i="20"/>
  <c r="I106" i="20" s="1"/>
  <c r="C106" i="21"/>
  <c r="I106" i="21" s="1"/>
  <c r="C106" i="22"/>
  <c r="I106" i="22" s="1"/>
  <c r="C106" i="28"/>
  <c r="C106" i="26"/>
  <c r="C106" i="23"/>
  <c r="I106" i="23" s="1"/>
  <c r="C106" i="27"/>
  <c r="I106" i="27" s="1"/>
  <c r="H109" i="19"/>
  <c r="H109" i="39" s="1"/>
  <c r="C109" i="20"/>
  <c r="C109" i="21"/>
  <c r="I109" i="21" s="1"/>
  <c r="C109" i="26"/>
  <c r="I109" i="26" s="1"/>
  <c r="C109" i="23"/>
  <c r="I109" i="23" s="1"/>
  <c r="C109" i="27"/>
  <c r="I109" i="27" s="1"/>
  <c r="C109" i="28"/>
  <c r="C109" i="22"/>
  <c r="I109" i="22" s="1"/>
  <c r="H105" i="19"/>
  <c r="H105" i="39" s="1"/>
  <c r="C105" i="20"/>
  <c r="C105" i="22"/>
  <c r="I105" i="22" s="1"/>
  <c r="C105" i="26"/>
  <c r="I105" i="26" s="1"/>
  <c r="C105" i="23"/>
  <c r="I105" i="23" s="1"/>
  <c r="C105" i="27"/>
  <c r="I105" i="27" s="1"/>
  <c r="C105" i="28"/>
  <c r="C105" i="21"/>
  <c r="I105" i="21" s="1"/>
  <c r="H101" i="19"/>
  <c r="H101" i="39" s="1"/>
  <c r="C101" i="20"/>
  <c r="C101" i="21"/>
  <c r="I101" i="21" s="1"/>
  <c r="C101" i="26"/>
  <c r="I101" i="26" s="1"/>
  <c r="C101" i="23"/>
  <c r="C101" i="27"/>
  <c r="C101" i="28"/>
  <c r="C101" i="22"/>
  <c r="I101" i="22" s="1"/>
  <c r="D100" i="20"/>
  <c r="D100" i="22"/>
  <c r="D100" i="21"/>
  <c r="D100" i="28"/>
  <c r="D100" i="23"/>
  <c r="D100" i="26"/>
  <c r="D100" i="27"/>
  <c r="D104" i="20"/>
  <c r="D104" i="21"/>
  <c r="D104" i="22"/>
  <c r="D104" i="28"/>
  <c r="D104" i="26"/>
  <c r="D104" i="23"/>
  <c r="D104" i="27"/>
  <c r="D108" i="20"/>
  <c r="D108" i="22"/>
  <c r="D108" i="21"/>
  <c r="D108" i="28"/>
  <c r="D108" i="26"/>
  <c r="D108" i="27"/>
  <c r="D108" i="23"/>
  <c r="H112" i="19"/>
  <c r="H112" i="39" s="1"/>
  <c r="C112" i="20"/>
  <c r="C112" i="21"/>
  <c r="I112" i="21" s="1"/>
  <c r="C112" i="22"/>
  <c r="C112" i="26"/>
  <c r="C112" i="23"/>
  <c r="C112" i="27"/>
  <c r="C112" i="28"/>
  <c r="H117" i="19"/>
  <c r="H117" i="39" s="1"/>
  <c r="C117" i="20"/>
  <c r="C117" i="21"/>
  <c r="I117" i="21" s="1"/>
  <c r="C117" i="26"/>
  <c r="I117" i="26" s="1"/>
  <c r="C117" i="23"/>
  <c r="I117" i="23" s="1"/>
  <c r="C117" i="27"/>
  <c r="I117" i="27" s="1"/>
  <c r="C117" i="28"/>
  <c r="I117" i="28" s="1"/>
  <c r="C117" i="22"/>
  <c r="H121" i="19"/>
  <c r="H121" i="39" s="1"/>
  <c r="C121" i="20"/>
  <c r="I121" i="20" s="1"/>
  <c r="C121" i="22"/>
  <c r="C121" i="26"/>
  <c r="I121" i="26" s="1"/>
  <c r="C121" i="23"/>
  <c r="I121" i="23" s="1"/>
  <c r="C121" i="27"/>
  <c r="C121" i="28"/>
  <c r="I121" i="28" s="1"/>
  <c r="C121" i="21"/>
  <c r="I121" i="21" s="1"/>
  <c r="D112" i="20"/>
  <c r="D112" i="21"/>
  <c r="D112" i="22"/>
  <c r="D112" i="26"/>
  <c r="D112" i="23"/>
  <c r="D112" i="28"/>
  <c r="D112" i="27"/>
  <c r="D116" i="20"/>
  <c r="D116" i="22"/>
  <c r="D116" i="21"/>
  <c r="D116" i="26"/>
  <c r="D116" i="28"/>
  <c r="D116" i="23"/>
  <c r="D116" i="27"/>
  <c r="D120" i="20"/>
  <c r="D120" i="21"/>
  <c r="D120" i="22"/>
  <c r="D120" i="26"/>
  <c r="D120" i="23"/>
  <c r="D120" i="27"/>
  <c r="D120" i="28"/>
  <c r="H124" i="19"/>
  <c r="C124" i="20"/>
  <c r="I124" i="20" s="1"/>
  <c r="C124" i="21"/>
  <c r="I124" i="21" s="1"/>
  <c r="C124" i="22"/>
  <c r="C124" i="23"/>
  <c r="C124" i="27"/>
  <c r="I124" i="27" s="1"/>
  <c r="C124" i="28"/>
  <c r="C124" i="26"/>
  <c r="I124" i="26" s="1"/>
  <c r="C129" i="20"/>
  <c r="I129" i="20" s="1"/>
  <c r="C129" i="22"/>
  <c r="I129" i="22" s="1"/>
  <c r="C129" i="26"/>
  <c r="I129" i="26" s="1"/>
  <c r="C129" i="23"/>
  <c r="I129" i="23" s="1"/>
  <c r="C129" i="27"/>
  <c r="I129" i="27" s="1"/>
  <c r="C129" i="28"/>
  <c r="C129" i="21"/>
  <c r="D123" i="26"/>
  <c r="D123" i="23"/>
  <c r="D123" i="20"/>
  <c r="D123" i="22"/>
  <c r="D127" i="26"/>
  <c r="D127" i="23"/>
  <c r="D127" i="27"/>
  <c r="D127" i="20"/>
  <c r="D127" i="21"/>
  <c r="D127" i="22"/>
  <c r="D127" i="28"/>
  <c r="D131" i="26"/>
  <c r="D131" i="23"/>
  <c r="D131" i="27"/>
  <c r="D131" i="20"/>
  <c r="D131" i="22"/>
  <c r="D131" i="28"/>
  <c r="D131" i="21"/>
  <c r="C133" i="20"/>
  <c r="I133" i="20" s="1"/>
  <c r="C133" i="21"/>
  <c r="I133" i="21" s="1"/>
  <c r="C133" i="26"/>
  <c r="C133" i="23"/>
  <c r="C133" i="27"/>
  <c r="I133" i="27" s="1"/>
  <c r="C133" i="28"/>
  <c r="I133" i="28" s="1"/>
  <c r="C133" i="22"/>
  <c r="I133" i="22" s="1"/>
  <c r="H116" i="19"/>
  <c r="H116" i="39" s="1"/>
  <c r="H120" i="19"/>
  <c r="H120" i="39" s="1"/>
  <c r="H123" i="39"/>
  <c r="H108" i="19"/>
  <c r="H108" i="39" s="1"/>
  <c r="H104" i="19"/>
  <c r="H104" i="39" s="1"/>
  <c r="H106" i="19"/>
  <c r="H106" i="39" s="1"/>
  <c r="H125" i="19"/>
  <c r="H129" i="19"/>
  <c r="H133" i="19"/>
  <c r="H110" i="19"/>
  <c r="H110" i="39" s="1"/>
  <c r="H102" i="19"/>
  <c r="H102" i="39" s="1"/>
  <c r="H100" i="19"/>
  <c r="H100" i="39" s="1"/>
  <c r="H118" i="19"/>
  <c r="H118" i="39" s="1"/>
  <c r="H122" i="19"/>
  <c r="H122" i="39" s="1"/>
  <c r="H126" i="19"/>
  <c r="H130" i="19"/>
  <c r="I101" i="20" l="1"/>
  <c r="I126" i="21"/>
  <c r="I129" i="21"/>
  <c r="I124" i="28"/>
  <c r="I117" i="22"/>
  <c r="I112" i="28"/>
  <c r="I112" i="22"/>
  <c r="I101" i="23"/>
  <c r="J101" i="23" s="1"/>
  <c r="K101" i="23" s="1"/>
  <c r="I106" i="28"/>
  <c r="I126" i="20"/>
  <c r="I113" i="21"/>
  <c r="I113" i="26"/>
  <c r="J113" i="26" s="1"/>
  <c r="K113" i="26" s="1"/>
  <c r="I100" i="27"/>
  <c r="I100" i="21"/>
  <c r="I108" i="20"/>
  <c r="I125" i="23"/>
  <c r="J125" i="23" s="1"/>
  <c r="K125" i="23" s="1"/>
  <c r="I132" i="27"/>
  <c r="I128" i="20"/>
  <c r="I123" i="23"/>
  <c r="I116" i="27"/>
  <c r="J116" i="27" s="1"/>
  <c r="K116" i="27" s="1"/>
  <c r="I102" i="27"/>
  <c r="I102" i="20"/>
  <c r="I130" i="23"/>
  <c r="I130" i="22"/>
  <c r="J130" i="22" s="1"/>
  <c r="K130" i="22" s="1"/>
  <c r="I118" i="20"/>
  <c r="I131" i="27"/>
  <c r="I127" i="27"/>
  <c r="I114" i="23"/>
  <c r="I114" i="20"/>
  <c r="I119" i="28"/>
  <c r="I119" i="22"/>
  <c r="I115" i="28"/>
  <c r="I115" i="21"/>
  <c r="I99" i="20"/>
  <c r="I99" i="26"/>
  <c r="I103" i="20"/>
  <c r="J103" i="20" s="1"/>
  <c r="K103" i="20" s="1"/>
  <c r="I103" i="26"/>
  <c r="I107" i="26"/>
  <c r="I122" i="28"/>
  <c r="I104" i="27"/>
  <c r="J104" i="27" s="1"/>
  <c r="K104" i="27" s="1"/>
  <c r="I123" i="27"/>
  <c r="I128" i="23"/>
  <c r="I111" i="27"/>
  <c r="I100" i="23"/>
  <c r="J100" i="23" s="1"/>
  <c r="K100" i="23" s="1"/>
  <c r="I125" i="22"/>
  <c r="J125" i="22" s="1"/>
  <c r="K125" i="22" s="1"/>
  <c r="I120" i="23"/>
  <c r="I120" i="20"/>
  <c r="J120" i="20" s="1"/>
  <c r="K120" i="20" s="1"/>
  <c r="I130" i="21"/>
  <c r="J130" i="21" s="1"/>
  <c r="K130" i="21" s="1"/>
  <c r="I131" i="22"/>
  <c r="J131" i="22" s="1"/>
  <c r="K131" i="22" s="1"/>
  <c r="I103" i="28"/>
  <c r="I103" i="22"/>
  <c r="I107" i="21"/>
  <c r="J107" i="21" s="1"/>
  <c r="K107" i="21" s="1"/>
  <c r="I122" i="26"/>
  <c r="I104" i="20"/>
  <c r="E31" i="34"/>
  <c r="S215" i="32"/>
  <c r="I133" i="23"/>
  <c r="J133" i="23" s="1"/>
  <c r="K133" i="23" s="1"/>
  <c r="I124" i="23"/>
  <c r="I121" i="27"/>
  <c r="J121" i="27" s="1"/>
  <c r="K121" i="27" s="1"/>
  <c r="I117" i="20"/>
  <c r="J117" i="20" s="1"/>
  <c r="K117" i="20" s="1"/>
  <c r="I112" i="23"/>
  <c r="J112" i="23" s="1"/>
  <c r="K112" i="23" s="1"/>
  <c r="I112" i="20"/>
  <c r="I101" i="28"/>
  <c r="I105" i="28"/>
  <c r="J105" i="28" s="1"/>
  <c r="K105" i="28" s="1"/>
  <c r="I109" i="28"/>
  <c r="J109" i="28" s="1"/>
  <c r="K109" i="28" s="1"/>
  <c r="I110" i="20"/>
  <c r="I126" i="22"/>
  <c r="J126" i="22" s="1"/>
  <c r="K126" i="22" s="1"/>
  <c r="I113" i="27"/>
  <c r="J113" i="27" s="1"/>
  <c r="K113" i="27" s="1"/>
  <c r="I113" i="20"/>
  <c r="J113" i="20" s="1"/>
  <c r="K113" i="20" s="1"/>
  <c r="I100" i="26"/>
  <c r="I108" i="28"/>
  <c r="I108" i="22"/>
  <c r="J108" i="22" s="1"/>
  <c r="K108" i="22" s="1"/>
  <c r="I125" i="21"/>
  <c r="J125" i="21" s="1"/>
  <c r="K125" i="21" s="1"/>
  <c r="I132" i="26"/>
  <c r="I128" i="28"/>
  <c r="I128" i="22"/>
  <c r="J128" i="22" s="1"/>
  <c r="K128" i="22" s="1"/>
  <c r="I123" i="22"/>
  <c r="J123" i="22" s="1"/>
  <c r="K123" i="22" s="1"/>
  <c r="I120" i="26"/>
  <c r="I116" i="28"/>
  <c r="I116" i="22"/>
  <c r="J116" i="22" s="1"/>
  <c r="K116" i="22" s="1"/>
  <c r="I111" i="20"/>
  <c r="J111" i="20" s="1"/>
  <c r="K111" i="20" s="1"/>
  <c r="I111" i="26"/>
  <c r="I102" i="22"/>
  <c r="J102" i="22" s="1"/>
  <c r="K102" i="22" s="1"/>
  <c r="I130" i="27"/>
  <c r="J130" i="27" s="1"/>
  <c r="K130" i="27" s="1"/>
  <c r="I130" i="20"/>
  <c r="J130" i="20" s="1"/>
  <c r="K130" i="20" s="1"/>
  <c r="I118" i="22"/>
  <c r="I131" i="20"/>
  <c r="J131" i="20" s="1"/>
  <c r="K131" i="20" s="1"/>
  <c r="I131" i="26"/>
  <c r="J131" i="26" s="1"/>
  <c r="K131" i="26" s="1"/>
  <c r="I127" i="20"/>
  <c r="I127" i="26"/>
  <c r="I114" i="26"/>
  <c r="I114" i="22"/>
  <c r="J114" i="22" s="1"/>
  <c r="K114" i="22" s="1"/>
  <c r="I119" i="21"/>
  <c r="J119" i="21" s="1"/>
  <c r="K119" i="21" s="1"/>
  <c r="I119" i="23"/>
  <c r="I115" i="22"/>
  <c r="I115" i="23"/>
  <c r="J115" i="23" s="1"/>
  <c r="K115" i="23" s="1"/>
  <c r="I99" i="27"/>
  <c r="I103" i="27"/>
  <c r="I107" i="27"/>
  <c r="J107" i="27" s="1"/>
  <c r="K107" i="27" s="1"/>
  <c r="I122" i="27"/>
  <c r="J122" i="27" s="1"/>
  <c r="K122" i="27" s="1"/>
  <c r="I122" i="21"/>
  <c r="J122" i="21" s="1"/>
  <c r="K122" i="21" s="1"/>
  <c r="I104" i="26"/>
  <c r="I108" i="23"/>
  <c r="J108" i="23" s="1"/>
  <c r="K108" i="23" s="1"/>
  <c r="I120" i="27"/>
  <c r="J120" i="27" s="1"/>
  <c r="K120" i="27" s="1"/>
  <c r="I120" i="21"/>
  <c r="J120" i="21" s="1"/>
  <c r="K120" i="21" s="1"/>
  <c r="I116" i="20"/>
  <c r="I107" i="20"/>
  <c r="I104" i="21"/>
  <c r="J104" i="21" s="1"/>
  <c r="K104" i="21" s="1"/>
  <c r="I129" i="28"/>
  <c r="I121" i="22"/>
  <c r="I112" i="27"/>
  <c r="I100" i="20"/>
  <c r="J100" i="20" s="1"/>
  <c r="K100" i="20" s="1"/>
  <c r="I111" i="23"/>
  <c r="I130" i="26"/>
  <c r="I115" i="27"/>
  <c r="J115" i="27" s="1"/>
  <c r="K115" i="27" s="1"/>
  <c r="I99" i="21"/>
  <c r="J99" i="21" s="1"/>
  <c r="K99" i="21" s="1"/>
  <c r="I104" i="23"/>
  <c r="J104" i="23" s="1"/>
  <c r="K104" i="23" s="1"/>
  <c r="I123" i="21"/>
  <c r="E29" i="34"/>
  <c r="S213" i="32"/>
  <c r="E27" i="34"/>
  <c r="S211" i="32"/>
  <c r="E28" i="34"/>
  <c r="S212" i="32"/>
  <c r="I133" i="26"/>
  <c r="J133" i="26" s="1"/>
  <c r="K133" i="26" s="1"/>
  <c r="I124" i="22"/>
  <c r="I112" i="26"/>
  <c r="I101" i="27"/>
  <c r="J101" i="27" s="1"/>
  <c r="K101" i="27" s="1"/>
  <c r="I105" i="20"/>
  <c r="J105" i="20" s="1"/>
  <c r="K105" i="20" s="1"/>
  <c r="I109" i="20"/>
  <c r="I106" i="26"/>
  <c r="I110" i="23"/>
  <c r="J110" i="23" s="1"/>
  <c r="K110" i="23" s="1"/>
  <c r="I126" i="27"/>
  <c r="J126" i="27" s="1"/>
  <c r="K126" i="27" s="1"/>
  <c r="I113" i="23"/>
  <c r="I100" i="28"/>
  <c r="I100" i="22"/>
  <c r="J100" i="22" s="1"/>
  <c r="K100" i="22" s="1"/>
  <c r="I108" i="27"/>
  <c r="J108" i="27" s="1"/>
  <c r="K108" i="27" s="1"/>
  <c r="I108" i="21"/>
  <c r="I125" i="27"/>
  <c r="I132" i="21"/>
  <c r="J132" i="21" s="1"/>
  <c r="K132" i="21" s="1"/>
  <c r="I128" i="27"/>
  <c r="J128" i="27" s="1"/>
  <c r="K128" i="27" s="1"/>
  <c r="I128" i="21"/>
  <c r="I123" i="20"/>
  <c r="J123" i="20" s="1"/>
  <c r="K123" i="20" s="1"/>
  <c r="I120" i="28"/>
  <c r="J120" i="28" s="1"/>
  <c r="K120" i="28" s="1"/>
  <c r="I120" i="22"/>
  <c r="J120" i="22" s="1"/>
  <c r="K120" i="22" s="1"/>
  <c r="I116" i="26"/>
  <c r="I116" i="21"/>
  <c r="J116" i="21" s="1"/>
  <c r="K116" i="21" s="1"/>
  <c r="I111" i="28"/>
  <c r="J111" i="28" s="1"/>
  <c r="K111" i="28" s="1"/>
  <c r="I111" i="22"/>
  <c r="J111" i="22" s="1"/>
  <c r="K111" i="22" s="1"/>
  <c r="I102" i="28"/>
  <c r="I102" i="21"/>
  <c r="J102" i="21" s="1"/>
  <c r="K102" i="21" s="1"/>
  <c r="I130" i="28"/>
  <c r="J130" i="28" s="1"/>
  <c r="K130" i="28" s="1"/>
  <c r="I118" i="26"/>
  <c r="J118" i="26" s="1"/>
  <c r="K118" i="26" s="1"/>
  <c r="I131" i="28"/>
  <c r="I131" i="21"/>
  <c r="I127" i="28"/>
  <c r="J127" i="28" s="1"/>
  <c r="K127" i="28" s="1"/>
  <c r="I127" i="22"/>
  <c r="J127" i="22" s="1"/>
  <c r="K127" i="22" s="1"/>
  <c r="I114" i="27"/>
  <c r="I114" i="21"/>
  <c r="I119" i="20"/>
  <c r="J119" i="20" s="1"/>
  <c r="K119" i="20" s="1"/>
  <c r="I119" i="26"/>
  <c r="J119" i="26" s="1"/>
  <c r="K119" i="26" s="1"/>
  <c r="I115" i="20"/>
  <c r="I115" i="26"/>
  <c r="I99" i="22"/>
  <c r="I99" i="23"/>
  <c r="I103" i="21"/>
  <c r="I103" i="23"/>
  <c r="J103" i="23" s="1"/>
  <c r="K103" i="23" s="1"/>
  <c r="I107" i="22"/>
  <c r="J107" i="22" s="1"/>
  <c r="K107" i="22" s="1"/>
  <c r="I107" i="23"/>
  <c r="J107" i="23" s="1"/>
  <c r="K107" i="23" s="1"/>
  <c r="I122" i="23"/>
  <c r="I122" i="20"/>
  <c r="J122" i="20" s="1"/>
  <c r="K122" i="20" s="1"/>
  <c r="I104" i="28"/>
  <c r="J104" i="28" s="1"/>
  <c r="K104" i="28" s="1"/>
  <c r="I104" i="22"/>
  <c r="I123" i="28"/>
  <c r="E30" i="34"/>
  <c r="S214" i="32"/>
  <c r="E32" i="34"/>
  <c r="S216" i="32"/>
  <c r="E33" i="34"/>
  <c r="S217" i="32"/>
  <c r="F30" i="34"/>
  <c r="S214" i="33"/>
  <c r="I212" i="33"/>
  <c r="J212" i="33" s="1"/>
  <c r="J106" i="23"/>
  <c r="K106" i="23" s="1"/>
  <c r="J110" i="28"/>
  <c r="K110" i="28" s="1"/>
  <c r="I215" i="33"/>
  <c r="J215" i="33" s="1"/>
  <c r="J114" i="26"/>
  <c r="K114" i="26" s="1"/>
  <c r="I217" i="33"/>
  <c r="J217" i="33" s="1"/>
  <c r="I213" i="33"/>
  <c r="J213" i="33" s="1"/>
  <c r="J133" i="27"/>
  <c r="K133" i="27" s="1"/>
  <c r="J124" i="27"/>
  <c r="K124" i="27" s="1"/>
  <c r="J121" i="28"/>
  <c r="K121" i="28" s="1"/>
  <c r="J117" i="28"/>
  <c r="K117" i="28" s="1"/>
  <c r="J101" i="22"/>
  <c r="K101" i="22" s="1"/>
  <c r="J101" i="26"/>
  <c r="K101" i="26" s="1"/>
  <c r="J105" i="21"/>
  <c r="K105" i="21" s="1"/>
  <c r="J106" i="27"/>
  <c r="K106" i="27" s="1"/>
  <c r="J110" i="26"/>
  <c r="K110" i="26" s="1"/>
  <c r="J110" i="21"/>
  <c r="K110" i="21" s="1"/>
  <c r="J113" i="28"/>
  <c r="K113" i="28" s="1"/>
  <c r="J113" i="22"/>
  <c r="K113" i="22" s="1"/>
  <c r="J108" i="26"/>
  <c r="K108" i="26" s="1"/>
  <c r="J125" i="26"/>
  <c r="K125" i="26" s="1"/>
  <c r="J123" i="26"/>
  <c r="K123" i="26" s="1"/>
  <c r="J116" i="23"/>
  <c r="K116" i="23" s="1"/>
  <c r="J102" i="26"/>
  <c r="K102" i="26" s="1"/>
  <c r="J99" i="28"/>
  <c r="K99" i="28" s="1"/>
  <c r="Q213" i="33"/>
  <c r="Q217" i="33"/>
  <c r="Q212" i="33"/>
  <c r="I211" i="33"/>
  <c r="J211" i="33" s="1"/>
  <c r="Q216" i="33"/>
  <c r="Q215" i="33"/>
  <c r="Q211" i="33"/>
  <c r="Q210" i="33"/>
  <c r="I210" i="33"/>
  <c r="J210" i="33" s="1"/>
  <c r="J131" i="23"/>
  <c r="K131" i="23" s="1"/>
  <c r="J127" i="21"/>
  <c r="K127" i="21" s="1"/>
  <c r="J127" i="23"/>
  <c r="K127" i="23" s="1"/>
  <c r="J119" i="27"/>
  <c r="K119" i="27" s="1"/>
  <c r="J107" i="28"/>
  <c r="K107" i="28" s="1"/>
  <c r="J122" i="22"/>
  <c r="K122" i="22" s="1"/>
  <c r="J126" i="26"/>
  <c r="K126" i="26" s="1"/>
  <c r="J132" i="20"/>
  <c r="K132" i="20" s="1"/>
  <c r="I216" i="33"/>
  <c r="J216" i="33" s="1"/>
  <c r="J130" i="26"/>
  <c r="K130" i="26" s="1"/>
  <c r="J124" i="22"/>
  <c r="K124" i="22" s="1"/>
  <c r="J106" i="26"/>
  <c r="K106" i="26" s="1"/>
  <c r="J102" i="28"/>
  <c r="K102" i="28" s="1"/>
  <c r="J129" i="28"/>
  <c r="K129" i="28" s="1"/>
  <c r="J103" i="22"/>
  <c r="K103" i="22" s="1"/>
  <c r="J123" i="21"/>
  <c r="K123" i="21" s="1"/>
  <c r="J124" i="23"/>
  <c r="K124" i="23" s="1"/>
  <c r="J110" i="20"/>
  <c r="K110" i="20" s="1"/>
  <c r="J100" i="26"/>
  <c r="K100" i="26" s="1"/>
  <c r="J108" i="28"/>
  <c r="K108" i="28" s="1"/>
  <c r="J132" i="26"/>
  <c r="K132" i="26" s="1"/>
  <c r="J116" i="28"/>
  <c r="K116" i="28" s="1"/>
  <c r="J127" i="20"/>
  <c r="K127" i="20" s="1"/>
  <c r="J127" i="26"/>
  <c r="K127" i="26" s="1"/>
  <c r="J119" i="23"/>
  <c r="K119" i="23" s="1"/>
  <c r="J115" i="22"/>
  <c r="K115" i="22" s="1"/>
  <c r="J103" i="27"/>
  <c r="K103" i="27" s="1"/>
  <c r="J133" i="20"/>
  <c r="K133" i="20" s="1"/>
  <c r="J129" i="22"/>
  <c r="K129" i="22" s="1"/>
  <c r="J121" i="22"/>
  <c r="K121" i="22" s="1"/>
  <c r="J117" i="21"/>
  <c r="K117" i="21" s="1"/>
  <c r="J112" i="27"/>
  <c r="K112" i="27" s="1"/>
  <c r="J120" i="23"/>
  <c r="K120" i="23" s="1"/>
  <c r="J122" i="26"/>
  <c r="K122" i="26" s="1"/>
  <c r="L128" i="39"/>
  <c r="J129" i="27"/>
  <c r="K129" i="27" s="1"/>
  <c r="J112" i="20"/>
  <c r="K112" i="20" s="1"/>
  <c r="J101" i="28"/>
  <c r="K101" i="28" s="1"/>
  <c r="J105" i="22"/>
  <c r="K105" i="22" s="1"/>
  <c r="J126" i="28"/>
  <c r="K126" i="28" s="1"/>
  <c r="J120" i="26"/>
  <c r="K120" i="26" s="1"/>
  <c r="J118" i="22"/>
  <c r="K118" i="22" s="1"/>
  <c r="L125" i="39"/>
  <c r="L123" i="39"/>
  <c r="J133" i="22"/>
  <c r="K133" i="22" s="1"/>
  <c r="J129" i="23"/>
  <c r="K129" i="23" s="1"/>
  <c r="J124" i="26"/>
  <c r="K124" i="26" s="1"/>
  <c r="J121" i="23"/>
  <c r="K121" i="23" s="1"/>
  <c r="J117" i="23"/>
  <c r="K117" i="23" s="1"/>
  <c r="J112" i="26"/>
  <c r="K112" i="26" s="1"/>
  <c r="J101" i="20"/>
  <c r="K101" i="20" s="1"/>
  <c r="J105" i="27"/>
  <c r="K105" i="27" s="1"/>
  <c r="J109" i="20"/>
  <c r="K109" i="20" s="1"/>
  <c r="J126" i="21"/>
  <c r="K126" i="21" s="1"/>
  <c r="J113" i="23"/>
  <c r="K113" i="23" s="1"/>
  <c r="J100" i="28"/>
  <c r="K100" i="28" s="1"/>
  <c r="J108" i="21"/>
  <c r="K108" i="21" s="1"/>
  <c r="J125" i="27"/>
  <c r="K125" i="27" s="1"/>
  <c r="J125" i="20"/>
  <c r="K125" i="20" s="1"/>
  <c r="J132" i="28"/>
  <c r="K132" i="28" s="1"/>
  <c r="J128" i="21"/>
  <c r="K128" i="21" s="1"/>
  <c r="J116" i="26"/>
  <c r="K116" i="26" s="1"/>
  <c r="J118" i="21"/>
  <c r="K118" i="21" s="1"/>
  <c r="J131" i="28"/>
  <c r="K131" i="28" s="1"/>
  <c r="J131" i="21"/>
  <c r="K131" i="21" s="1"/>
  <c r="J114" i="27"/>
  <c r="K114" i="27" s="1"/>
  <c r="J114" i="21"/>
  <c r="K114" i="21" s="1"/>
  <c r="J115" i="20"/>
  <c r="K115" i="20" s="1"/>
  <c r="J115" i="26"/>
  <c r="K115" i="26" s="1"/>
  <c r="J103" i="21"/>
  <c r="K103" i="21" s="1"/>
  <c r="J122" i="23"/>
  <c r="K122" i="23" s="1"/>
  <c r="J104" i="22"/>
  <c r="K104" i="22" s="1"/>
  <c r="L124" i="39"/>
  <c r="L130" i="39"/>
  <c r="J123" i="28"/>
  <c r="K123" i="28" s="1"/>
  <c r="J105" i="26"/>
  <c r="K105" i="26" s="1"/>
  <c r="J126" i="23"/>
  <c r="K126" i="23" s="1"/>
  <c r="J118" i="27"/>
  <c r="K118" i="27" s="1"/>
  <c r="J114" i="28"/>
  <c r="K114" i="28" s="1"/>
  <c r="J103" i="28"/>
  <c r="K103" i="28" s="1"/>
  <c r="J104" i="20"/>
  <c r="K104" i="20" s="1"/>
  <c r="H111" i="33"/>
  <c r="Z111" i="39" s="1"/>
  <c r="V111" i="39"/>
  <c r="L131" i="39"/>
  <c r="L126" i="39"/>
  <c r="L132" i="39"/>
  <c r="J129" i="20"/>
  <c r="K129" i="20" s="1"/>
  <c r="J117" i="27"/>
  <c r="K117" i="27" s="1"/>
  <c r="J125" i="28"/>
  <c r="K125" i="28" s="1"/>
  <c r="J132" i="22"/>
  <c r="K132" i="22" s="1"/>
  <c r="J128" i="28"/>
  <c r="K128" i="28" s="1"/>
  <c r="J118" i="23"/>
  <c r="K118" i="23" s="1"/>
  <c r="J104" i="26"/>
  <c r="K104" i="26" s="1"/>
  <c r="L133" i="39"/>
  <c r="L129" i="39"/>
  <c r="J133" i="28"/>
  <c r="K133" i="28" s="1"/>
  <c r="J133" i="21"/>
  <c r="K133" i="21" s="1"/>
  <c r="J129" i="21"/>
  <c r="K129" i="21" s="1"/>
  <c r="J129" i="26"/>
  <c r="K129" i="26" s="1"/>
  <c r="J124" i="28"/>
  <c r="K124" i="28" s="1"/>
  <c r="J124" i="21"/>
  <c r="K124" i="21" s="1"/>
  <c r="J121" i="26"/>
  <c r="K121" i="26" s="1"/>
  <c r="J117" i="22"/>
  <c r="K117" i="22" s="1"/>
  <c r="J117" i="26"/>
  <c r="K117" i="26" s="1"/>
  <c r="J112" i="28"/>
  <c r="K112" i="28" s="1"/>
  <c r="J112" i="22"/>
  <c r="K112" i="22" s="1"/>
  <c r="J105" i="23"/>
  <c r="K105" i="23" s="1"/>
  <c r="J106" i="28"/>
  <c r="K106" i="28" s="1"/>
  <c r="J110" i="22"/>
  <c r="K110" i="22" s="1"/>
  <c r="J126" i="20"/>
  <c r="K126" i="20" s="1"/>
  <c r="J113" i="21"/>
  <c r="K113" i="21" s="1"/>
  <c r="J100" i="27"/>
  <c r="K100" i="27" s="1"/>
  <c r="J100" i="21"/>
  <c r="K100" i="21" s="1"/>
  <c r="J108" i="20"/>
  <c r="K108" i="20" s="1"/>
  <c r="J132" i="27"/>
  <c r="K132" i="27" s="1"/>
  <c r="J128" i="23"/>
  <c r="K128" i="23" s="1"/>
  <c r="J128" i="20"/>
  <c r="K128" i="20" s="1"/>
  <c r="J123" i="23"/>
  <c r="K123" i="23" s="1"/>
  <c r="J116" i="20"/>
  <c r="K116" i="20" s="1"/>
  <c r="J102" i="27"/>
  <c r="K102" i="27" s="1"/>
  <c r="J102" i="20"/>
  <c r="K102" i="20" s="1"/>
  <c r="J130" i="23"/>
  <c r="K130" i="23" s="1"/>
  <c r="J118" i="28"/>
  <c r="K118" i="28" s="1"/>
  <c r="J118" i="20"/>
  <c r="K118" i="20" s="1"/>
  <c r="J131" i="27"/>
  <c r="K131" i="27" s="1"/>
  <c r="J127" i="27"/>
  <c r="K127" i="27" s="1"/>
  <c r="J114" i="23"/>
  <c r="K114" i="23" s="1"/>
  <c r="J114" i="20"/>
  <c r="K114" i="20" s="1"/>
  <c r="J119" i="28"/>
  <c r="K119" i="28" s="1"/>
  <c r="J119" i="22"/>
  <c r="K119" i="22" s="1"/>
  <c r="J115" i="28"/>
  <c r="K115" i="28" s="1"/>
  <c r="J115" i="21"/>
  <c r="K115" i="21" s="1"/>
  <c r="J103" i="26"/>
  <c r="K103" i="26" s="1"/>
  <c r="J107" i="20"/>
  <c r="K107" i="20" s="1"/>
  <c r="J107" i="26"/>
  <c r="K107" i="26" s="1"/>
  <c r="J122" i="28"/>
  <c r="K122" i="28" s="1"/>
  <c r="J123" i="27"/>
  <c r="K123" i="27" s="1"/>
  <c r="L127" i="39"/>
  <c r="E152" i="19"/>
  <c r="E151" i="39"/>
  <c r="E151" i="28"/>
  <c r="E151" i="23"/>
  <c r="E151" i="27"/>
  <c r="E151" i="26"/>
  <c r="E151" i="22"/>
  <c r="E151" i="32"/>
  <c r="N151" i="39" s="1"/>
  <c r="E151" i="21"/>
  <c r="E151" i="20"/>
  <c r="E151" i="33"/>
  <c r="W151" i="39" s="1"/>
  <c r="J101" i="21"/>
  <c r="K101" i="21" s="1"/>
  <c r="J109" i="21"/>
  <c r="K109" i="21" s="1"/>
  <c r="J106" i="21"/>
  <c r="K106" i="21" s="1"/>
  <c r="J102" i="23"/>
  <c r="K102" i="23" s="1"/>
  <c r="I132" i="19"/>
  <c r="J132" i="19" s="1"/>
  <c r="H132" i="39"/>
  <c r="I124" i="19"/>
  <c r="J124" i="19" s="1"/>
  <c r="H124" i="39"/>
  <c r="I130" i="19"/>
  <c r="J130" i="19" s="1"/>
  <c r="H130" i="39"/>
  <c r="I129" i="19"/>
  <c r="J129" i="19" s="1"/>
  <c r="H129" i="39"/>
  <c r="I128" i="19"/>
  <c r="J128" i="19" s="1"/>
  <c r="H128" i="39"/>
  <c r="I133" i="19"/>
  <c r="J133" i="19" s="1"/>
  <c r="H133" i="39"/>
  <c r="I126" i="19"/>
  <c r="J126" i="19" s="1"/>
  <c r="H126" i="39"/>
  <c r="I125" i="19"/>
  <c r="J125" i="19" s="1"/>
  <c r="H125" i="39"/>
  <c r="I131" i="19"/>
  <c r="J131" i="19" s="1"/>
  <c r="H131" i="39"/>
  <c r="I127" i="19"/>
  <c r="J127" i="19" s="1"/>
  <c r="H127" i="39"/>
  <c r="H119" i="33"/>
  <c r="J121" i="20"/>
  <c r="K121" i="20" s="1"/>
  <c r="H101" i="33"/>
  <c r="J109" i="27"/>
  <c r="K109" i="27" s="1"/>
  <c r="J106" i="20"/>
  <c r="K106" i="20" s="1"/>
  <c r="H117" i="32"/>
  <c r="H105" i="32"/>
  <c r="H120" i="32"/>
  <c r="H103" i="33"/>
  <c r="H110" i="32"/>
  <c r="H115" i="32"/>
  <c r="H106" i="32"/>
  <c r="H110" i="33"/>
  <c r="H116" i="33"/>
  <c r="H107" i="33"/>
  <c r="H120" i="33"/>
  <c r="H108" i="33"/>
  <c r="H118" i="33"/>
  <c r="H109" i="33"/>
  <c r="J121" i="21"/>
  <c r="K121" i="21" s="1"/>
  <c r="J109" i="23"/>
  <c r="K109" i="23" s="1"/>
  <c r="J110" i="27"/>
  <c r="K110" i="27" s="1"/>
  <c r="H121" i="32"/>
  <c r="H112" i="32"/>
  <c r="H109" i="32"/>
  <c r="H99" i="33"/>
  <c r="H107" i="32"/>
  <c r="H113" i="32"/>
  <c r="H100" i="32"/>
  <c r="H108" i="32"/>
  <c r="H114" i="33"/>
  <c r="H119" i="32"/>
  <c r="H126" i="32"/>
  <c r="H124" i="33"/>
  <c r="H101" i="32"/>
  <c r="H128" i="33"/>
  <c r="H126" i="33"/>
  <c r="H122" i="32"/>
  <c r="H103" i="32"/>
  <c r="J124" i="20"/>
  <c r="K124" i="20" s="1"/>
  <c r="J112" i="21"/>
  <c r="K112" i="21" s="1"/>
  <c r="J109" i="22"/>
  <c r="K109" i="22" s="1"/>
  <c r="J109" i="26"/>
  <c r="K109" i="26" s="1"/>
  <c r="J106" i="22"/>
  <c r="K106" i="22" s="1"/>
  <c r="J132" i="23"/>
  <c r="K132" i="23" s="1"/>
  <c r="J128" i="26"/>
  <c r="K128" i="26" s="1"/>
  <c r="H117" i="33"/>
  <c r="H125" i="33"/>
  <c r="H116" i="32"/>
  <c r="H121" i="33"/>
  <c r="H118" i="32"/>
  <c r="H104" i="32"/>
  <c r="H123" i="32"/>
  <c r="Q123" i="39" s="1"/>
  <c r="H102" i="33"/>
  <c r="H114" i="32"/>
  <c r="H124" i="32"/>
  <c r="H125" i="32"/>
  <c r="H128" i="32"/>
  <c r="H123" i="33"/>
  <c r="Z123" i="39" s="1"/>
  <c r="H133" i="32"/>
  <c r="H129" i="33"/>
  <c r="H131" i="32"/>
  <c r="H130" i="32"/>
  <c r="H132" i="32"/>
  <c r="H133" i="33"/>
  <c r="H127" i="33"/>
  <c r="H129" i="32"/>
  <c r="H112" i="33"/>
  <c r="H104" i="33"/>
  <c r="H106" i="33"/>
  <c r="H131" i="33"/>
  <c r="H99" i="32"/>
  <c r="Q99" i="39" s="1"/>
  <c r="H130" i="33"/>
  <c r="H122" i="33"/>
  <c r="H113" i="33"/>
  <c r="H105" i="33"/>
  <c r="H100" i="33"/>
  <c r="H132" i="33"/>
  <c r="H111" i="32"/>
  <c r="Q111" i="39" s="1"/>
  <c r="H102" i="32"/>
  <c r="H127" i="32"/>
  <c r="H115" i="33"/>
  <c r="F27" i="34" l="1"/>
  <c r="S211" i="33"/>
  <c r="F28" i="34"/>
  <c r="S212" i="33"/>
  <c r="F29" i="34"/>
  <c r="S213" i="33"/>
  <c r="F32" i="34"/>
  <c r="S216" i="33"/>
  <c r="F33" i="34"/>
  <c r="S217" i="33"/>
  <c r="F26" i="34"/>
  <c r="S210" i="33"/>
  <c r="F31" i="34"/>
  <c r="S215" i="33"/>
  <c r="L138" i="39"/>
  <c r="C150" i="32"/>
  <c r="L136" i="39"/>
  <c r="C148" i="32"/>
  <c r="L135" i="39"/>
  <c r="C147" i="32"/>
  <c r="L139" i="39"/>
  <c r="C151" i="32"/>
  <c r="L145" i="39"/>
  <c r="C157" i="32"/>
  <c r="C156" i="32"/>
  <c r="L144" i="39"/>
  <c r="L143" i="39"/>
  <c r="C155" i="32"/>
  <c r="L141" i="39"/>
  <c r="C153" i="32"/>
  <c r="L146" i="39"/>
  <c r="C158" i="32"/>
  <c r="L140" i="39"/>
  <c r="C152" i="32"/>
  <c r="I111" i="33"/>
  <c r="J111" i="33" s="1"/>
  <c r="L142" i="39"/>
  <c r="C154" i="32"/>
  <c r="L137" i="39"/>
  <c r="C149" i="32"/>
  <c r="I113" i="33"/>
  <c r="J113" i="33" s="1"/>
  <c r="Z113" i="39"/>
  <c r="I104" i="32"/>
  <c r="J104" i="32" s="1"/>
  <c r="Q104" i="39"/>
  <c r="I121" i="32"/>
  <c r="J121" i="32" s="1"/>
  <c r="Q121" i="39"/>
  <c r="I122" i="33"/>
  <c r="J122" i="33" s="1"/>
  <c r="Z122" i="39"/>
  <c r="I124" i="32"/>
  <c r="J124" i="32" s="1"/>
  <c r="Q124" i="39"/>
  <c r="I114" i="32"/>
  <c r="J114" i="32" s="1"/>
  <c r="Q114" i="39"/>
  <c r="I118" i="32"/>
  <c r="J118" i="32" s="1"/>
  <c r="Q118" i="39"/>
  <c r="I117" i="33"/>
  <c r="J117" i="33" s="1"/>
  <c r="Z117" i="39"/>
  <c r="I122" i="32"/>
  <c r="J122" i="32" s="1"/>
  <c r="Q122" i="39"/>
  <c r="I124" i="33"/>
  <c r="J124" i="33" s="1"/>
  <c r="Z124" i="39"/>
  <c r="I126" i="32"/>
  <c r="J126" i="32" s="1"/>
  <c r="Q126" i="39"/>
  <c r="I108" i="32"/>
  <c r="J108" i="32" s="1"/>
  <c r="Q108" i="39"/>
  <c r="I99" i="33"/>
  <c r="J99" i="33" s="1"/>
  <c r="Z99" i="39"/>
  <c r="I109" i="33"/>
  <c r="J109" i="33" s="1"/>
  <c r="Z109" i="39"/>
  <c r="I115" i="32"/>
  <c r="J115" i="32" s="1"/>
  <c r="Q115" i="39"/>
  <c r="I105" i="32"/>
  <c r="J105" i="32" s="1"/>
  <c r="Q105" i="39"/>
  <c r="I131" i="33"/>
  <c r="J131" i="33" s="1"/>
  <c r="Z131" i="39"/>
  <c r="I101" i="32"/>
  <c r="J101" i="32" s="1"/>
  <c r="Q101" i="39"/>
  <c r="I114" i="33"/>
  <c r="J114" i="33" s="1"/>
  <c r="Z114" i="39"/>
  <c r="I120" i="33"/>
  <c r="J120" i="33" s="1"/>
  <c r="Z120" i="39"/>
  <c r="I106" i="32"/>
  <c r="J106" i="32" s="1"/>
  <c r="Q106" i="39"/>
  <c r="I127" i="32"/>
  <c r="J127" i="32" s="1"/>
  <c r="Q127" i="39"/>
  <c r="I127" i="33"/>
  <c r="J127" i="33" s="1"/>
  <c r="Z127" i="39"/>
  <c r="I102" i="32"/>
  <c r="J102" i="32" s="1"/>
  <c r="Q102" i="39"/>
  <c r="I133" i="33"/>
  <c r="J133" i="33" s="1"/>
  <c r="Z133" i="39"/>
  <c r="I132" i="32"/>
  <c r="J132" i="32" s="1"/>
  <c r="Q132" i="39"/>
  <c r="I102" i="33"/>
  <c r="J102" i="33" s="1"/>
  <c r="Z102" i="39"/>
  <c r="I121" i="33"/>
  <c r="J121" i="33" s="1"/>
  <c r="Z121" i="39"/>
  <c r="I126" i="33"/>
  <c r="J126" i="33" s="1"/>
  <c r="Z126" i="39"/>
  <c r="I119" i="32"/>
  <c r="J119" i="32" s="1"/>
  <c r="Q119" i="39"/>
  <c r="I100" i="32"/>
  <c r="J100" i="32" s="1"/>
  <c r="Q100" i="39"/>
  <c r="I109" i="32"/>
  <c r="J109" i="32" s="1"/>
  <c r="Q109" i="39"/>
  <c r="I118" i="33"/>
  <c r="J118" i="33" s="1"/>
  <c r="Z118" i="39"/>
  <c r="I116" i="33"/>
  <c r="J116" i="33" s="1"/>
  <c r="Z116" i="39"/>
  <c r="I110" i="32"/>
  <c r="J110" i="32" s="1"/>
  <c r="Q110" i="39"/>
  <c r="I117" i="32"/>
  <c r="J117" i="32" s="1"/>
  <c r="Q117" i="39"/>
  <c r="I119" i="33"/>
  <c r="J119" i="33" s="1"/>
  <c r="Z119" i="39"/>
  <c r="I115" i="33"/>
  <c r="J115" i="33" s="1"/>
  <c r="Z115" i="39"/>
  <c r="I129" i="32"/>
  <c r="J129" i="32" s="1"/>
  <c r="Q129" i="39"/>
  <c r="I131" i="32"/>
  <c r="J131" i="32" s="1"/>
  <c r="Q131" i="39"/>
  <c r="I125" i="32"/>
  <c r="J125" i="32" s="1"/>
  <c r="Q125" i="39"/>
  <c r="I125" i="33"/>
  <c r="J125" i="33" s="1"/>
  <c r="Z125" i="39"/>
  <c r="I103" i="32"/>
  <c r="J103" i="32" s="1"/>
  <c r="Q103" i="39"/>
  <c r="I107" i="32"/>
  <c r="J107" i="32" s="1"/>
  <c r="Q107" i="39"/>
  <c r="I120" i="32"/>
  <c r="J120" i="32" s="1"/>
  <c r="Q120" i="39"/>
  <c r="I101" i="33"/>
  <c r="J101" i="33" s="1"/>
  <c r="Z101" i="39"/>
  <c r="I132" i="33"/>
  <c r="J132" i="33" s="1"/>
  <c r="Z132" i="39"/>
  <c r="I106" i="33"/>
  <c r="J106" i="33" s="1"/>
  <c r="Z106" i="39"/>
  <c r="I100" i="33"/>
  <c r="J100" i="33" s="1"/>
  <c r="Z100" i="39"/>
  <c r="I130" i="33"/>
  <c r="J130" i="33" s="1"/>
  <c r="Z130" i="39"/>
  <c r="I104" i="33"/>
  <c r="J104" i="33" s="1"/>
  <c r="Z104" i="39"/>
  <c r="I129" i="33"/>
  <c r="J129" i="33" s="1"/>
  <c r="Z129" i="39"/>
  <c r="I105" i="33"/>
  <c r="J105" i="33" s="1"/>
  <c r="Z105" i="39"/>
  <c r="I112" i="33"/>
  <c r="J112" i="33" s="1"/>
  <c r="Z112" i="39"/>
  <c r="I130" i="32"/>
  <c r="J130" i="32" s="1"/>
  <c r="Q130" i="39"/>
  <c r="I133" i="32"/>
  <c r="J133" i="32" s="1"/>
  <c r="Q133" i="39"/>
  <c r="I128" i="32"/>
  <c r="J128" i="32" s="1"/>
  <c r="Q128" i="39"/>
  <c r="I116" i="32"/>
  <c r="J116" i="32" s="1"/>
  <c r="Q116" i="39"/>
  <c r="I128" i="33"/>
  <c r="J128" i="33" s="1"/>
  <c r="Z128" i="39"/>
  <c r="I113" i="32"/>
  <c r="J113" i="32" s="1"/>
  <c r="Q113" i="39"/>
  <c r="I112" i="32"/>
  <c r="J112" i="32" s="1"/>
  <c r="Q112" i="39"/>
  <c r="I108" i="33"/>
  <c r="J108" i="33" s="1"/>
  <c r="Z108" i="39"/>
  <c r="I107" i="33"/>
  <c r="J107" i="33" s="1"/>
  <c r="Z107" i="39"/>
  <c r="I110" i="33"/>
  <c r="J110" i="33" s="1"/>
  <c r="Z110" i="39"/>
  <c r="I103" i="33"/>
  <c r="J103" i="33" s="1"/>
  <c r="Z103" i="39"/>
  <c r="E152" i="39"/>
  <c r="E152" i="27"/>
  <c r="E152" i="26"/>
  <c r="E152" i="22"/>
  <c r="E152" i="28"/>
  <c r="E152" i="23"/>
  <c r="E152" i="32"/>
  <c r="N152" i="39" s="1"/>
  <c r="E152" i="20"/>
  <c r="E152" i="33"/>
  <c r="W152" i="39" s="1"/>
  <c r="E152" i="21"/>
  <c r="B20" i="30"/>
  <c r="I219" i="22"/>
  <c r="J219" i="22" s="1"/>
  <c r="K219" i="22" s="1"/>
  <c r="J111" i="27"/>
  <c r="K111" i="27" s="1"/>
  <c r="I219" i="27"/>
  <c r="J219" i="27" s="1"/>
  <c r="K219" i="27" s="1"/>
  <c r="H218" i="33"/>
  <c r="M218" i="33" s="1"/>
  <c r="O218" i="33" s="1"/>
  <c r="I219" i="28"/>
  <c r="J219" i="28" s="1"/>
  <c r="K219" i="28" s="1"/>
  <c r="I219" i="20"/>
  <c r="J219" i="20" s="1"/>
  <c r="K219" i="20" s="1"/>
  <c r="J111" i="21"/>
  <c r="K111" i="21" s="1"/>
  <c r="I219" i="21"/>
  <c r="J219" i="21" s="1"/>
  <c r="K219" i="21" s="1"/>
  <c r="I123" i="33"/>
  <c r="J123" i="33" s="1"/>
  <c r="J99" i="20"/>
  <c r="K99" i="20" s="1"/>
  <c r="I218" i="20"/>
  <c r="J218" i="20" s="1"/>
  <c r="K218" i="20" s="1"/>
  <c r="J99" i="27"/>
  <c r="K99" i="27" s="1"/>
  <c r="I218" i="27"/>
  <c r="J218" i="27" s="1"/>
  <c r="K218" i="27" s="1"/>
  <c r="I123" i="32"/>
  <c r="J123" i="32" s="1"/>
  <c r="J111" i="23"/>
  <c r="K111" i="23" s="1"/>
  <c r="I219" i="23"/>
  <c r="J219" i="23" s="1"/>
  <c r="K219" i="23" s="1"/>
  <c r="J99" i="23"/>
  <c r="K99" i="23" s="1"/>
  <c r="I218" i="23"/>
  <c r="J218" i="23" s="1"/>
  <c r="K218" i="23" s="1"/>
  <c r="I218" i="28"/>
  <c r="J218" i="28" s="1"/>
  <c r="K218" i="28" s="1"/>
  <c r="J111" i="26"/>
  <c r="K111" i="26" s="1"/>
  <c r="I219" i="26"/>
  <c r="J219" i="26" s="1"/>
  <c r="K219" i="26" s="1"/>
  <c r="I111" i="32"/>
  <c r="J111" i="32" s="1"/>
  <c r="H219" i="32"/>
  <c r="M219" i="32" s="1"/>
  <c r="O219" i="32" s="1"/>
  <c r="I99" i="32"/>
  <c r="J99" i="32" s="1"/>
  <c r="H218" i="32"/>
  <c r="M218" i="32" s="1"/>
  <c r="O218" i="32" s="1"/>
  <c r="J99" i="22"/>
  <c r="K99" i="22" s="1"/>
  <c r="I218" i="22"/>
  <c r="J218" i="22" s="1"/>
  <c r="K218" i="22" s="1"/>
  <c r="H219" i="33"/>
  <c r="M219" i="33" s="1"/>
  <c r="O219" i="33" s="1"/>
  <c r="I218" i="21"/>
  <c r="J218" i="21" s="1"/>
  <c r="K218" i="21" s="1"/>
  <c r="J99" i="26"/>
  <c r="K99" i="26" s="1"/>
  <c r="I218" i="26"/>
  <c r="J218" i="26" s="1"/>
  <c r="K218" i="26" s="1"/>
  <c r="Q219" i="33" l="1"/>
  <c r="Q218" i="33"/>
  <c r="Q218" i="32"/>
  <c r="Q219" i="32"/>
  <c r="L152" i="39"/>
  <c r="C164" i="32"/>
  <c r="C165" i="32"/>
  <c r="L153" i="39"/>
  <c r="L148" i="39"/>
  <c r="C160" i="32"/>
  <c r="L154" i="39"/>
  <c r="C166" i="32"/>
  <c r="L156" i="39"/>
  <c r="C168" i="32"/>
  <c r="L158" i="39"/>
  <c r="C170" i="32"/>
  <c r="L155" i="39"/>
  <c r="C167" i="32"/>
  <c r="L157" i="39"/>
  <c r="C169" i="32"/>
  <c r="L147" i="39"/>
  <c r="C159" i="32"/>
  <c r="L150" i="39"/>
  <c r="C162" i="32"/>
  <c r="L151" i="39"/>
  <c r="C163" i="32"/>
  <c r="L149" i="39"/>
  <c r="C161" i="32"/>
  <c r="E154" i="19"/>
  <c r="E153" i="39"/>
  <c r="E153" i="27"/>
  <c r="E153" i="26"/>
  <c r="E153" i="28"/>
  <c r="E153" i="23"/>
  <c r="E153" i="22"/>
  <c r="E153" i="32"/>
  <c r="N153" i="39" s="1"/>
  <c r="E153" i="21"/>
  <c r="E153" i="20"/>
  <c r="E153" i="33"/>
  <c r="W153" i="39" s="1"/>
  <c r="C140" i="39"/>
  <c r="U146" i="39"/>
  <c r="C138" i="20"/>
  <c r="C138" i="39"/>
  <c r="C141" i="39"/>
  <c r="C134" i="20"/>
  <c r="C142" i="39"/>
  <c r="C143" i="39"/>
  <c r="C146" i="39"/>
  <c r="C145" i="22"/>
  <c r="C139" i="39"/>
  <c r="C137" i="39"/>
  <c r="C136" i="22"/>
  <c r="C135" i="39"/>
  <c r="C144" i="39"/>
  <c r="C138" i="21"/>
  <c r="C138" i="28"/>
  <c r="C138" i="22"/>
  <c r="C138" i="26"/>
  <c r="C138" i="23"/>
  <c r="C138" i="27"/>
  <c r="I219" i="33"/>
  <c r="J219" i="33" s="1"/>
  <c r="I218" i="32"/>
  <c r="J218" i="32" s="1"/>
  <c r="I219" i="32"/>
  <c r="J219" i="32" s="1"/>
  <c r="I218" i="33"/>
  <c r="J218" i="33" s="1"/>
  <c r="E35" i="34" l="1"/>
  <c r="S219" i="32"/>
  <c r="F34" i="34"/>
  <c r="S218" i="33"/>
  <c r="E34" i="34"/>
  <c r="S218" i="32"/>
  <c r="F35" i="34"/>
  <c r="S219" i="33"/>
  <c r="L162" i="39"/>
  <c r="C174" i="32"/>
  <c r="L166" i="39"/>
  <c r="C178" i="32"/>
  <c r="L163" i="39"/>
  <c r="C175" i="32"/>
  <c r="L159" i="39"/>
  <c r="C171" i="32"/>
  <c r="L167" i="39"/>
  <c r="C179" i="32"/>
  <c r="L168" i="39"/>
  <c r="C180" i="32"/>
  <c r="L160" i="39"/>
  <c r="C172" i="32"/>
  <c r="L164" i="39"/>
  <c r="C176" i="32"/>
  <c r="L161" i="39"/>
  <c r="C173" i="32"/>
  <c r="L169" i="39"/>
  <c r="C181" i="32"/>
  <c r="L170" i="39"/>
  <c r="C182" i="32"/>
  <c r="L165" i="39"/>
  <c r="C177" i="32"/>
  <c r="E155" i="19"/>
  <c r="E154" i="39"/>
  <c r="E154" i="28"/>
  <c r="E154" i="23"/>
  <c r="E154" i="27"/>
  <c r="E154" i="22"/>
  <c r="E154" i="26"/>
  <c r="E154" i="32"/>
  <c r="N154" i="39" s="1"/>
  <c r="E154" i="20"/>
  <c r="E154" i="33"/>
  <c r="W154" i="39" s="1"/>
  <c r="E154" i="21"/>
  <c r="U139" i="39"/>
  <c r="U135" i="39"/>
  <c r="C142" i="22"/>
  <c r="U143" i="39"/>
  <c r="C140" i="26"/>
  <c r="C140" i="23"/>
  <c r="C141" i="27"/>
  <c r="C135" i="22"/>
  <c r="C140" i="21"/>
  <c r="C141" i="23"/>
  <c r="C139" i="23"/>
  <c r="C135" i="23"/>
  <c r="C135" i="21"/>
  <c r="C141" i="22"/>
  <c r="C139" i="20"/>
  <c r="U137" i="39"/>
  <c r="C137" i="27"/>
  <c r="U142" i="39"/>
  <c r="U141" i="39"/>
  <c r="C140" i="28"/>
  <c r="C140" i="27"/>
  <c r="C137" i="20"/>
  <c r="C141" i="28"/>
  <c r="C143" i="26"/>
  <c r="C139" i="28"/>
  <c r="U145" i="39"/>
  <c r="U144" i="39"/>
  <c r="C140" i="22"/>
  <c r="C140" i="20"/>
  <c r="C142" i="28"/>
  <c r="C137" i="26"/>
  <c r="C141" i="21"/>
  <c r="C139" i="22"/>
  <c r="C139" i="21"/>
  <c r="C135" i="20"/>
  <c r="U140" i="39"/>
  <c r="U136" i="39"/>
  <c r="U138" i="39"/>
  <c r="C156" i="19"/>
  <c r="C156" i="39" s="1"/>
  <c r="C158" i="19"/>
  <c r="C158" i="28" s="1"/>
  <c r="C136" i="23"/>
  <c r="C142" i="23"/>
  <c r="C143" i="21"/>
  <c r="C142" i="20"/>
  <c r="C142" i="27"/>
  <c r="C137" i="28"/>
  <c r="C137" i="23"/>
  <c r="C143" i="20"/>
  <c r="C143" i="22"/>
  <c r="C143" i="27"/>
  <c r="C157" i="19"/>
  <c r="C157" i="22" s="1"/>
  <c r="C146" i="21"/>
  <c r="C142" i="26"/>
  <c r="C142" i="21"/>
  <c r="C137" i="22"/>
  <c r="C137" i="21"/>
  <c r="C141" i="26"/>
  <c r="C141" i="20"/>
  <c r="C143" i="23"/>
  <c r="C139" i="27"/>
  <c r="C139" i="26"/>
  <c r="C135" i="26"/>
  <c r="C143" i="28"/>
  <c r="C155" i="19"/>
  <c r="C155" i="26" s="1"/>
  <c r="C146" i="27"/>
  <c r="C150" i="19"/>
  <c r="C136" i="39"/>
  <c r="C145" i="27"/>
  <c r="C145" i="39"/>
  <c r="C144" i="28"/>
  <c r="C136" i="20"/>
  <c r="C149" i="19"/>
  <c r="C149" i="39" s="1"/>
  <c r="C146" i="20"/>
  <c r="C146" i="28"/>
  <c r="C136" i="26"/>
  <c r="C136" i="21"/>
  <c r="C145" i="21"/>
  <c r="C148" i="19"/>
  <c r="C148" i="26" s="1"/>
  <c r="C152" i="19"/>
  <c r="C152" i="23" s="1"/>
  <c r="C146" i="22"/>
  <c r="C145" i="28"/>
  <c r="C144" i="22"/>
  <c r="C144" i="20"/>
  <c r="C144" i="27"/>
  <c r="C144" i="21"/>
  <c r="C144" i="26"/>
  <c r="C144" i="23"/>
  <c r="C136" i="27"/>
  <c r="C153" i="19"/>
  <c r="C153" i="20" s="1"/>
  <c r="C145" i="26"/>
  <c r="C154" i="19"/>
  <c r="C154" i="39" s="1"/>
  <c r="C147" i="19"/>
  <c r="C147" i="27" s="1"/>
  <c r="C151" i="19"/>
  <c r="C136" i="28"/>
  <c r="C145" i="23"/>
  <c r="C146" i="23"/>
  <c r="C146" i="26"/>
  <c r="C145" i="20"/>
  <c r="C135" i="28"/>
  <c r="L177" i="39" l="1"/>
  <c r="C189" i="32"/>
  <c r="L176" i="39"/>
  <c r="C188" i="32"/>
  <c r="L171" i="39"/>
  <c r="C183" i="32"/>
  <c r="C194" i="32"/>
  <c r="L182" i="39"/>
  <c r="L173" i="39"/>
  <c r="C185" i="32"/>
  <c r="L172" i="39"/>
  <c r="C184" i="32"/>
  <c r="L179" i="39"/>
  <c r="C191" i="32"/>
  <c r="L175" i="39"/>
  <c r="C187" i="32"/>
  <c r="C186" i="32"/>
  <c r="L174" i="39"/>
  <c r="L181" i="39"/>
  <c r="C193" i="32"/>
  <c r="L180" i="39"/>
  <c r="C192" i="32"/>
  <c r="L178" i="39"/>
  <c r="C190" i="32"/>
  <c r="E155" i="39"/>
  <c r="E155" i="28"/>
  <c r="E155" i="23"/>
  <c r="E155" i="27"/>
  <c r="E155" i="26"/>
  <c r="E155" i="22"/>
  <c r="E155" i="32"/>
  <c r="N155" i="39" s="1"/>
  <c r="E155" i="33"/>
  <c r="W155" i="39" s="1"/>
  <c r="E155" i="21"/>
  <c r="E155" i="20"/>
  <c r="C158" i="39"/>
  <c r="C156" i="33"/>
  <c r="U156" i="39" s="1"/>
  <c r="C148" i="23"/>
  <c r="C152" i="33"/>
  <c r="U152" i="39" s="1"/>
  <c r="C157" i="28"/>
  <c r="C155" i="28"/>
  <c r="C154" i="33"/>
  <c r="U154" i="39" s="1"/>
  <c r="C157" i="27"/>
  <c r="C157" i="21"/>
  <c r="C156" i="21"/>
  <c r="C148" i="21"/>
  <c r="C148" i="28"/>
  <c r="C155" i="23"/>
  <c r="C153" i="33"/>
  <c r="U153" i="39" s="1"/>
  <c r="C156" i="22"/>
  <c r="C158" i="22"/>
  <c r="C157" i="23"/>
  <c r="C150" i="33"/>
  <c r="U150" i="39" s="1"/>
  <c r="C157" i="33"/>
  <c r="U157" i="39" s="1"/>
  <c r="C147" i="33"/>
  <c r="U147" i="39" s="1"/>
  <c r="C157" i="26"/>
  <c r="C155" i="33"/>
  <c r="U155" i="39" s="1"/>
  <c r="C162" i="19"/>
  <c r="C162" i="39" s="1"/>
  <c r="C148" i="33"/>
  <c r="U148" i="39" s="1"/>
  <c r="C153" i="21"/>
  <c r="C151" i="33"/>
  <c r="U151" i="39" s="1"/>
  <c r="C153" i="28"/>
  <c r="C149" i="33"/>
  <c r="U149" i="39" s="1"/>
  <c r="C158" i="33"/>
  <c r="U158" i="39" s="1"/>
  <c r="C158" i="23"/>
  <c r="C150" i="21"/>
  <c r="C150" i="27"/>
  <c r="C158" i="20"/>
  <c r="C147" i="26"/>
  <c r="C158" i="21"/>
  <c r="C158" i="26"/>
  <c r="C156" i="26"/>
  <c r="C156" i="20"/>
  <c r="C150" i="23"/>
  <c r="C147" i="28"/>
  <c r="C147" i="20"/>
  <c r="C150" i="22"/>
  <c r="C158" i="27"/>
  <c r="C156" i="27"/>
  <c r="C156" i="23"/>
  <c r="C147" i="22"/>
  <c r="C147" i="23"/>
  <c r="C155" i="27"/>
  <c r="C156" i="28"/>
  <c r="C155" i="22"/>
  <c r="C162" i="23"/>
  <c r="C150" i="20"/>
  <c r="C150" i="39"/>
  <c r="C150" i="28"/>
  <c r="C167" i="19"/>
  <c r="C167" i="28" s="1"/>
  <c r="C151" i="26"/>
  <c r="C151" i="39"/>
  <c r="C152" i="20"/>
  <c r="C152" i="39"/>
  <c r="C154" i="23"/>
  <c r="C154" i="21"/>
  <c r="C149" i="27"/>
  <c r="C149" i="28"/>
  <c r="C149" i="20"/>
  <c r="C153" i="26"/>
  <c r="C153" i="39"/>
  <c r="C148" i="27"/>
  <c r="C148" i="39"/>
  <c r="C157" i="20"/>
  <c r="C157" i="39"/>
  <c r="C154" i="26"/>
  <c r="C149" i="21"/>
  <c r="C149" i="22"/>
  <c r="C154" i="22"/>
  <c r="C154" i="27"/>
  <c r="C150" i="26"/>
  <c r="C151" i="23"/>
  <c r="C147" i="21"/>
  <c r="C147" i="39"/>
  <c r="C155" i="21"/>
  <c r="C155" i="39"/>
  <c r="C155" i="20"/>
  <c r="C165" i="19"/>
  <c r="C165" i="20" s="1"/>
  <c r="C166" i="19"/>
  <c r="C166" i="26" s="1"/>
  <c r="C153" i="23"/>
  <c r="C153" i="27"/>
  <c r="C169" i="19"/>
  <c r="C169" i="27" s="1"/>
  <c r="C152" i="26"/>
  <c r="C151" i="22"/>
  <c r="C152" i="22"/>
  <c r="C148" i="22"/>
  <c r="C151" i="28"/>
  <c r="C159" i="19"/>
  <c r="C159" i="20" s="1"/>
  <c r="C151" i="20"/>
  <c r="C161" i="19"/>
  <c r="C161" i="22" s="1"/>
  <c r="C160" i="19"/>
  <c r="C160" i="26" s="1"/>
  <c r="C163" i="19"/>
  <c r="C163" i="20" s="1"/>
  <c r="C164" i="19"/>
  <c r="C164" i="28" s="1"/>
  <c r="C151" i="27"/>
  <c r="C168" i="19"/>
  <c r="C168" i="28" s="1"/>
  <c r="C170" i="19"/>
  <c r="C170" i="22" s="1"/>
  <c r="C153" i="22"/>
  <c r="C148" i="20"/>
  <c r="C152" i="21"/>
  <c r="C151" i="21"/>
  <c r="C152" i="28"/>
  <c r="C152" i="27"/>
  <c r="C154" i="20"/>
  <c r="C154" i="28"/>
  <c r="C149" i="23"/>
  <c r="C149" i="26"/>
  <c r="C160" i="21"/>
  <c r="L193" i="39" l="1"/>
  <c r="C205" i="32"/>
  <c r="L205" i="39" s="1"/>
  <c r="C196" i="32"/>
  <c r="L196" i="39" s="1"/>
  <c r="L184" i="39"/>
  <c r="L194" i="39"/>
  <c r="C206" i="32"/>
  <c r="L206" i="39" s="1"/>
  <c r="C204" i="32"/>
  <c r="L204" i="39" s="1"/>
  <c r="L192" i="39"/>
  <c r="C203" i="32"/>
  <c r="L203" i="39" s="1"/>
  <c r="L191" i="39"/>
  <c r="L185" i="39"/>
  <c r="C197" i="32"/>
  <c r="L197" i="39" s="1"/>
  <c r="L183" i="39"/>
  <c r="C195" i="32"/>
  <c r="L195" i="39" s="1"/>
  <c r="C201" i="32"/>
  <c r="L201" i="39" s="1"/>
  <c r="L189" i="39"/>
  <c r="L190" i="39"/>
  <c r="C202" i="32"/>
  <c r="L202" i="39" s="1"/>
  <c r="C199" i="32"/>
  <c r="L199" i="39" s="1"/>
  <c r="L187" i="39"/>
  <c r="C200" i="32"/>
  <c r="L200" i="39" s="1"/>
  <c r="L188" i="39"/>
  <c r="L186" i="39"/>
  <c r="C198" i="32"/>
  <c r="L198" i="39" s="1"/>
  <c r="E157" i="19"/>
  <c r="E156" i="39"/>
  <c r="E156" i="27"/>
  <c r="E156" i="22"/>
  <c r="E156" i="28"/>
  <c r="E156" i="23"/>
  <c r="E156" i="26"/>
  <c r="E156" i="32"/>
  <c r="N156" i="39" s="1"/>
  <c r="E156" i="21"/>
  <c r="E156" i="33"/>
  <c r="W156" i="39" s="1"/>
  <c r="E156" i="20"/>
  <c r="C162" i="20"/>
  <c r="C162" i="27"/>
  <c r="C166" i="22"/>
  <c r="C164" i="22"/>
  <c r="C159" i="27"/>
  <c r="C162" i="26"/>
  <c r="C166" i="20"/>
  <c r="C160" i="22"/>
  <c r="C162" i="21"/>
  <c r="C163" i="26"/>
  <c r="C167" i="27"/>
  <c r="C170" i="33"/>
  <c r="U170" i="39" s="1"/>
  <c r="C161" i="33"/>
  <c r="U161" i="39" s="1"/>
  <c r="C163" i="33"/>
  <c r="U163" i="39" s="1"/>
  <c r="C165" i="33"/>
  <c r="U165" i="39" s="1"/>
  <c r="C162" i="22"/>
  <c r="C168" i="27"/>
  <c r="C162" i="28"/>
  <c r="C168" i="33"/>
  <c r="U168" i="39" s="1"/>
  <c r="C166" i="33"/>
  <c r="U166" i="39" s="1"/>
  <c r="C162" i="33"/>
  <c r="U162" i="39" s="1"/>
  <c r="C164" i="33"/>
  <c r="U164" i="39" s="1"/>
  <c r="C168" i="23"/>
  <c r="C163" i="28"/>
  <c r="C163" i="27"/>
  <c r="C160" i="33"/>
  <c r="U160" i="39" s="1"/>
  <c r="C168" i="21"/>
  <c r="C163" i="22"/>
  <c r="C163" i="21"/>
  <c r="C159" i="23"/>
  <c r="C169" i="33"/>
  <c r="U169" i="39" s="1"/>
  <c r="C167" i="33"/>
  <c r="U167" i="39" s="1"/>
  <c r="C160" i="23"/>
  <c r="C180" i="19"/>
  <c r="C180" i="21" s="1"/>
  <c r="C159" i="33"/>
  <c r="U159" i="39" s="1"/>
  <c r="C167" i="23"/>
  <c r="C169" i="26"/>
  <c r="C178" i="19"/>
  <c r="C178" i="39" s="1"/>
  <c r="C164" i="26"/>
  <c r="C170" i="21"/>
  <c r="C168" i="20"/>
  <c r="C159" i="28"/>
  <c r="C159" i="21"/>
  <c r="C159" i="26"/>
  <c r="C170" i="28"/>
  <c r="C170" i="39"/>
  <c r="C164" i="23"/>
  <c r="C164" i="39"/>
  <c r="C167" i="22"/>
  <c r="C166" i="27"/>
  <c r="C166" i="28"/>
  <c r="C168" i="26"/>
  <c r="C168" i="39"/>
  <c r="C163" i="23"/>
  <c r="C163" i="39"/>
  <c r="C159" i="22"/>
  <c r="C159" i="39"/>
  <c r="C180" i="26"/>
  <c r="C170" i="26"/>
  <c r="C160" i="20"/>
  <c r="C160" i="39"/>
  <c r="C166" i="21"/>
  <c r="C166" i="39"/>
  <c r="C167" i="20"/>
  <c r="C167" i="39"/>
  <c r="C160" i="28"/>
  <c r="C160" i="27"/>
  <c r="C167" i="26"/>
  <c r="C167" i="21"/>
  <c r="C164" i="27"/>
  <c r="C164" i="21"/>
  <c r="C166" i="23"/>
  <c r="C168" i="22"/>
  <c r="C161" i="27"/>
  <c r="C161" i="39"/>
  <c r="C169" i="22"/>
  <c r="C169" i="39"/>
  <c r="C165" i="23"/>
  <c r="C165" i="39"/>
  <c r="C175" i="19"/>
  <c r="C171" i="19"/>
  <c r="C171" i="26" s="1"/>
  <c r="C165" i="21"/>
  <c r="C179" i="19"/>
  <c r="C179" i="28" s="1"/>
  <c r="C182" i="19"/>
  <c r="C182" i="28" s="1"/>
  <c r="C161" i="23"/>
  <c r="C165" i="27"/>
  <c r="C169" i="28"/>
  <c r="C165" i="28"/>
  <c r="C164" i="20"/>
  <c r="C161" i="20"/>
  <c r="C170" i="20"/>
  <c r="C169" i="23"/>
  <c r="C169" i="21"/>
  <c r="C161" i="21"/>
  <c r="C165" i="26"/>
  <c r="C169" i="20"/>
  <c r="C161" i="28"/>
  <c r="C181" i="19"/>
  <c r="C181" i="26" s="1"/>
  <c r="C174" i="19"/>
  <c r="C174" i="28" s="1"/>
  <c r="C177" i="19"/>
  <c r="C173" i="19"/>
  <c r="C173" i="28" s="1"/>
  <c r="C170" i="23"/>
  <c r="C161" i="26"/>
  <c r="C176" i="19"/>
  <c r="C176" i="23" s="1"/>
  <c r="C172" i="19"/>
  <c r="C172" i="39" s="1"/>
  <c r="C165" i="22"/>
  <c r="C170" i="27"/>
  <c r="C172" i="20" l="1"/>
  <c r="E158" i="19"/>
  <c r="E157" i="39"/>
  <c r="E157" i="27"/>
  <c r="E157" i="26"/>
  <c r="E157" i="28"/>
  <c r="E157" i="23"/>
  <c r="E157" i="22"/>
  <c r="E157" i="32"/>
  <c r="N157" i="39" s="1"/>
  <c r="E157" i="21"/>
  <c r="E157" i="33"/>
  <c r="W157" i="39" s="1"/>
  <c r="E157" i="20"/>
  <c r="C178" i="20"/>
  <c r="C180" i="28"/>
  <c r="C178" i="23"/>
  <c r="C178" i="21"/>
  <c r="C179" i="21"/>
  <c r="C180" i="39"/>
  <c r="C180" i="20"/>
  <c r="C180" i="27"/>
  <c r="C171" i="22"/>
  <c r="C172" i="26"/>
  <c r="C181" i="22"/>
  <c r="C172" i="27"/>
  <c r="C179" i="33"/>
  <c r="U179" i="39" s="1"/>
  <c r="C181" i="23"/>
  <c r="C173" i="26"/>
  <c r="C181" i="27"/>
  <c r="C178" i="33"/>
  <c r="U178" i="39" s="1"/>
  <c r="C172" i="33"/>
  <c r="U172" i="39" s="1"/>
  <c r="C182" i="33"/>
  <c r="U182" i="39" s="1"/>
  <c r="C171" i="20"/>
  <c r="C178" i="28"/>
  <c r="C178" i="27"/>
  <c r="C180" i="23"/>
  <c r="C180" i="22"/>
  <c r="C179" i="26"/>
  <c r="C174" i="33"/>
  <c r="U174" i="39" s="1"/>
  <c r="C178" i="22"/>
  <c r="C173" i="20"/>
  <c r="C177" i="33"/>
  <c r="U177" i="39" s="1"/>
  <c r="C173" i="27"/>
  <c r="C171" i="23"/>
  <c r="C171" i="27"/>
  <c r="C173" i="22"/>
  <c r="C171" i="28"/>
  <c r="C173" i="21"/>
  <c r="C173" i="33"/>
  <c r="U173" i="39" s="1"/>
  <c r="C172" i="22"/>
  <c r="C181" i="21"/>
  <c r="C171" i="33"/>
  <c r="U171" i="39" s="1"/>
  <c r="C176" i="33"/>
  <c r="U176" i="39" s="1"/>
  <c r="C181" i="33"/>
  <c r="U181" i="39" s="1"/>
  <c r="C185" i="19"/>
  <c r="C185" i="39" s="1"/>
  <c r="C175" i="33"/>
  <c r="U175" i="39" s="1"/>
  <c r="C180" i="33"/>
  <c r="U180" i="39" s="1"/>
  <c r="C179" i="22"/>
  <c r="C182" i="21"/>
  <c r="C178" i="26"/>
  <c r="C176" i="20"/>
  <c r="C176" i="39"/>
  <c r="C177" i="20"/>
  <c r="C177" i="39"/>
  <c r="C182" i="20"/>
  <c r="C182" i="39"/>
  <c r="C175" i="23"/>
  <c r="C175" i="39"/>
  <c r="C186" i="19"/>
  <c r="C186" i="20" s="1"/>
  <c r="C176" i="21"/>
  <c r="C172" i="28"/>
  <c r="C174" i="20"/>
  <c r="C174" i="39"/>
  <c r="C179" i="23"/>
  <c r="C179" i="39"/>
  <c r="C181" i="20"/>
  <c r="C181" i="39"/>
  <c r="C190" i="19"/>
  <c r="C190" i="22" s="1"/>
  <c r="C181" i="28"/>
  <c r="C175" i="27"/>
  <c r="C188" i="19"/>
  <c r="C188" i="28" s="1"/>
  <c r="C176" i="26"/>
  <c r="C173" i="23"/>
  <c r="C173" i="39"/>
  <c r="C171" i="21"/>
  <c r="C171" i="39"/>
  <c r="C175" i="21"/>
  <c r="C175" i="26"/>
  <c r="C176" i="28"/>
  <c r="C177" i="23"/>
  <c r="C175" i="20"/>
  <c r="C192" i="19"/>
  <c r="C192" i="23" s="1"/>
  <c r="C177" i="28"/>
  <c r="C174" i="21"/>
  <c r="C179" i="27"/>
  <c r="C177" i="22"/>
  <c r="C187" i="19"/>
  <c r="C187" i="26" s="1"/>
  <c r="C194" i="19"/>
  <c r="C194" i="28" s="1"/>
  <c r="C176" i="22"/>
  <c r="C179" i="20"/>
  <c r="C184" i="19"/>
  <c r="C184" i="39" s="1"/>
  <c r="C182" i="26"/>
  <c r="C174" i="26"/>
  <c r="C183" i="19"/>
  <c r="C183" i="28" s="1"/>
  <c r="C182" i="27"/>
  <c r="C175" i="28"/>
  <c r="C177" i="27"/>
  <c r="C176" i="27"/>
  <c r="C174" i="23"/>
  <c r="C182" i="23"/>
  <c r="C174" i="27"/>
  <c r="C191" i="19"/>
  <c r="C191" i="39" s="1"/>
  <c r="C177" i="21"/>
  <c r="C182" i="22"/>
  <c r="C177" i="26"/>
  <c r="C189" i="19"/>
  <c r="C189" i="21" s="1"/>
  <c r="C193" i="19"/>
  <c r="C193" i="39" s="1"/>
  <c r="C174" i="22"/>
  <c r="C175" i="22"/>
  <c r="C172" i="21"/>
  <c r="C172" i="23"/>
  <c r="H79" i="9"/>
  <c r="C185" i="20" l="1"/>
  <c r="C186" i="27"/>
  <c r="E158" i="39"/>
  <c r="E158" i="28"/>
  <c r="E158" i="23"/>
  <c r="E158" i="27"/>
  <c r="E158" i="26"/>
  <c r="E158" i="22"/>
  <c r="E158" i="32"/>
  <c r="N158" i="39" s="1"/>
  <c r="E158" i="33"/>
  <c r="W158" i="39" s="1"/>
  <c r="E158" i="21"/>
  <c r="E158" i="20"/>
  <c r="C185" i="21"/>
  <c r="C192" i="27"/>
  <c r="C190" i="21"/>
  <c r="C185" i="27"/>
  <c r="C194" i="20"/>
  <c r="C186" i="28"/>
  <c r="C185" i="23"/>
  <c r="C190" i="26"/>
  <c r="C194" i="33"/>
  <c r="U194" i="39" s="1"/>
  <c r="C192" i="26"/>
  <c r="C185" i="26"/>
  <c r="C192" i="28"/>
  <c r="C185" i="22"/>
  <c r="C186" i="26"/>
  <c r="C191" i="22"/>
  <c r="C188" i="23"/>
  <c r="C185" i="33"/>
  <c r="U185" i="39" s="1"/>
  <c r="C185" i="28"/>
  <c r="C192" i="20"/>
  <c r="C186" i="21"/>
  <c r="C186" i="23"/>
  <c r="C192" i="21"/>
  <c r="C190" i="27"/>
  <c r="C189" i="33"/>
  <c r="U189" i="39" s="1"/>
  <c r="C193" i="33"/>
  <c r="U193" i="39" s="1"/>
  <c r="C184" i="33"/>
  <c r="U184" i="39" s="1"/>
  <c r="C191" i="26"/>
  <c r="C187" i="33"/>
  <c r="U187" i="39" s="1"/>
  <c r="C188" i="27"/>
  <c r="C190" i="33"/>
  <c r="U190" i="39" s="1"/>
  <c r="C184" i="27"/>
  <c r="C183" i="33"/>
  <c r="U183" i="39" s="1"/>
  <c r="C186" i="33"/>
  <c r="U186" i="39" s="1"/>
  <c r="C192" i="33"/>
  <c r="U192" i="39" s="1"/>
  <c r="C191" i="33"/>
  <c r="U191" i="39" s="1"/>
  <c r="C193" i="20"/>
  <c r="C188" i="33"/>
  <c r="U188" i="39" s="1"/>
  <c r="C183" i="27"/>
  <c r="C187" i="22"/>
  <c r="C183" i="20"/>
  <c r="C188" i="26"/>
  <c r="C189" i="27"/>
  <c r="C189" i="28"/>
  <c r="C187" i="21"/>
  <c r="C183" i="26"/>
  <c r="C201" i="19"/>
  <c r="C201" i="27" s="1"/>
  <c r="C189" i="23"/>
  <c r="C184" i="28"/>
  <c r="C184" i="22"/>
  <c r="C188" i="22"/>
  <c r="C183" i="23"/>
  <c r="C187" i="28"/>
  <c r="C188" i="20"/>
  <c r="C187" i="23"/>
  <c r="C191" i="21"/>
  <c r="C184" i="20"/>
  <c r="C183" i="21"/>
  <c r="C187" i="20"/>
  <c r="C191" i="20"/>
  <c r="C184" i="21"/>
  <c r="C194" i="26"/>
  <c r="C194" i="39"/>
  <c r="C202" i="19"/>
  <c r="C202" i="21" s="1"/>
  <c r="C190" i="23"/>
  <c r="C193" i="28"/>
  <c r="C189" i="20"/>
  <c r="C189" i="39"/>
  <c r="C183" i="22"/>
  <c r="C183" i="39"/>
  <c r="C187" i="27"/>
  <c r="C187" i="39"/>
  <c r="C188" i="21"/>
  <c r="C188" i="39"/>
  <c r="C190" i="20"/>
  <c r="C190" i="39"/>
  <c r="C198" i="19"/>
  <c r="C198" i="21" s="1"/>
  <c r="C199" i="19"/>
  <c r="C195" i="19"/>
  <c r="C195" i="20" s="1"/>
  <c r="C190" i="28"/>
  <c r="C189" i="22"/>
  <c r="C194" i="23"/>
  <c r="C192" i="22"/>
  <c r="C192" i="39"/>
  <c r="C186" i="22"/>
  <c r="C186" i="39"/>
  <c r="C193" i="23"/>
  <c r="C193" i="22"/>
  <c r="C196" i="19"/>
  <c r="C196" i="22" s="1"/>
  <c r="C203" i="19"/>
  <c r="C203" i="28" s="1"/>
  <c r="C200" i="19"/>
  <c r="C200" i="23" s="1"/>
  <c r="C197" i="19"/>
  <c r="C197" i="26" s="1"/>
  <c r="C193" i="21"/>
  <c r="C194" i="21"/>
  <c r="C193" i="26"/>
  <c r="C191" i="28"/>
  <c r="C191" i="27"/>
  <c r="C184" i="26"/>
  <c r="C184" i="23"/>
  <c r="C204" i="19"/>
  <c r="C204" i="21" s="1"/>
  <c r="C205" i="19"/>
  <c r="C205" i="20" s="1"/>
  <c r="C206" i="19"/>
  <c r="C206" i="39" s="1"/>
  <c r="C191" i="23"/>
  <c r="C193" i="27"/>
  <c r="C189" i="26"/>
  <c r="C194" i="22"/>
  <c r="C194" i="27"/>
  <c r="C201" i="20" l="1"/>
  <c r="C197" i="27"/>
  <c r="E160" i="19"/>
  <c r="E159" i="39"/>
  <c r="E159" i="28"/>
  <c r="E159" i="23"/>
  <c r="E159" i="27"/>
  <c r="E159" i="26"/>
  <c r="E159" i="22"/>
  <c r="E159" i="32"/>
  <c r="N159" i="39" s="1"/>
  <c r="E159" i="20"/>
  <c r="E159" i="33"/>
  <c r="W159" i="39" s="1"/>
  <c r="E159" i="21"/>
  <c r="C200" i="33"/>
  <c r="U200" i="39" s="1"/>
  <c r="C202" i="27"/>
  <c r="C195" i="26"/>
  <c r="C195" i="28"/>
  <c r="C197" i="28"/>
  <c r="C195" i="23"/>
  <c r="C199" i="33"/>
  <c r="U199" i="39" s="1"/>
  <c r="C195" i="22"/>
  <c r="C206" i="33"/>
  <c r="U206" i="39" s="1"/>
  <c r="C201" i="33"/>
  <c r="U201" i="39" s="1"/>
  <c r="C195" i="33"/>
  <c r="U195" i="39" s="1"/>
  <c r="C196" i="26"/>
  <c r="C197" i="33"/>
  <c r="U197" i="39" s="1"/>
  <c r="C196" i="23"/>
  <c r="C197" i="23"/>
  <c r="C198" i="28"/>
  <c r="C202" i="28"/>
  <c r="C204" i="33"/>
  <c r="U204" i="39" s="1"/>
  <c r="C205" i="22"/>
  <c r="C196" i="33"/>
  <c r="U196" i="39" s="1"/>
  <c r="C202" i="33"/>
  <c r="U202" i="39" s="1"/>
  <c r="C198" i="33"/>
  <c r="U198" i="39" s="1"/>
  <c r="C205" i="33"/>
  <c r="U205" i="39" s="1"/>
  <c r="C203" i="33"/>
  <c r="U203" i="39" s="1"/>
  <c r="C195" i="21"/>
  <c r="C201" i="22"/>
  <c r="C201" i="21"/>
  <c r="C201" i="39"/>
  <c r="C196" i="27"/>
  <c r="C196" i="28"/>
  <c r="C205" i="23"/>
  <c r="C205" i="27"/>
  <c r="C201" i="28"/>
  <c r="C202" i="26"/>
  <c r="C205" i="28"/>
  <c r="C197" i="21"/>
  <c r="C202" i="20"/>
  <c r="C197" i="22"/>
  <c r="C201" i="23"/>
  <c r="C202" i="23"/>
  <c r="C205" i="26"/>
  <c r="C203" i="26"/>
  <c r="C201" i="26"/>
  <c r="C199" i="23"/>
  <c r="C199" i="39"/>
  <c r="C196" i="20"/>
  <c r="C196" i="39"/>
  <c r="C198" i="22"/>
  <c r="C198" i="39"/>
  <c r="C199" i="21"/>
  <c r="C199" i="27"/>
  <c r="C199" i="28"/>
  <c r="C199" i="22"/>
  <c r="C199" i="20"/>
  <c r="C206" i="20"/>
  <c r="C206" i="21"/>
  <c r="C198" i="23"/>
  <c r="C198" i="20"/>
  <c r="C205" i="21"/>
  <c r="C205" i="39"/>
  <c r="C197" i="20"/>
  <c r="C197" i="39"/>
  <c r="C202" i="22"/>
  <c r="C202" i="39"/>
  <c r="C203" i="23"/>
  <c r="C203" i="39"/>
  <c r="C196" i="21"/>
  <c r="C199" i="26"/>
  <c r="C198" i="27"/>
  <c r="C198" i="26"/>
  <c r="C206" i="23"/>
  <c r="C204" i="22"/>
  <c r="C204" i="39"/>
  <c r="C200" i="21"/>
  <c r="C200" i="39"/>
  <c r="C195" i="27"/>
  <c r="C195" i="39"/>
  <c r="C204" i="20"/>
  <c r="C204" i="27"/>
  <c r="C204" i="26"/>
  <c r="C204" i="23"/>
  <c r="C203" i="20"/>
  <c r="C200" i="28"/>
  <c r="C203" i="21"/>
  <c r="C206" i="26"/>
  <c r="C206" i="27"/>
  <c r="C200" i="26"/>
  <c r="C200" i="27"/>
  <c r="C200" i="22"/>
  <c r="C204" i="28"/>
  <c r="C203" i="22"/>
  <c r="C200" i="20"/>
  <c r="C203" i="27"/>
  <c r="C206" i="28"/>
  <c r="C206" i="22"/>
  <c r="E161" i="19" l="1"/>
  <c r="E160" i="39"/>
  <c r="E160" i="27"/>
  <c r="E160" i="28"/>
  <c r="E160" i="23"/>
  <c r="E160" i="26"/>
  <c r="E160" i="22"/>
  <c r="E160" i="32"/>
  <c r="N160" i="39" s="1"/>
  <c r="E160" i="20"/>
  <c r="E160" i="33"/>
  <c r="W160" i="39" s="1"/>
  <c r="E160" i="21"/>
  <c r="E161" i="39" l="1"/>
  <c r="E161" i="27"/>
  <c r="E161" i="26"/>
  <c r="E161" i="28"/>
  <c r="E161" i="23"/>
  <c r="E161" i="22"/>
  <c r="E161" i="32"/>
  <c r="N161" i="39" s="1"/>
  <c r="E161" i="33"/>
  <c r="W161" i="39" s="1"/>
  <c r="E161" i="21"/>
  <c r="E161" i="20"/>
  <c r="E163" i="19" l="1"/>
  <c r="E162" i="39"/>
  <c r="E162" i="28"/>
  <c r="E162" i="23"/>
  <c r="E162" i="27"/>
  <c r="E162" i="26"/>
  <c r="E162" i="22"/>
  <c r="E162" i="32"/>
  <c r="N162" i="39" s="1"/>
  <c r="E162" i="21"/>
  <c r="E162" i="33"/>
  <c r="W162" i="39" s="1"/>
  <c r="E162" i="20"/>
  <c r="E164" i="19" l="1"/>
  <c r="E163" i="39"/>
  <c r="E163" i="28"/>
  <c r="E163" i="23"/>
  <c r="E163" i="27"/>
  <c r="E163" i="26"/>
  <c r="E163" i="22"/>
  <c r="E163" i="32"/>
  <c r="N163" i="39" s="1"/>
  <c r="E163" i="33"/>
  <c r="W163" i="39" s="1"/>
  <c r="E163" i="21"/>
  <c r="E163" i="20"/>
  <c r="E164" i="39" l="1"/>
  <c r="E164" i="27"/>
  <c r="E164" i="22"/>
  <c r="E164" i="23"/>
  <c r="E164" i="26"/>
  <c r="E164" i="28"/>
  <c r="E164" i="32"/>
  <c r="N164" i="39" s="1"/>
  <c r="E164" i="20"/>
  <c r="E164" i="33"/>
  <c r="W164" i="39" s="1"/>
  <c r="E164" i="21"/>
  <c r="E166" i="19" l="1"/>
  <c r="E165" i="39"/>
  <c r="E165" i="27"/>
  <c r="E165" i="26"/>
  <c r="E165" i="28"/>
  <c r="E165" i="23"/>
  <c r="E165" i="22"/>
  <c r="E165" i="32"/>
  <c r="N165" i="39" s="1"/>
  <c r="E165" i="33"/>
  <c r="W165" i="39" s="1"/>
  <c r="E165" i="20"/>
  <c r="E165" i="21"/>
  <c r="E167" i="19" l="1"/>
  <c r="E166" i="39"/>
  <c r="E166" i="28"/>
  <c r="E166" i="23"/>
  <c r="E166" i="26"/>
  <c r="E166" i="22"/>
  <c r="E166" i="27"/>
  <c r="E166" i="32"/>
  <c r="N166" i="39" s="1"/>
  <c r="E166" i="21"/>
  <c r="E166" i="20"/>
  <c r="E166" i="33"/>
  <c r="W166" i="39" s="1"/>
  <c r="E167" i="39" l="1"/>
  <c r="E167" i="28"/>
  <c r="E167" i="23"/>
  <c r="E167" i="27"/>
  <c r="E167" i="26"/>
  <c r="E167" i="22"/>
  <c r="E167" i="32"/>
  <c r="N167" i="39" s="1"/>
  <c r="E167" i="21"/>
  <c r="E167" i="33"/>
  <c r="W167" i="39" s="1"/>
  <c r="E167" i="20"/>
  <c r="E169" i="19" l="1"/>
  <c r="E168" i="39"/>
  <c r="E168" i="27"/>
  <c r="E168" i="26"/>
  <c r="E168" i="22"/>
  <c r="E168" i="28"/>
  <c r="E168" i="23"/>
  <c r="E168" i="32"/>
  <c r="N168" i="39" s="1"/>
  <c r="E168" i="33"/>
  <c r="W168" i="39" s="1"/>
  <c r="E168" i="21"/>
  <c r="E168" i="20"/>
  <c r="E170" i="19" l="1"/>
  <c r="E169" i="39"/>
  <c r="E169" i="27"/>
  <c r="E169" i="26"/>
  <c r="E169" i="28"/>
  <c r="E169" i="23"/>
  <c r="E169" i="22"/>
  <c r="E169" i="32"/>
  <c r="N169" i="39" s="1"/>
  <c r="E169" i="33"/>
  <c r="W169" i="39" s="1"/>
  <c r="E169" i="21"/>
  <c r="E169" i="20"/>
  <c r="E170" i="39" l="1"/>
  <c r="E170" i="28"/>
  <c r="E170" i="23"/>
  <c r="E170" i="27"/>
  <c r="E170" i="22"/>
  <c r="E170" i="26"/>
  <c r="E170" i="32"/>
  <c r="N170" i="39" s="1"/>
  <c r="E170" i="20"/>
  <c r="E170" i="33"/>
  <c r="W170" i="39" s="1"/>
  <c r="E170" i="21"/>
  <c r="E172" i="19" l="1"/>
  <c r="E171" i="39"/>
  <c r="E171" i="28"/>
  <c r="E171" i="23"/>
  <c r="E171" i="27"/>
  <c r="E171" i="26"/>
  <c r="E171" i="22"/>
  <c r="E171" i="32"/>
  <c r="N171" i="39" s="1"/>
  <c r="E171" i="21"/>
  <c r="E171" i="33"/>
  <c r="W171" i="39" s="1"/>
  <c r="E171" i="20"/>
  <c r="E173" i="19" l="1"/>
  <c r="E172" i="39"/>
  <c r="E172" i="27"/>
  <c r="E172" i="22"/>
  <c r="E172" i="28"/>
  <c r="E172" i="23"/>
  <c r="E172" i="26"/>
  <c r="E172" i="32"/>
  <c r="N172" i="39" s="1"/>
  <c r="E172" i="20"/>
  <c r="E172" i="33"/>
  <c r="W172" i="39" s="1"/>
  <c r="E172" i="21"/>
  <c r="E173" i="39" l="1"/>
  <c r="E173" i="27"/>
  <c r="E173" i="26"/>
  <c r="E173" i="28"/>
  <c r="E173" i="23"/>
  <c r="E173" i="22"/>
  <c r="E173" i="32"/>
  <c r="N173" i="39" s="1"/>
  <c r="E173" i="21"/>
  <c r="E173" i="20"/>
  <c r="E173" i="33"/>
  <c r="W173" i="39" s="1"/>
  <c r="E175" i="19" l="1"/>
  <c r="E174" i="39"/>
  <c r="E174" i="28"/>
  <c r="E174" i="23"/>
  <c r="E174" i="27"/>
  <c r="E174" i="26"/>
  <c r="E174" i="22"/>
  <c r="E174" i="32"/>
  <c r="N174" i="39" s="1"/>
  <c r="E174" i="21"/>
  <c r="E174" i="20"/>
  <c r="E174" i="33"/>
  <c r="W174" i="39" s="1"/>
  <c r="E176" i="19" l="1"/>
  <c r="E175" i="39"/>
  <c r="E175" i="28"/>
  <c r="E175" i="23"/>
  <c r="E175" i="27"/>
  <c r="E175" i="26"/>
  <c r="E175" i="22"/>
  <c r="E175" i="32"/>
  <c r="N175" i="39" s="1"/>
  <c r="E175" i="21"/>
  <c r="E175" i="33"/>
  <c r="W175" i="39" s="1"/>
  <c r="E175" i="20"/>
  <c r="E176" i="39" l="1"/>
  <c r="E176" i="27"/>
  <c r="E176" i="28"/>
  <c r="E176" i="23"/>
  <c r="E176" i="26"/>
  <c r="E176" i="22"/>
  <c r="E176" i="32"/>
  <c r="N176" i="39" s="1"/>
  <c r="E176" i="21"/>
  <c r="E176" i="20"/>
  <c r="E176" i="33"/>
  <c r="W176" i="39" s="1"/>
  <c r="E178" i="19" l="1"/>
  <c r="E177" i="39"/>
  <c r="E177" i="27"/>
  <c r="E177" i="26"/>
  <c r="E177" i="28"/>
  <c r="E177" i="23"/>
  <c r="E177" i="22"/>
  <c r="E177" i="32"/>
  <c r="N177" i="39" s="1"/>
  <c r="E177" i="21"/>
  <c r="E177" i="20"/>
  <c r="E177" i="33"/>
  <c r="W177" i="39" s="1"/>
  <c r="E179" i="19" l="1"/>
  <c r="E178" i="39"/>
  <c r="E178" i="28"/>
  <c r="E178" i="23"/>
  <c r="E178" i="27"/>
  <c r="E178" i="26"/>
  <c r="E178" i="22"/>
  <c r="E178" i="32"/>
  <c r="N178" i="39" s="1"/>
  <c r="E178" i="21"/>
  <c r="E178" i="20"/>
  <c r="E178" i="33"/>
  <c r="W178" i="39" s="1"/>
  <c r="V58" i="11"/>
  <c r="V57" i="11"/>
  <c r="V56" i="11"/>
  <c r="V7" i="11"/>
  <c r="E179" i="39" l="1"/>
  <c r="E179" i="28"/>
  <c r="E179" i="23"/>
  <c r="E179" i="27"/>
  <c r="E179" i="26"/>
  <c r="E179" i="22"/>
  <c r="E179" i="32"/>
  <c r="N179" i="39" s="1"/>
  <c r="E179" i="20"/>
  <c r="E179" i="33"/>
  <c r="W179" i="39" s="1"/>
  <c r="E179" i="21"/>
  <c r="V52" i="11"/>
  <c r="V62" i="11" s="1"/>
  <c r="V51" i="11"/>
  <c r="V61" i="11" s="1"/>
  <c r="V63" i="11"/>
  <c r="E181" i="19" l="1"/>
  <c r="E180" i="39"/>
  <c r="E180" i="27"/>
  <c r="E180" i="22"/>
  <c r="E180" i="26"/>
  <c r="E180" i="28"/>
  <c r="E180" i="23"/>
  <c r="E180" i="32"/>
  <c r="N180" i="39" s="1"/>
  <c r="E180" i="20"/>
  <c r="E180" i="33"/>
  <c r="W180" i="39" s="1"/>
  <c r="E180" i="21"/>
  <c r="H3" i="32"/>
  <c r="Q3" i="39" s="1"/>
  <c r="E182" i="19" l="1"/>
  <c r="E181" i="39"/>
  <c r="E181" i="27"/>
  <c r="E181" i="26"/>
  <c r="E181" i="28"/>
  <c r="E181" i="23"/>
  <c r="E181" i="22"/>
  <c r="E181" i="32"/>
  <c r="N181" i="39" s="1"/>
  <c r="E181" i="21"/>
  <c r="E181" i="20"/>
  <c r="E181" i="33"/>
  <c r="W181" i="39" s="1"/>
  <c r="I3" i="32"/>
  <c r="J3" i="32" s="1"/>
  <c r="H210" i="32"/>
  <c r="M210" i="32" s="1"/>
  <c r="O210" i="32" s="1"/>
  <c r="Q210" i="32" l="1"/>
  <c r="E182" i="39"/>
  <c r="E182" i="28"/>
  <c r="E182" i="23"/>
  <c r="E182" i="26"/>
  <c r="E182" i="22"/>
  <c r="E182" i="27"/>
  <c r="E182" i="32"/>
  <c r="N182" i="39" s="1"/>
  <c r="E182" i="20"/>
  <c r="E182" i="33"/>
  <c r="W182" i="39" s="1"/>
  <c r="E182" i="21"/>
  <c r="I210" i="32"/>
  <c r="J210" i="32" s="1"/>
  <c r="H210" i="19"/>
  <c r="C7" i="9" s="1"/>
  <c r="H211" i="19"/>
  <c r="C8" i="9" s="1"/>
  <c r="H212" i="19"/>
  <c r="C9" i="9" s="1"/>
  <c r="H213" i="19"/>
  <c r="C10" i="9" s="1"/>
  <c r="H214" i="19"/>
  <c r="C11" i="9" s="1"/>
  <c r="H215" i="19"/>
  <c r="C12" i="9" s="1"/>
  <c r="H216" i="19"/>
  <c r="C13" i="9" s="1"/>
  <c r="H217" i="19"/>
  <c r="C14" i="9" s="1"/>
  <c r="E26" i="34" l="1"/>
  <c r="S210" i="32"/>
  <c r="M217" i="19"/>
  <c r="M216" i="19"/>
  <c r="M214" i="19"/>
  <c r="M210" i="19"/>
  <c r="M213" i="19"/>
  <c r="M212" i="19"/>
  <c r="M215" i="19"/>
  <c r="M211" i="19"/>
  <c r="E184" i="19"/>
  <c r="E183" i="39"/>
  <c r="E183" i="28"/>
  <c r="E183" i="23"/>
  <c r="E183" i="27"/>
  <c r="E183" i="26"/>
  <c r="E183" i="22"/>
  <c r="E183" i="32"/>
  <c r="N183" i="39" s="1"/>
  <c r="E183" i="33"/>
  <c r="W183" i="39" s="1"/>
  <c r="E183" i="21"/>
  <c r="E183" i="20"/>
  <c r="F43" i="18"/>
  <c r="G9" i="18"/>
  <c r="G8" i="18"/>
  <c r="G7" i="18"/>
  <c r="G6" i="18"/>
  <c r="G5" i="18"/>
  <c r="G4" i="18"/>
  <c r="G3" i="18"/>
  <c r="G2" i="18"/>
  <c r="O211" i="19" l="1"/>
  <c r="O212" i="19"/>
  <c r="O210" i="19"/>
  <c r="O216" i="19"/>
  <c r="O215" i="19"/>
  <c r="O213" i="19"/>
  <c r="O214" i="19"/>
  <c r="O217" i="19"/>
  <c r="F167" i="37"/>
  <c r="E185" i="19"/>
  <c r="E184" i="39"/>
  <c r="E184" i="27"/>
  <c r="E184" i="26"/>
  <c r="E184" i="22"/>
  <c r="E184" i="28"/>
  <c r="E184" i="23"/>
  <c r="E184" i="32"/>
  <c r="N184" i="39" s="1"/>
  <c r="E184" i="21"/>
  <c r="E184" i="20"/>
  <c r="E184" i="33"/>
  <c r="W184" i="39" s="1"/>
  <c r="Q213" i="19" l="1"/>
  <c r="Q210" i="19"/>
  <c r="Q214" i="19"/>
  <c r="Q215" i="19"/>
  <c r="Q216" i="19"/>
  <c r="Q212" i="19"/>
  <c r="Q217" i="19"/>
  <c r="Q211" i="19"/>
  <c r="E185" i="39"/>
  <c r="E185" i="27"/>
  <c r="E185" i="26"/>
  <c r="E185" i="28"/>
  <c r="E185" i="23"/>
  <c r="E185" i="22"/>
  <c r="E185" i="32"/>
  <c r="N185" i="39" s="1"/>
  <c r="E185" i="33"/>
  <c r="W185" i="39" s="1"/>
  <c r="E185" i="21"/>
  <c r="E185" i="20"/>
  <c r="D13" i="34" l="1"/>
  <c r="H6" i="38" s="1"/>
  <c r="H6" i="11" s="1"/>
  <c r="S216" i="19"/>
  <c r="U216" i="19"/>
  <c r="D10" i="34"/>
  <c r="E6" i="38" s="1"/>
  <c r="E6" i="11" s="1"/>
  <c r="S213" i="19"/>
  <c r="U213" i="19"/>
  <c r="D8" i="34"/>
  <c r="C6" i="38" s="1"/>
  <c r="C6" i="11" s="1"/>
  <c r="S211" i="19"/>
  <c r="U211" i="19"/>
  <c r="D12" i="34"/>
  <c r="G6" i="38" s="1"/>
  <c r="S215" i="19"/>
  <c r="U215" i="19"/>
  <c r="D14" i="34"/>
  <c r="I6" i="38" s="1"/>
  <c r="S217" i="19"/>
  <c r="U217" i="19"/>
  <c r="D11" i="34"/>
  <c r="F6" i="38" s="1"/>
  <c r="F6" i="11" s="1"/>
  <c r="S214" i="19"/>
  <c r="U214" i="19"/>
  <c r="D9" i="34"/>
  <c r="D6" i="38" s="1"/>
  <c r="D6" i="11" s="1"/>
  <c r="S212" i="19"/>
  <c r="U212" i="19"/>
  <c r="D7" i="34"/>
  <c r="B6" i="38" s="1"/>
  <c r="S210" i="19"/>
  <c r="U210" i="19"/>
  <c r="D29" i="34"/>
  <c r="E69" i="38"/>
  <c r="D26" i="34"/>
  <c r="D32" i="34"/>
  <c r="D33" i="34"/>
  <c r="D30" i="34"/>
  <c r="D31" i="34"/>
  <c r="I6" i="11"/>
  <c r="F69" i="38"/>
  <c r="G6" i="11"/>
  <c r="D69" i="38"/>
  <c r="E187" i="19"/>
  <c r="E186" i="39"/>
  <c r="E186" i="28"/>
  <c r="E186" i="23"/>
  <c r="E186" i="26"/>
  <c r="E186" i="27"/>
  <c r="E186" i="22"/>
  <c r="E186" i="32"/>
  <c r="N186" i="39" s="1"/>
  <c r="E186" i="21"/>
  <c r="E186" i="20"/>
  <c r="E186" i="33"/>
  <c r="W186" i="39" s="1"/>
  <c r="B6" i="11"/>
  <c r="D28" i="34" l="1"/>
  <c r="D27" i="34"/>
  <c r="E188" i="19"/>
  <c r="E187" i="39"/>
  <c r="E187" i="28"/>
  <c r="E187" i="23"/>
  <c r="E187" i="27"/>
  <c r="E187" i="26"/>
  <c r="E187" i="22"/>
  <c r="E187" i="32"/>
  <c r="N187" i="39" s="1"/>
  <c r="E187" i="21"/>
  <c r="E187" i="33"/>
  <c r="W187" i="39" s="1"/>
  <c r="E187" i="20"/>
  <c r="E188" i="39" l="1"/>
  <c r="E188" i="27"/>
  <c r="E188" i="22"/>
  <c r="E188" i="28"/>
  <c r="E188" i="23"/>
  <c r="E188" i="26"/>
  <c r="E188" i="32"/>
  <c r="N188" i="39" s="1"/>
  <c r="E188" i="20"/>
  <c r="E188" i="21"/>
  <c r="E188" i="33"/>
  <c r="W188" i="39" s="1"/>
  <c r="E190" i="19" l="1"/>
  <c r="E189" i="39"/>
  <c r="E189" i="27"/>
  <c r="E189" i="26"/>
  <c r="E189" i="28"/>
  <c r="E189" i="23"/>
  <c r="E189" i="22"/>
  <c r="E189" i="32"/>
  <c r="N189" i="39" s="1"/>
  <c r="E189" i="21"/>
  <c r="E189" i="20"/>
  <c r="E189" i="33"/>
  <c r="W189" i="39" s="1"/>
  <c r="E191" i="19" l="1"/>
  <c r="E190" i="39"/>
  <c r="E190" i="28"/>
  <c r="E190" i="23"/>
  <c r="E190" i="27"/>
  <c r="E190" i="26"/>
  <c r="E190" i="22"/>
  <c r="E190" i="32"/>
  <c r="N190" i="39" s="1"/>
  <c r="E190" i="21"/>
  <c r="E190" i="20"/>
  <c r="E190" i="33"/>
  <c r="W190" i="39" s="1"/>
  <c r="E191" i="39" l="1"/>
  <c r="E191" i="28"/>
  <c r="E191" i="23"/>
  <c r="E191" i="27"/>
  <c r="E191" i="26"/>
  <c r="E191" i="22"/>
  <c r="E191" i="32"/>
  <c r="N191" i="39" s="1"/>
  <c r="E191" i="33"/>
  <c r="W191" i="39" s="1"/>
  <c r="E191" i="20"/>
  <c r="E191" i="21"/>
  <c r="E193" i="19" l="1"/>
  <c r="E192" i="39"/>
  <c r="E192" i="27"/>
  <c r="E192" i="28"/>
  <c r="E192" i="23"/>
  <c r="E192" i="26"/>
  <c r="E192" i="22"/>
  <c r="E192" i="32"/>
  <c r="N192" i="39" s="1"/>
  <c r="E192" i="33"/>
  <c r="W192" i="39" s="1"/>
  <c r="E192" i="21"/>
  <c r="E192" i="20"/>
  <c r="E194" i="19" l="1"/>
  <c r="E193" i="39"/>
  <c r="E193" i="27"/>
  <c r="E193" i="26"/>
  <c r="E193" i="28"/>
  <c r="E193" i="23"/>
  <c r="E193" i="22"/>
  <c r="E193" i="32"/>
  <c r="N193" i="39" s="1"/>
  <c r="E193" i="33"/>
  <c r="W193" i="39" s="1"/>
  <c r="E193" i="20"/>
  <c r="E193" i="21"/>
  <c r="H29" i="17"/>
  <c r="G29" i="17"/>
  <c r="H28" i="17"/>
  <c r="G28" i="17"/>
  <c r="H27" i="17"/>
  <c r="G27" i="17"/>
  <c r="H26" i="17"/>
  <c r="G26" i="17"/>
  <c r="H25" i="17"/>
  <c r="G25" i="17"/>
  <c r="H24" i="17"/>
  <c r="G24" i="17"/>
  <c r="H23" i="17"/>
  <c r="G23" i="17"/>
  <c r="F30" i="17"/>
  <c r="E30" i="17"/>
  <c r="D30" i="17"/>
  <c r="B28" i="17"/>
  <c r="B26" i="17"/>
  <c r="I30" i="9"/>
  <c r="I2" i="17"/>
  <c r="G2" i="17"/>
  <c r="E1" i="18" s="1"/>
  <c r="F2" i="17"/>
  <c r="D1" i="18" s="1"/>
  <c r="E2" i="17"/>
  <c r="C1" i="18" s="1"/>
  <c r="D2" i="17"/>
  <c r="B1" i="18" s="1"/>
  <c r="C2" i="17"/>
  <c r="B2" i="17"/>
  <c r="E194" i="39" l="1"/>
  <c r="E194" i="28"/>
  <c r="E194" i="23"/>
  <c r="E194" i="27"/>
  <c r="E194" i="22"/>
  <c r="E194" i="26"/>
  <c r="E194" i="32"/>
  <c r="N194" i="39" s="1"/>
  <c r="E194" i="33"/>
  <c r="W194" i="39" s="1"/>
  <c r="E194" i="21"/>
  <c r="E194" i="20"/>
  <c r="B25" i="17"/>
  <c r="B27" i="17"/>
  <c r="B29" i="17"/>
  <c r="B30" i="17"/>
  <c r="E28" i="17"/>
  <c r="D23" i="17"/>
  <c r="F23" i="17"/>
  <c r="E25" i="17"/>
  <c r="D24" i="17"/>
  <c r="F24" i="17"/>
  <c r="D25" i="17"/>
  <c r="F25" i="17"/>
  <c r="D26" i="17"/>
  <c r="D27" i="17"/>
  <c r="F27" i="17"/>
  <c r="D28" i="17"/>
  <c r="F28" i="17"/>
  <c r="D29" i="17"/>
  <c r="F29" i="17"/>
  <c r="E23" i="17"/>
  <c r="E24" i="17"/>
  <c r="E26" i="17"/>
  <c r="E29" i="17"/>
  <c r="J5" i="17"/>
  <c r="K5" i="17" s="1"/>
  <c r="J6" i="17"/>
  <c r="K6" i="17" s="1"/>
  <c r="J7" i="17"/>
  <c r="J9" i="17"/>
  <c r="F26" i="17"/>
  <c r="E27" i="17"/>
  <c r="J3" i="17"/>
  <c r="J4" i="17"/>
  <c r="J8" i="17"/>
  <c r="K8" i="17" s="1"/>
  <c r="J10" i="17"/>
  <c r="I79" i="9"/>
  <c r="A16" i="9"/>
  <c r="A15" i="9"/>
  <c r="A38" i="9" s="1"/>
  <c r="A14" i="9"/>
  <c r="A13" i="9"/>
  <c r="A12" i="9"/>
  <c r="A11" i="9"/>
  <c r="A10" i="9"/>
  <c r="A9" i="9"/>
  <c r="A8" i="9"/>
  <c r="A7" i="9"/>
  <c r="O14" i="9"/>
  <c r="O13" i="9"/>
  <c r="O12" i="9"/>
  <c r="O11" i="9"/>
  <c r="O10" i="9"/>
  <c r="M14" i="9"/>
  <c r="M13" i="9"/>
  <c r="M12" i="9"/>
  <c r="M11" i="9"/>
  <c r="M10" i="9"/>
  <c r="M9" i="9"/>
  <c r="M8" i="9"/>
  <c r="M7" i="9"/>
  <c r="K14" i="9"/>
  <c r="K13" i="9"/>
  <c r="K12" i="9"/>
  <c r="K11" i="9"/>
  <c r="K10" i="9"/>
  <c r="K9" i="9"/>
  <c r="K8" i="9"/>
  <c r="L14" i="9"/>
  <c r="L13" i="9"/>
  <c r="L12" i="9"/>
  <c r="L11" i="9"/>
  <c r="L10" i="9"/>
  <c r="L9" i="9"/>
  <c r="L8" i="9"/>
  <c r="L7" i="9"/>
  <c r="J14" i="9"/>
  <c r="J13" i="9"/>
  <c r="J12" i="9"/>
  <c r="J11" i="9"/>
  <c r="J10" i="9"/>
  <c r="J9" i="9"/>
  <c r="J8" i="9"/>
  <c r="I14" i="9"/>
  <c r="I13" i="9"/>
  <c r="I12" i="9"/>
  <c r="I11" i="9"/>
  <c r="I10" i="9"/>
  <c r="K7" i="17" l="1"/>
  <c r="D42" i="17"/>
  <c r="K10" i="17"/>
  <c r="K11" i="17"/>
  <c r="E42" i="17"/>
  <c r="K9" i="17"/>
  <c r="F42" i="17"/>
  <c r="C63" i="37"/>
  <c r="C88" i="37" s="1"/>
  <c r="I35" i="9"/>
  <c r="B142" i="37"/>
  <c r="D60" i="37"/>
  <c r="D85" i="37" s="1"/>
  <c r="B27" i="18"/>
  <c r="H27" i="18"/>
  <c r="G27" i="18" s="1"/>
  <c r="J32" i="9"/>
  <c r="B146" i="37"/>
  <c r="D64" i="37"/>
  <c r="D89" i="37" s="1"/>
  <c r="B31" i="18"/>
  <c r="J36" i="9"/>
  <c r="H31" i="18"/>
  <c r="G31" i="18" s="1"/>
  <c r="D142" i="37"/>
  <c r="D157" i="37" s="1"/>
  <c r="F60" i="37"/>
  <c r="F85" i="37" s="1"/>
  <c r="D27" i="18"/>
  <c r="L32" i="9"/>
  <c r="D146" i="37"/>
  <c r="D161" i="37" s="1"/>
  <c r="F64" i="37"/>
  <c r="F89" i="37" s="1"/>
  <c r="D31" i="18"/>
  <c r="L36" i="9"/>
  <c r="C143" i="37"/>
  <c r="C158" i="37" s="1"/>
  <c r="E61" i="37"/>
  <c r="E86" i="37" s="1"/>
  <c r="C28" i="18"/>
  <c r="K33" i="9"/>
  <c r="C147" i="37"/>
  <c r="C162" i="37" s="1"/>
  <c r="E65" i="37"/>
  <c r="E90" i="37" s="1"/>
  <c r="K37" i="9"/>
  <c r="K56" i="9" s="1"/>
  <c r="C32" i="18"/>
  <c r="E143" i="37"/>
  <c r="E158" i="37" s="1"/>
  <c r="G61" i="37"/>
  <c r="G86" i="37" s="1"/>
  <c r="E28" i="18"/>
  <c r="M33" i="9"/>
  <c r="E147" i="37"/>
  <c r="E162" i="37" s="1"/>
  <c r="G65" i="37"/>
  <c r="G90" i="37" s="1"/>
  <c r="E32" i="18"/>
  <c r="M37" i="9"/>
  <c r="M56" i="9" s="1"/>
  <c r="O36" i="9"/>
  <c r="I64" i="37"/>
  <c r="I89" i="37" s="1"/>
  <c r="C64" i="37"/>
  <c r="C89" i="37" s="1"/>
  <c r="I36" i="9"/>
  <c r="B143" i="37"/>
  <c r="D61" i="37"/>
  <c r="D86" i="37" s="1"/>
  <c r="H28" i="18"/>
  <c r="G28" i="18" s="1"/>
  <c r="J33" i="9"/>
  <c r="B28" i="18"/>
  <c r="B147" i="37"/>
  <c r="D65" i="37"/>
  <c r="D90" i="37" s="1"/>
  <c r="H32" i="18"/>
  <c r="G32" i="18" s="1"/>
  <c r="J37" i="9"/>
  <c r="J56" i="9" s="1"/>
  <c r="B32" i="18"/>
  <c r="D143" i="37"/>
  <c r="D158" i="37" s="1"/>
  <c r="F61" i="37"/>
  <c r="F86" i="37" s="1"/>
  <c r="L33" i="9"/>
  <c r="D28" i="18"/>
  <c r="D147" i="37"/>
  <c r="D162" i="37" s="1"/>
  <c r="F65" i="37"/>
  <c r="F90" i="37" s="1"/>
  <c r="D32" i="18"/>
  <c r="L37" i="9"/>
  <c r="L56" i="9" s="1"/>
  <c r="C144" i="37"/>
  <c r="C159" i="37" s="1"/>
  <c r="E62" i="37"/>
  <c r="E87" i="37" s="1"/>
  <c r="C29" i="18"/>
  <c r="K34" i="9"/>
  <c r="E140" i="37"/>
  <c r="E155" i="37" s="1"/>
  <c r="G58" i="37"/>
  <c r="G83" i="37" s="1"/>
  <c r="E25" i="18"/>
  <c r="M30" i="9"/>
  <c r="E144" i="37"/>
  <c r="E159" i="37" s="1"/>
  <c r="G62" i="37"/>
  <c r="G87" i="37" s="1"/>
  <c r="E29" i="18"/>
  <c r="M34" i="9"/>
  <c r="O33" i="9"/>
  <c r="O51" i="9" s="1"/>
  <c r="I61" i="37"/>
  <c r="I86" i="37" s="1"/>
  <c r="O37" i="9"/>
  <c r="O55" i="9" s="1"/>
  <c r="I65" i="37"/>
  <c r="I90" i="37" s="1"/>
  <c r="C61" i="37"/>
  <c r="C86" i="37" s="1"/>
  <c r="I33" i="9"/>
  <c r="I51" i="9" s="1"/>
  <c r="C65" i="37"/>
  <c r="C90" i="37" s="1"/>
  <c r="I37" i="9"/>
  <c r="I56" i="9" s="1"/>
  <c r="B144" i="37"/>
  <c r="D62" i="37"/>
  <c r="D87" i="37" s="1"/>
  <c r="B29" i="18"/>
  <c r="H29" i="18"/>
  <c r="G29" i="18" s="1"/>
  <c r="J34" i="9"/>
  <c r="D140" i="37"/>
  <c r="D155" i="37" s="1"/>
  <c r="F58" i="37"/>
  <c r="F83" i="37" s="1"/>
  <c r="D25" i="18"/>
  <c r="L30" i="9"/>
  <c r="D144" i="37"/>
  <c r="D159" i="37" s="1"/>
  <c r="F62" i="37"/>
  <c r="F87" i="37" s="1"/>
  <c r="D29" i="18"/>
  <c r="L34" i="9"/>
  <c r="C141" i="37"/>
  <c r="C156" i="37" s="1"/>
  <c r="E59" i="37"/>
  <c r="E84" i="37" s="1"/>
  <c r="C26" i="18"/>
  <c r="K31" i="9"/>
  <c r="C145" i="37"/>
  <c r="C160" i="37" s="1"/>
  <c r="E63" i="37"/>
  <c r="E88" i="37" s="1"/>
  <c r="K35" i="9"/>
  <c r="C30" i="18"/>
  <c r="E141" i="37"/>
  <c r="E156" i="37" s="1"/>
  <c r="G59" i="37"/>
  <c r="G84" i="37" s="1"/>
  <c r="E26" i="18"/>
  <c r="M31" i="9"/>
  <c r="E145" i="37"/>
  <c r="E160" i="37" s="1"/>
  <c r="G63" i="37"/>
  <c r="G88" i="37" s="1"/>
  <c r="M35" i="9"/>
  <c r="E30" i="18"/>
  <c r="O34" i="9"/>
  <c r="I62" i="37"/>
  <c r="I87" i="37" s="1"/>
  <c r="C62" i="37"/>
  <c r="C87" i="37" s="1"/>
  <c r="I34" i="9"/>
  <c r="B141" i="37"/>
  <c r="D59" i="37"/>
  <c r="D84" i="37" s="1"/>
  <c r="H26" i="18"/>
  <c r="G26" i="18" s="1"/>
  <c r="J31" i="9"/>
  <c r="B26" i="18"/>
  <c r="B145" i="37"/>
  <c r="D63" i="37"/>
  <c r="D88" i="37" s="1"/>
  <c r="H30" i="18"/>
  <c r="G30" i="18" s="1"/>
  <c r="J35" i="9"/>
  <c r="B30" i="18"/>
  <c r="D141" i="37"/>
  <c r="D156" i="37" s="1"/>
  <c r="F59" i="37"/>
  <c r="F84" i="37" s="1"/>
  <c r="L31" i="9"/>
  <c r="D26" i="18"/>
  <c r="D145" i="37"/>
  <c r="D160" i="37" s="1"/>
  <c r="F63" i="37"/>
  <c r="F88" i="37" s="1"/>
  <c r="L35" i="9"/>
  <c r="D30" i="18"/>
  <c r="C142" i="37"/>
  <c r="C157" i="37" s="1"/>
  <c r="E60" i="37"/>
  <c r="E85" i="37" s="1"/>
  <c r="K32" i="9"/>
  <c r="C27" i="18"/>
  <c r="C146" i="37"/>
  <c r="C161" i="37" s="1"/>
  <c r="E64" i="37"/>
  <c r="E89" i="37" s="1"/>
  <c r="C31" i="18"/>
  <c r="K36" i="9"/>
  <c r="E142" i="37"/>
  <c r="E157" i="37" s="1"/>
  <c r="G60" i="37"/>
  <c r="G85" i="37" s="1"/>
  <c r="M32" i="9"/>
  <c r="E27" i="18"/>
  <c r="E146" i="37"/>
  <c r="E161" i="37" s="1"/>
  <c r="G64" i="37"/>
  <c r="G89" i="37" s="1"/>
  <c r="M36" i="9"/>
  <c r="E31" i="18"/>
  <c r="O35" i="9"/>
  <c r="I63" i="37"/>
  <c r="I88" i="37" s="1"/>
  <c r="E196" i="19"/>
  <c r="E195" i="39"/>
  <c r="E195" i="28"/>
  <c r="E195" i="23"/>
  <c r="E195" i="27"/>
  <c r="E195" i="26"/>
  <c r="E195" i="22"/>
  <c r="E195" i="32"/>
  <c r="N195" i="39" s="1"/>
  <c r="E195" i="33"/>
  <c r="W195" i="39" s="1"/>
  <c r="E195" i="21"/>
  <c r="E195" i="20"/>
  <c r="D40" i="44"/>
  <c r="E40" i="44"/>
  <c r="J23" i="17"/>
  <c r="F40" i="44"/>
  <c r="J29" i="17"/>
  <c r="J30" i="17"/>
  <c r="J25" i="17"/>
  <c r="J27" i="17"/>
  <c r="J24" i="17"/>
  <c r="J28" i="17"/>
  <c r="J26" i="17"/>
  <c r="D7" i="30"/>
  <c r="D5" i="30"/>
  <c r="D8" i="30"/>
  <c r="D3" i="30"/>
  <c r="D6" i="30"/>
  <c r="D9" i="30"/>
  <c r="D10" i="30"/>
  <c r="D4" i="30"/>
  <c r="N53" i="9"/>
  <c r="J7" i="9"/>
  <c r="K7" i="9"/>
  <c r="I49" i="9"/>
  <c r="A32" i="9"/>
  <c r="A36" i="9"/>
  <c r="I50" i="9"/>
  <c r="N52" i="9"/>
  <c r="N54" i="9"/>
  <c r="N55" i="9"/>
  <c r="A37" i="9"/>
  <c r="A31" i="9"/>
  <c r="A33" i="9"/>
  <c r="H14" i="9"/>
  <c r="P14" i="9" s="1"/>
  <c r="P37" i="9" s="1"/>
  <c r="H13" i="9"/>
  <c r="P13" i="9" s="1"/>
  <c r="P36" i="9" s="1"/>
  <c r="H12" i="9"/>
  <c r="P12" i="9" s="1"/>
  <c r="P35" i="9" s="1"/>
  <c r="H11" i="9"/>
  <c r="P11" i="9" s="1"/>
  <c r="P34" i="9" s="1"/>
  <c r="H10" i="9"/>
  <c r="P10" i="9" s="1"/>
  <c r="P33" i="9" s="1"/>
  <c r="H9" i="9"/>
  <c r="P9" i="9" s="1"/>
  <c r="P32" i="9" s="1"/>
  <c r="H8" i="9"/>
  <c r="P8" i="9" s="1"/>
  <c r="P31" i="9" s="1"/>
  <c r="H7" i="9"/>
  <c r="B217" i="19"/>
  <c r="B216" i="19"/>
  <c r="B215" i="19"/>
  <c r="B214" i="19"/>
  <c r="B213" i="19"/>
  <c r="B212" i="19"/>
  <c r="B211" i="19"/>
  <c r="B210" i="19"/>
  <c r="E221" i="19" s="1"/>
  <c r="I98" i="19"/>
  <c r="I97" i="19"/>
  <c r="I96" i="19"/>
  <c r="I95" i="19"/>
  <c r="I94" i="19"/>
  <c r="I93" i="19"/>
  <c r="I91" i="19"/>
  <c r="I90" i="19"/>
  <c r="I88" i="19"/>
  <c r="I86" i="19"/>
  <c r="I85" i="19"/>
  <c r="I83" i="19"/>
  <c r="I81" i="19"/>
  <c r="I79" i="19"/>
  <c r="I77" i="19"/>
  <c r="I75" i="19"/>
  <c r="I73" i="19"/>
  <c r="I71" i="19"/>
  <c r="I69" i="19"/>
  <c r="I67" i="19"/>
  <c r="I65" i="19"/>
  <c r="I61" i="19"/>
  <c r="I59" i="19"/>
  <c r="I57" i="19"/>
  <c r="I55" i="19"/>
  <c r="I53" i="19"/>
  <c r="I49" i="19"/>
  <c r="I47" i="19"/>
  <c r="I45" i="19"/>
  <c r="I43" i="19"/>
  <c r="I41" i="19"/>
  <c r="I37" i="19"/>
  <c r="I35" i="19"/>
  <c r="I33" i="19"/>
  <c r="I31" i="19"/>
  <c r="I30" i="19"/>
  <c r="I29" i="19"/>
  <c r="J29" i="19" s="1"/>
  <c r="I28" i="19"/>
  <c r="J28" i="19" s="1"/>
  <c r="I26" i="19"/>
  <c r="J26" i="19" s="1"/>
  <c r="I25" i="19"/>
  <c r="J25" i="19" s="1"/>
  <c r="I24" i="19"/>
  <c r="J24" i="19" s="1"/>
  <c r="I23" i="19"/>
  <c r="J23" i="19" s="1"/>
  <c r="I22" i="19"/>
  <c r="J22" i="19" s="1"/>
  <c r="I21" i="19"/>
  <c r="J21" i="19" s="1"/>
  <c r="I20" i="19"/>
  <c r="J20" i="19" s="1"/>
  <c r="I19" i="19"/>
  <c r="J19" i="19" s="1"/>
  <c r="I18" i="19"/>
  <c r="J18" i="19" s="1"/>
  <c r="I17" i="19"/>
  <c r="J17" i="19" s="1"/>
  <c r="I16" i="19"/>
  <c r="J16" i="19" s="1"/>
  <c r="I14" i="19"/>
  <c r="J14" i="19" s="1"/>
  <c r="I13" i="19"/>
  <c r="J13" i="19" s="1"/>
  <c r="I12" i="19"/>
  <c r="J12" i="19" s="1"/>
  <c r="I11" i="19"/>
  <c r="J11" i="19" s="1"/>
  <c r="I10" i="19"/>
  <c r="J10" i="19" s="1"/>
  <c r="I9" i="19"/>
  <c r="J9" i="19" s="1"/>
  <c r="I8" i="19"/>
  <c r="J8" i="19" s="1"/>
  <c r="I7" i="19"/>
  <c r="J7" i="19" s="1"/>
  <c r="I6" i="19"/>
  <c r="J6" i="19" s="1"/>
  <c r="I5" i="19"/>
  <c r="J5" i="19" s="1"/>
  <c r="I4" i="19"/>
  <c r="J4" i="19" s="1"/>
  <c r="D16" i="30" l="1"/>
  <c r="D15" i="30"/>
  <c r="D18" i="30"/>
  <c r="D17" i="30"/>
  <c r="D14" i="30"/>
  <c r="O52" i="9"/>
  <c r="M50" i="9"/>
  <c r="L49" i="9"/>
  <c r="I52" i="9"/>
  <c r="O53" i="9"/>
  <c r="M52" i="9"/>
  <c r="M49" i="9"/>
  <c r="I53" i="9"/>
  <c r="P7" i="9"/>
  <c r="P30" i="9" s="1"/>
  <c r="I54" i="9"/>
  <c r="L50" i="9"/>
  <c r="G11" i="9"/>
  <c r="G34" i="9" s="1"/>
  <c r="B62" i="37"/>
  <c r="B87" i="37" s="1"/>
  <c r="H34" i="9"/>
  <c r="F19" i="38"/>
  <c r="F19" i="11" s="1"/>
  <c r="F23" i="38"/>
  <c r="F23" i="11" s="1"/>
  <c r="E19" i="38"/>
  <c r="E19" i="11" s="1"/>
  <c r="I38" i="38"/>
  <c r="H33" i="38"/>
  <c r="B59" i="37"/>
  <c r="B84" i="37" s="1"/>
  <c r="H31" i="9"/>
  <c r="D38" i="38"/>
  <c r="D38" i="11" s="1"/>
  <c r="C38" i="38"/>
  <c r="C38" i="11" s="1"/>
  <c r="C28" i="38"/>
  <c r="C28" i="11" s="1"/>
  <c r="I19" i="38"/>
  <c r="E48" i="38"/>
  <c r="E48" i="11" s="1"/>
  <c r="G143" i="37"/>
  <c r="G158" i="37" s="1"/>
  <c r="B158" i="37"/>
  <c r="H23" i="38"/>
  <c r="G19" i="38"/>
  <c r="B60" i="37"/>
  <c r="B85" i="37" s="1"/>
  <c r="H32" i="9"/>
  <c r="B61" i="37"/>
  <c r="B86" i="37" s="1"/>
  <c r="H33" i="9"/>
  <c r="B65" i="37"/>
  <c r="B90" i="37" s="1"/>
  <c r="H37" i="9"/>
  <c r="B140" i="37"/>
  <c r="D58" i="37"/>
  <c r="D83" i="37" s="1"/>
  <c r="J30" i="9"/>
  <c r="H38" i="38"/>
  <c r="H28" i="38"/>
  <c r="G33" i="38"/>
  <c r="C23" i="38"/>
  <c r="C23" i="11" s="1"/>
  <c r="G38" i="38"/>
  <c r="G28" i="38"/>
  <c r="F33" i="38"/>
  <c r="F33" i="11" s="1"/>
  <c r="H48" i="38"/>
  <c r="B58" i="37"/>
  <c r="B83" i="37" s="1"/>
  <c r="H30" i="9"/>
  <c r="G23" i="38"/>
  <c r="B156" i="37"/>
  <c r="G141" i="37"/>
  <c r="G156" i="37" s="1"/>
  <c r="B38" i="38"/>
  <c r="B38" i="11" s="1"/>
  <c r="I33" i="38"/>
  <c r="E23" i="38"/>
  <c r="E23" i="11" s="1"/>
  <c r="M51" i="9"/>
  <c r="I28" i="38"/>
  <c r="D23" i="38"/>
  <c r="D23" i="11" s="1"/>
  <c r="G12" i="9"/>
  <c r="G35" i="9" s="1"/>
  <c r="B63" i="37"/>
  <c r="B88" i="37" s="1"/>
  <c r="H35" i="9"/>
  <c r="D28" i="38"/>
  <c r="D28" i="11" s="1"/>
  <c r="C33" i="38"/>
  <c r="C33" i="11" s="1"/>
  <c r="G145" i="37"/>
  <c r="G160" i="37" s="1"/>
  <c r="B160" i="37"/>
  <c r="B33" i="38"/>
  <c r="B33" i="11" s="1"/>
  <c r="G144" i="37"/>
  <c r="G159" i="37" s="1"/>
  <c r="B159" i="37"/>
  <c r="I23" i="38"/>
  <c r="H19" i="38"/>
  <c r="B157" i="37"/>
  <c r="G142" i="37"/>
  <c r="G157" i="37" s="1"/>
  <c r="B64" i="37"/>
  <c r="B89" i="37" s="1"/>
  <c r="H36" i="9"/>
  <c r="I55" i="9"/>
  <c r="C140" i="37"/>
  <c r="C155" i="37" s="1"/>
  <c r="E58" i="37"/>
  <c r="E83" i="37" s="1"/>
  <c r="C25" i="18"/>
  <c r="K30" i="9"/>
  <c r="K49" i="9" s="1"/>
  <c r="G48" i="38"/>
  <c r="F48" i="38"/>
  <c r="F48" i="11" s="1"/>
  <c r="M53" i="9"/>
  <c r="I48" i="38"/>
  <c r="F38" i="38"/>
  <c r="F38" i="11" s="1"/>
  <c r="F28" i="38"/>
  <c r="F28" i="11" s="1"/>
  <c r="E33" i="38"/>
  <c r="E33" i="11" s="1"/>
  <c r="G147" i="37"/>
  <c r="G162" i="37" s="1"/>
  <c r="B162" i="37"/>
  <c r="E38" i="38"/>
  <c r="E38" i="11" s="1"/>
  <c r="E28" i="38"/>
  <c r="E28" i="11" s="1"/>
  <c r="D33" i="38"/>
  <c r="D33" i="11" s="1"/>
  <c r="G146" i="37"/>
  <c r="G161" i="37" s="1"/>
  <c r="B161" i="37"/>
  <c r="E217" i="19"/>
  <c r="E213" i="19"/>
  <c r="E216" i="19"/>
  <c r="E212" i="19"/>
  <c r="E219" i="19"/>
  <c r="E215" i="19"/>
  <c r="E211" i="19"/>
  <c r="E218" i="19"/>
  <c r="E214" i="19"/>
  <c r="H65" i="44"/>
  <c r="H44" i="37" s="1"/>
  <c r="H94" i="37" s="1"/>
  <c r="E197" i="19"/>
  <c r="E196" i="39"/>
  <c r="E196" i="27"/>
  <c r="E196" i="22"/>
  <c r="E196" i="23"/>
  <c r="E196" i="26"/>
  <c r="E196" i="28"/>
  <c r="E196" i="32"/>
  <c r="N196" i="39" s="1"/>
  <c r="E196" i="21"/>
  <c r="E196" i="20"/>
  <c r="E196" i="33"/>
  <c r="W196" i="39" s="1"/>
  <c r="H61" i="38"/>
  <c r="H56" i="11"/>
  <c r="E61" i="38"/>
  <c r="E56" i="11"/>
  <c r="B61" i="38"/>
  <c r="B56" i="11"/>
  <c r="D61" i="38"/>
  <c r="D56" i="11"/>
  <c r="F61" i="38"/>
  <c r="F56" i="11"/>
  <c r="C61" i="38"/>
  <c r="C56" i="11"/>
  <c r="G61" i="38"/>
  <c r="G56" i="11"/>
  <c r="I61" i="38"/>
  <c r="I56" i="11"/>
  <c r="G12" i="37"/>
  <c r="H12" i="37" s="1"/>
  <c r="G11" i="37"/>
  <c r="H11" i="37" s="1"/>
  <c r="G13" i="37"/>
  <c r="H13" i="37" s="1"/>
  <c r="G5" i="37"/>
  <c r="H5" i="37" s="1"/>
  <c r="G15" i="37"/>
  <c r="H15" i="37" s="1"/>
  <c r="G16" i="37"/>
  <c r="H16" i="37" s="1"/>
  <c r="G14" i="37"/>
  <c r="H14" i="37" s="1"/>
  <c r="G10" i="37"/>
  <c r="H10" i="37" s="1"/>
  <c r="I17" i="37"/>
  <c r="I12" i="37"/>
  <c r="I9" i="37"/>
  <c r="I14" i="37"/>
  <c r="I11" i="37"/>
  <c r="I15" i="37"/>
  <c r="G9" i="37"/>
  <c r="H9" i="37" s="1"/>
  <c r="I10" i="37"/>
  <c r="I16" i="37"/>
  <c r="I13" i="37"/>
  <c r="I18" i="37"/>
  <c r="D20" i="30"/>
  <c r="M55" i="9"/>
  <c r="I101" i="19"/>
  <c r="J101" i="19" s="1"/>
  <c r="I103" i="19"/>
  <c r="J103" i="19" s="1"/>
  <c r="I105" i="19"/>
  <c r="J105" i="19" s="1"/>
  <c r="I107" i="19"/>
  <c r="J107" i="19" s="1"/>
  <c r="I109" i="19"/>
  <c r="J109" i="19" s="1"/>
  <c r="I100" i="19"/>
  <c r="J100" i="19" s="1"/>
  <c r="I108" i="19"/>
  <c r="J108" i="19" s="1"/>
  <c r="I102" i="19"/>
  <c r="J102" i="19" s="1"/>
  <c r="I104" i="19"/>
  <c r="J104" i="19" s="1"/>
  <c r="I106" i="19"/>
  <c r="J106" i="19" s="1"/>
  <c r="I110" i="19"/>
  <c r="J110" i="19" s="1"/>
  <c r="B25" i="18"/>
  <c r="H25" i="18"/>
  <c r="G25" i="18" s="1"/>
  <c r="C7" i="34"/>
  <c r="B11" i="9"/>
  <c r="C11" i="34"/>
  <c r="F5" i="38" s="1"/>
  <c r="C214" i="19"/>
  <c r="D214" i="19" s="1"/>
  <c r="C213" i="19"/>
  <c r="D213" i="19" s="1"/>
  <c r="C10" i="34"/>
  <c r="E5" i="38" s="1"/>
  <c r="C14" i="34"/>
  <c r="I5" i="38" s="1"/>
  <c r="C217" i="19"/>
  <c r="D217" i="19" s="1"/>
  <c r="B9" i="9"/>
  <c r="D9" i="9" s="1"/>
  <c r="E9" i="9" s="1"/>
  <c r="C212" i="19"/>
  <c r="D212" i="19" s="1"/>
  <c r="C9" i="34"/>
  <c r="D5" i="38" s="1"/>
  <c r="C13" i="34"/>
  <c r="H5" i="38" s="1"/>
  <c r="C216" i="19"/>
  <c r="D216" i="19" s="1"/>
  <c r="J55" i="9"/>
  <c r="B8" i="9"/>
  <c r="D8" i="9" s="1"/>
  <c r="E8" i="9" s="1"/>
  <c r="C8" i="34"/>
  <c r="C5" i="38" s="1"/>
  <c r="C211" i="19"/>
  <c r="D211" i="19" s="1"/>
  <c r="C215" i="19"/>
  <c r="D215" i="19" s="1"/>
  <c r="C12" i="34"/>
  <c r="G5" i="38" s="1"/>
  <c r="J52" i="9"/>
  <c r="K51" i="9"/>
  <c r="G9" i="9"/>
  <c r="N50" i="9"/>
  <c r="G13" i="9"/>
  <c r="K50" i="9"/>
  <c r="O54" i="9"/>
  <c r="G10" i="9"/>
  <c r="G33" i="9" s="1"/>
  <c r="J53" i="9"/>
  <c r="G7" i="9"/>
  <c r="G30" i="9" s="1"/>
  <c r="G14" i="9"/>
  <c r="G37" i="9" s="1"/>
  <c r="G8" i="9"/>
  <c r="G31" i="9" s="1"/>
  <c r="N51" i="9"/>
  <c r="N63" i="9" s="1"/>
  <c r="J51" i="9"/>
  <c r="M54" i="9"/>
  <c r="L51" i="9"/>
  <c r="J31" i="19"/>
  <c r="J33" i="19"/>
  <c r="J35" i="19"/>
  <c r="J37" i="19"/>
  <c r="J41" i="19"/>
  <c r="J43" i="19"/>
  <c r="J45" i="19"/>
  <c r="J47" i="19"/>
  <c r="J49" i="19"/>
  <c r="J53" i="19"/>
  <c r="J55" i="19"/>
  <c r="J57" i="19"/>
  <c r="J59" i="19"/>
  <c r="J61" i="19"/>
  <c r="J65" i="19"/>
  <c r="J67" i="19"/>
  <c r="J69" i="19"/>
  <c r="J71" i="19"/>
  <c r="J73" i="19"/>
  <c r="J75" i="19"/>
  <c r="J77" i="19"/>
  <c r="J79" i="19"/>
  <c r="J81" i="19"/>
  <c r="J83" i="19"/>
  <c r="J86" i="19"/>
  <c r="J88" i="19"/>
  <c r="J91" i="19"/>
  <c r="I3" i="19"/>
  <c r="J3" i="19" s="1"/>
  <c r="I15" i="19"/>
  <c r="J15" i="19" s="1"/>
  <c r="I27" i="19"/>
  <c r="J27" i="19" s="1"/>
  <c r="I32" i="19"/>
  <c r="J32" i="19" s="1"/>
  <c r="I34" i="19"/>
  <c r="J34" i="19" s="1"/>
  <c r="I36" i="19"/>
  <c r="J36" i="19" s="1"/>
  <c r="I38" i="19"/>
  <c r="J38" i="19" s="1"/>
  <c r="I39" i="19"/>
  <c r="J39" i="19" s="1"/>
  <c r="I40" i="19"/>
  <c r="J40" i="19" s="1"/>
  <c r="I42" i="19"/>
  <c r="J42" i="19" s="1"/>
  <c r="I44" i="19"/>
  <c r="J44" i="19" s="1"/>
  <c r="I46" i="19"/>
  <c r="J46" i="19" s="1"/>
  <c r="I48" i="19"/>
  <c r="J48" i="19" s="1"/>
  <c r="I50" i="19"/>
  <c r="J50" i="19" s="1"/>
  <c r="I51" i="19"/>
  <c r="J51" i="19" s="1"/>
  <c r="I52" i="19"/>
  <c r="J52" i="19" s="1"/>
  <c r="I54" i="19"/>
  <c r="J54" i="19" s="1"/>
  <c r="I56" i="19"/>
  <c r="J56" i="19" s="1"/>
  <c r="I58" i="19"/>
  <c r="J58" i="19" s="1"/>
  <c r="I60" i="19"/>
  <c r="J60" i="19" s="1"/>
  <c r="I62" i="19"/>
  <c r="J62" i="19" s="1"/>
  <c r="I63" i="19"/>
  <c r="J63" i="19" s="1"/>
  <c r="I64" i="19"/>
  <c r="J64" i="19" s="1"/>
  <c r="I66" i="19"/>
  <c r="J66" i="19" s="1"/>
  <c r="I68" i="19"/>
  <c r="J68" i="19" s="1"/>
  <c r="I70" i="19"/>
  <c r="J70" i="19" s="1"/>
  <c r="I72" i="19"/>
  <c r="J72" i="19" s="1"/>
  <c r="I74" i="19"/>
  <c r="J74" i="19" s="1"/>
  <c r="I76" i="19"/>
  <c r="J76" i="19" s="1"/>
  <c r="I78" i="19"/>
  <c r="J78" i="19" s="1"/>
  <c r="I80" i="19"/>
  <c r="J80" i="19" s="1"/>
  <c r="I82" i="19"/>
  <c r="J82" i="19" s="1"/>
  <c r="I84" i="19"/>
  <c r="J84" i="19" s="1"/>
  <c r="I87" i="19"/>
  <c r="J87" i="19" s="1"/>
  <c r="I89" i="19"/>
  <c r="J89" i="19" s="1"/>
  <c r="I92" i="19"/>
  <c r="J92" i="19" s="1"/>
  <c r="J30" i="19"/>
  <c r="J85" i="19"/>
  <c r="J90" i="19"/>
  <c r="J93" i="19"/>
  <c r="J94" i="19"/>
  <c r="J95" i="19"/>
  <c r="J96" i="19"/>
  <c r="J97" i="19"/>
  <c r="J98" i="19"/>
  <c r="L54" i="9"/>
  <c r="L53" i="9"/>
  <c r="A35" i="9"/>
  <c r="A34" i="9"/>
  <c r="L55" i="9"/>
  <c r="Y47" i="11"/>
  <c r="X47" i="11"/>
  <c r="W47" i="11"/>
  <c r="A46" i="11"/>
  <c r="Y44" i="11"/>
  <c r="X44" i="11"/>
  <c r="W44" i="11"/>
  <c r="Y43" i="11"/>
  <c r="X43" i="11"/>
  <c r="W43" i="11"/>
  <c r="Y42" i="11"/>
  <c r="X42" i="11"/>
  <c r="W42" i="11"/>
  <c r="A41" i="11"/>
  <c r="Y39" i="11"/>
  <c r="X39" i="11"/>
  <c r="W39" i="11"/>
  <c r="G53" i="9" l="1"/>
  <c r="G56" i="9"/>
  <c r="H49" i="9"/>
  <c r="H53" i="9"/>
  <c r="H50" i="9"/>
  <c r="G52" i="9"/>
  <c r="M42" i="38"/>
  <c r="J64" i="37"/>
  <c r="H15" i="38"/>
  <c r="I33" i="11"/>
  <c r="Y33" i="11" s="1"/>
  <c r="F95" i="38"/>
  <c r="B155" i="37"/>
  <c r="G140" i="37"/>
  <c r="G155" i="37" s="1"/>
  <c r="D81" i="38"/>
  <c r="G19" i="11"/>
  <c r="W19" i="11" s="1"/>
  <c r="C15" i="38"/>
  <c r="J59" i="37"/>
  <c r="F15" i="38"/>
  <c r="J62" i="37"/>
  <c r="I48" i="11"/>
  <c r="Y48" i="11" s="1"/>
  <c r="F110" i="38"/>
  <c r="H54" i="9"/>
  <c r="I28" i="11"/>
  <c r="F90" i="38"/>
  <c r="G23" i="11"/>
  <c r="W23" i="11" s="1"/>
  <c r="D85" i="38"/>
  <c r="E110" i="38"/>
  <c r="H48" i="11"/>
  <c r="X48" i="11" s="1"/>
  <c r="G33" i="11"/>
  <c r="W33" i="11" s="1"/>
  <c r="D95" i="38"/>
  <c r="H28" i="11"/>
  <c r="X28" i="11" s="1"/>
  <c r="E90" i="38"/>
  <c r="B23" i="38"/>
  <c r="B23" i="11" s="1"/>
  <c r="H55" i="9"/>
  <c r="H56" i="9"/>
  <c r="J61" i="37"/>
  <c r="E15" i="38"/>
  <c r="H33" i="11"/>
  <c r="X33" i="11" s="1"/>
  <c r="E95" i="38"/>
  <c r="H52" i="9"/>
  <c r="G36" i="9"/>
  <c r="G54" i="9" s="1"/>
  <c r="E81" i="38"/>
  <c r="H19" i="11"/>
  <c r="D100" i="38"/>
  <c r="G38" i="11"/>
  <c r="J65" i="37"/>
  <c r="I15" i="38"/>
  <c r="J63" i="37"/>
  <c r="G15" i="38"/>
  <c r="G28" i="11"/>
  <c r="W28" i="11" s="1"/>
  <c r="D90" i="38"/>
  <c r="G48" i="11"/>
  <c r="W48" i="11" s="1"/>
  <c r="D110" i="38"/>
  <c r="B28" i="38"/>
  <c r="B28" i="11" s="1"/>
  <c r="F85" i="38"/>
  <c r="I23" i="11"/>
  <c r="Y23" i="11" s="1"/>
  <c r="B15" i="38"/>
  <c r="J58" i="37"/>
  <c r="E100" i="38"/>
  <c r="H38" i="11"/>
  <c r="H51" i="9"/>
  <c r="D15" i="38"/>
  <c r="J60" i="37"/>
  <c r="H23" i="11"/>
  <c r="X23" i="11" s="1"/>
  <c r="E85" i="38"/>
  <c r="F81" i="38"/>
  <c r="I19" i="11"/>
  <c r="I38" i="11"/>
  <c r="F100" i="38"/>
  <c r="B5" i="38"/>
  <c r="B5" i="11" s="1"/>
  <c r="C26" i="34"/>
  <c r="I5" i="11"/>
  <c r="Y5" i="11" s="1"/>
  <c r="F68" i="38"/>
  <c r="I7" i="38"/>
  <c r="F70" i="38" s="1"/>
  <c r="C5" i="11"/>
  <c r="C7" i="38"/>
  <c r="D5" i="11"/>
  <c r="D7" i="38"/>
  <c r="F5" i="11"/>
  <c r="F7" i="38"/>
  <c r="E5" i="11"/>
  <c r="E7" i="38"/>
  <c r="G5" i="11"/>
  <c r="W5" i="11" s="1"/>
  <c r="D68" i="38"/>
  <c r="G7" i="38"/>
  <c r="D70" i="38" s="1"/>
  <c r="H5" i="11"/>
  <c r="X5" i="11" s="1"/>
  <c r="E68" i="38"/>
  <c r="H7" i="38"/>
  <c r="E70" i="38" s="1"/>
  <c r="E197" i="39"/>
  <c r="E197" i="27"/>
  <c r="E197" i="26"/>
  <c r="E197" i="28"/>
  <c r="E197" i="23"/>
  <c r="E197" i="22"/>
  <c r="E197" i="32"/>
  <c r="N197" i="39" s="1"/>
  <c r="E197" i="33"/>
  <c r="W197" i="39" s="1"/>
  <c r="E197" i="20"/>
  <c r="E197" i="21"/>
  <c r="G32" i="9"/>
  <c r="G50" i="9" s="1"/>
  <c r="G33" i="17"/>
  <c r="G42" i="17" s="1"/>
  <c r="B11" i="37"/>
  <c r="C29" i="34"/>
  <c r="B9" i="37"/>
  <c r="C27" i="34"/>
  <c r="B8" i="37"/>
  <c r="B10" i="37"/>
  <c r="C28" i="34"/>
  <c r="B15" i="37"/>
  <c r="C33" i="34"/>
  <c r="B12" i="37"/>
  <c r="C30" i="34"/>
  <c r="B13" i="37"/>
  <c r="C31" i="34"/>
  <c r="B14" i="37"/>
  <c r="C32" i="34"/>
  <c r="F11" i="9"/>
  <c r="D11" i="9"/>
  <c r="E11" i="9" s="1"/>
  <c r="H218" i="19"/>
  <c r="C15" i="9" s="1"/>
  <c r="I99" i="19"/>
  <c r="J99" i="19" s="1"/>
  <c r="I122" i="19"/>
  <c r="J122" i="19" s="1"/>
  <c r="I121" i="19"/>
  <c r="J121" i="19" s="1"/>
  <c r="I120" i="19"/>
  <c r="J120" i="19" s="1"/>
  <c r="I119" i="19"/>
  <c r="J119" i="19" s="1"/>
  <c r="F8" i="9"/>
  <c r="F9" i="9"/>
  <c r="X56" i="11"/>
  <c r="Y56" i="11"/>
  <c r="W56" i="11"/>
  <c r="E11" i="34"/>
  <c r="F11" i="34" s="1"/>
  <c r="I215" i="19"/>
  <c r="J215" i="19" s="1"/>
  <c r="E12" i="34"/>
  <c r="F12" i="34" s="1"/>
  <c r="E8" i="34"/>
  <c r="F8" i="34" s="1"/>
  <c r="B7" i="9"/>
  <c r="F7" i="9" s="1"/>
  <c r="E7" i="34"/>
  <c r="F7" i="34" s="1"/>
  <c r="E9" i="34"/>
  <c r="F9" i="34" s="1"/>
  <c r="E14" i="34"/>
  <c r="F14" i="34" s="1"/>
  <c r="B13" i="9"/>
  <c r="E13" i="34"/>
  <c r="F13" i="34" s="1"/>
  <c r="B10" i="9"/>
  <c r="E10" i="34"/>
  <c r="F10" i="34" s="1"/>
  <c r="N49" i="9"/>
  <c r="K55" i="9"/>
  <c r="A30" i="9"/>
  <c r="B12" i="9"/>
  <c r="I211" i="19"/>
  <c r="J211" i="19" s="1"/>
  <c r="K54" i="9"/>
  <c r="J54" i="9" s="1"/>
  <c r="B14" i="9"/>
  <c r="I217" i="19"/>
  <c r="Z22" i="11"/>
  <c r="J49" i="9"/>
  <c r="J50" i="9"/>
  <c r="L52" i="9"/>
  <c r="Y37" i="11"/>
  <c r="X37" i="11"/>
  <c r="W37" i="11"/>
  <c r="A36" i="11"/>
  <c r="Y34" i="11"/>
  <c r="X34" i="11"/>
  <c r="W34" i="11"/>
  <c r="X32" i="11"/>
  <c r="W32" i="11"/>
  <c r="A31" i="11"/>
  <c r="Y29" i="11"/>
  <c r="X29" i="11"/>
  <c r="W29" i="11"/>
  <c r="Z27" i="11"/>
  <c r="Y27" i="11"/>
  <c r="X27" i="11"/>
  <c r="W27" i="11"/>
  <c r="A26" i="11"/>
  <c r="Y22" i="11"/>
  <c r="A21" i="11"/>
  <c r="Y18" i="11"/>
  <c r="X18" i="11"/>
  <c r="W18" i="11"/>
  <c r="A17" i="11"/>
  <c r="Y14" i="11"/>
  <c r="A13" i="11"/>
  <c r="X6" i="11"/>
  <c r="W6" i="11"/>
  <c r="G40" i="44" l="1"/>
  <c r="G40" i="17"/>
  <c r="G51" i="9"/>
  <c r="G55" i="9"/>
  <c r="M218" i="19"/>
  <c r="B7" i="38"/>
  <c r="E15" i="11"/>
  <c r="E52" i="38"/>
  <c r="C52" i="38"/>
  <c r="C15" i="11"/>
  <c r="I52" i="38"/>
  <c r="I15" i="11"/>
  <c r="Y15" i="11" s="1"/>
  <c r="F77" i="38"/>
  <c r="F114" i="38" s="1"/>
  <c r="D52" i="38"/>
  <c r="D15" i="11"/>
  <c r="B9" i="38"/>
  <c r="J83" i="37"/>
  <c r="G9" i="38"/>
  <c r="J88" i="37"/>
  <c r="F52" i="38"/>
  <c r="F15" i="11"/>
  <c r="J84" i="37"/>
  <c r="C9" i="38"/>
  <c r="J89" i="37"/>
  <c r="H9" i="38"/>
  <c r="B15" i="11"/>
  <c r="B52" i="38"/>
  <c r="E9" i="38"/>
  <c r="J86" i="37"/>
  <c r="J85" i="37"/>
  <c r="D9" i="38"/>
  <c r="G15" i="11"/>
  <c r="W15" i="11" s="1"/>
  <c r="D77" i="38"/>
  <c r="D114" i="38" s="1"/>
  <c r="G52" i="38"/>
  <c r="I9" i="38"/>
  <c r="J90" i="37"/>
  <c r="F9" i="38"/>
  <c r="J87" i="37"/>
  <c r="H52" i="38"/>
  <c r="H15" i="11"/>
  <c r="X15" i="11" s="1"/>
  <c r="E77" i="38"/>
  <c r="E114" i="38" s="1"/>
  <c r="B33" i="17"/>
  <c r="B42" i="17" s="1"/>
  <c r="C10" i="37"/>
  <c r="D10" i="37" s="1"/>
  <c r="B65" i="44"/>
  <c r="B44" i="37" s="1"/>
  <c r="J56" i="44"/>
  <c r="G65" i="44"/>
  <c r="G44" i="37" s="1"/>
  <c r="J47" i="44"/>
  <c r="E199" i="19"/>
  <c r="E198" i="39"/>
  <c r="E198" i="28"/>
  <c r="E198" i="23"/>
  <c r="E198" i="26"/>
  <c r="E198" i="22"/>
  <c r="E198" i="27"/>
  <c r="E198" i="32"/>
  <c r="N198" i="39" s="1"/>
  <c r="E198" i="21"/>
  <c r="E198" i="20"/>
  <c r="E198" i="33"/>
  <c r="W198" i="39" s="1"/>
  <c r="G49" i="9"/>
  <c r="C14" i="37"/>
  <c r="D14" i="37" s="1"/>
  <c r="C12" i="37"/>
  <c r="D12" i="37" s="1"/>
  <c r="C9" i="37"/>
  <c r="D9" i="37" s="1"/>
  <c r="F53" i="11"/>
  <c r="C53" i="11"/>
  <c r="B53" i="11"/>
  <c r="C5" i="37"/>
  <c r="D5" i="37" s="1"/>
  <c r="C13" i="37"/>
  <c r="D13" i="37" s="1"/>
  <c r="C15" i="37"/>
  <c r="D15" i="37" s="1"/>
  <c r="C16" i="37"/>
  <c r="D16" i="37" s="1"/>
  <c r="E13" i="37"/>
  <c r="E11" i="37"/>
  <c r="E16" i="37"/>
  <c r="E12" i="37"/>
  <c r="E9" i="37"/>
  <c r="E14" i="37"/>
  <c r="E17" i="37"/>
  <c r="E15" i="37"/>
  <c r="E10" i="37"/>
  <c r="C11" i="37"/>
  <c r="D11" i="37" s="1"/>
  <c r="D53" i="11"/>
  <c r="E53" i="11"/>
  <c r="E63" i="11" s="1"/>
  <c r="F13" i="9"/>
  <c r="D13" i="9"/>
  <c r="E13" i="9" s="1"/>
  <c r="F12" i="9"/>
  <c r="D12" i="9"/>
  <c r="E12" i="9" s="1"/>
  <c r="F14" i="9"/>
  <c r="D14" i="9"/>
  <c r="E14" i="9" s="1"/>
  <c r="F10" i="9"/>
  <c r="D10" i="9"/>
  <c r="E10" i="9" s="1"/>
  <c r="H219" i="19"/>
  <c r="C16" i="9" s="1"/>
  <c r="I112" i="19"/>
  <c r="J112" i="19" s="1"/>
  <c r="I116" i="19"/>
  <c r="J116" i="19" s="1"/>
  <c r="I113" i="19"/>
  <c r="J113" i="19" s="1"/>
  <c r="I117" i="19"/>
  <c r="J117" i="19" s="1"/>
  <c r="I114" i="19"/>
  <c r="J114" i="19" s="1"/>
  <c r="I118" i="19"/>
  <c r="J118" i="19" s="1"/>
  <c r="I115" i="19"/>
  <c r="J115" i="19" s="1"/>
  <c r="I111" i="19"/>
  <c r="J111" i="19" s="1"/>
  <c r="I218" i="19"/>
  <c r="J218" i="19" s="1"/>
  <c r="AA27" i="11"/>
  <c r="W22" i="11"/>
  <c r="X22" i="11"/>
  <c r="I53" i="11"/>
  <c r="Y53" i="11" s="1"/>
  <c r="Y24" i="11"/>
  <c r="H53" i="11"/>
  <c r="X53" i="11" s="1"/>
  <c r="X24" i="11"/>
  <c r="Y32" i="11"/>
  <c r="Z32" i="11"/>
  <c r="W38" i="11"/>
  <c r="X38" i="11"/>
  <c r="W14" i="11"/>
  <c r="X14" i="11"/>
  <c r="X19" i="11"/>
  <c r="Y19" i="11"/>
  <c r="G53" i="11"/>
  <c r="W53" i="11" s="1"/>
  <c r="W24" i="11"/>
  <c r="AA32" i="11"/>
  <c r="K52" i="9"/>
  <c r="K53" i="9"/>
  <c r="G39" i="44" l="1"/>
  <c r="G48" i="44" s="1"/>
  <c r="G15" i="17"/>
  <c r="B40" i="44"/>
  <c r="B40" i="17"/>
  <c r="M37" i="38"/>
  <c r="D15" i="9"/>
  <c r="E15" i="9" s="1"/>
  <c r="O218" i="19"/>
  <c r="M219" i="19"/>
  <c r="D57" i="38"/>
  <c r="D57" i="11" s="1"/>
  <c r="D9" i="11"/>
  <c r="H57" i="38"/>
  <c r="H57" i="11" s="1"/>
  <c r="X57" i="11" s="1"/>
  <c r="H9" i="11"/>
  <c r="X9" i="11" s="1"/>
  <c r="E72" i="38"/>
  <c r="F9" i="11"/>
  <c r="F57" i="38"/>
  <c r="F57" i="11" s="1"/>
  <c r="B57" i="38"/>
  <c r="B57" i="11" s="1"/>
  <c r="B9" i="11"/>
  <c r="E57" i="38"/>
  <c r="E57" i="11" s="1"/>
  <c r="E9" i="11"/>
  <c r="C57" i="38"/>
  <c r="C57" i="11" s="1"/>
  <c r="C9" i="11"/>
  <c r="F72" i="38"/>
  <c r="I57" i="38"/>
  <c r="I57" i="11" s="1"/>
  <c r="I9" i="11"/>
  <c r="Y9" i="11" s="1"/>
  <c r="G57" i="38"/>
  <c r="G57" i="11" s="1"/>
  <c r="W57" i="11" s="1"/>
  <c r="G9" i="11"/>
  <c r="W9" i="11" s="1"/>
  <c r="D72" i="38"/>
  <c r="J65" i="44"/>
  <c r="E200" i="19"/>
  <c r="E199" i="39"/>
  <c r="E199" i="28"/>
  <c r="E199" i="23"/>
  <c r="E199" i="27"/>
  <c r="E199" i="26"/>
  <c r="E199" i="22"/>
  <c r="E199" i="32"/>
  <c r="N199" i="39" s="1"/>
  <c r="E199" i="33"/>
  <c r="W199" i="39" s="1"/>
  <c r="E199" i="21"/>
  <c r="E199" i="20"/>
  <c r="H52" i="11"/>
  <c r="X52" i="11" s="1"/>
  <c r="I219" i="19"/>
  <c r="J219" i="19" s="1"/>
  <c r="C218" i="19"/>
  <c r="D218" i="19" s="1"/>
  <c r="AA22" i="11"/>
  <c r="G52" i="11"/>
  <c r="C219" i="19"/>
  <c r="D219" i="19" s="1"/>
  <c r="D63" i="11"/>
  <c r="C63" i="11" s="1"/>
  <c r="B63" i="11" s="1"/>
  <c r="C52" i="11"/>
  <c r="B52" i="11" s="1"/>
  <c r="Z18" i="11"/>
  <c r="B39" i="44" l="1"/>
  <c r="B48" i="44" s="1"/>
  <c r="B15" i="17"/>
  <c r="G16" i="17"/>
  <c r="G34" i="17"/>
  <c r="G57" i="44"/>
  <c r="G49" i="44"/>
  <c r="D62" i="38"/>
  <c r="B14" i="41"/>
  <c r="M37" i="11"/>
  <c r="J99" i="38"/>
  <c r="M14" i="38"/>
  <c r="E62" i="38"/>
  <c r="F62" i="38"/>
  <c r="B62" i="38"/>
  <c r="X62" i="11"/>
  <c r="H62" i="38"/>
  <c r="I62" i="38"/>
  <c r="Q218" i="19"/>
  <c r="D16" i="9"/>
  <c r="E16" i="9" s="1"/>
  <c r="O219" i="19"/>
  <c r="C62" i="38"/>
  <c r="G62" i="38"/>
  <c r="E200" i="39"/>
  <c r="E200" i="27"/>
  <c r="E200" i="26"/>
  <c r="E200" i="22"/>
  <c r="E200" i="28"/>
  <c r="E200" i="23"/>
  <c r="E200" i="32"/>
  <c r="N200" i="39" s="1"/>
  <c r="E200" i="33"/>
  <c r="W200" i="39" s="1"/>
  <c r="E200" i="21"/>
  <c r="E200" i="20"/>
  <c r="F52" i="11"/>
  <c r="E52" i="11" s="1"/>
  <c r="D52" i="11" s="1"/>
  <c r="D62" i="11" s="1"/>
  <c r="W52" i="11"/>
  <c r="W62" i="11" s="1"/>
  <c r="C62" i="11"/>
  <c r="B62" i="11"/>
  <c r="G17" i="17" l="1"/>
  <c r="G35" i="17"/>
  <c r="B34" i="17"/>
  <c r="B16" i="17"/>
  <c r="G50" i="44"/>
  <c r="G58" i="44"/>
  <c r="D15" i="34"/>
  <c r="J6" i="38" s="1"/>
  <c r="J6" i="11" s="1"/>
  <c r="J7" i="11" s="1"/>
  <c r="S218" i="19"/>
  <c r="U218" i="19"/>
  <c r="G66" i="44"/>
  <c r="G45" i="37" s="1"/>
  <c r="B66" i="44"/>
  <c r="B49" i="44"/>
  <c r="B15" i="41"/>
  <c r="D34" i="34"/>
  <c r="J7" i="38"/>
  <c r="G70" i="38" s="1"/>
  <c r="E15" i="34"/>
  <c r="F15" i="34" s="1"/>
  <c r="M14" i="11"/>
  <c r="J76" i="38"/>
  <c r="G69" i="38"/>
  <c r="Q219" i="19"/>
  <c r="E202" i="19"/>
  <c r="E201" i="39"/>
  <c r="E201" i="27"/>
  <c r="E201" i="26"/>
  <c r="E201" i="28"/>
  <c r="E201" i="23"/>
  <c r="E201" i="22"/>
  <c r="E201" i="32"/>
  <c r="N201" i="39" s="1"/>
  <c r="E201" i="20"/>
  <c r="E201" i="21"/>
  <c r="E201" i="33"/>
  <c r="W201" i="39" s="1"/>
  <c r="AA18" i="11"/>
  <c r="G59" i="44" l="1"/>
  <c r="G51" i="44"/>
  <c r="D16" i="34"/>
  <c r="K6" i="38" s="1"/>
  <c r="K7" i="38" s="1"/>
  <c r="H70" i="38" s="1"/>
  <c r="S219" i="19"/>
  <c r="U219" i="19"/>
  <c r="B24" i="41"/>
  <c r="B6" i="41" s="1"/>
  <c r="N37" i="38"/>
  <c r="G67" i="44"/>
  <c r="G46" i="37" s="1"/>
  <c r="B67" i="44"/>
  <c r="B50" i="44"/>
  <c r="B17" i="17"/>
  <c r="B35" i="17"/>
  <c r="B45" i="37"/>
  <c r="N14" i="38" s="1"/>
  <c r="N14" i="11" s="1"/>
  <c r="G18" i="17"/>
  <c r="G36" i="17"/>
  <c r="B16" i="41"/>
  <c r="K76" i="38"/>
  <c r="E203" i="19"/>
  <c r="E202" i="39"/>
  <c r="E202" i="28"/>
  <c r="E202" i="23"/>
  <c r="E202" i="26"/>
  <c r="E202" i="27"/>
  <c r="E202" i="22"/>
  <c r="E202" i="32"/>
  <c r="N202" i="39" s="1"/>
  <c r="E202" i="20"/>
  <c r="E202" i="21"/>
  <c r="E202" i="33"/>
  <c r="W202" i="39" s="1"/>
  <c r="Y38" i="11"/>
  <c r="F63" i="11"/>
  <c r="Y57" i="11"/>
  <c r="J217" i="19"/>
  <c r="Y28" i="11"/>
  <c r="E16" i="34" l="1"/>
  <c r="F16" i="34" s="1"/>
  <c r="B25" i="41"/>
  <c r="B7" i="41" s="1"/>
  <c r="O37" i="38"/>
  <c r="B68" i="44"/>
  <c r="B51" i="44"/>
  <c r="K6" i="11"/>
  <c r="K7" i="11" s="1"/>
  <c r="G19" i="17"/>
  <c r="G37" i="17"/>
  <c r="B46" i="37"/>
  <c r="O14" i="38" s="1"/>
  <c r="G52" i="44"/>
  <c r="G70" i="44" s="1"/>
  <c r="G49" i="37" s="1"/>
  <c r="B28" i="41" s="1"/>
  <c r="B10" i="41" s="1"/>
  <c r="K99" i="38"/>
  <c r="N37" i="11"/>
  <c r="H69" i="38"/>
  <c r="D35" i="34"/>
  <c r="B18" i="17"/>
  <c r="B36" i="17"/>
  <c r="G68" i="44"/>
  <c r="G47" i="37" s="1"/>
  <c r="B17" i="41"/>
  <c r="O14" i="11"/>
  <c r="L76" i="38"/>
  <c r="E203" i="39"/>
  <c r="E203" i="28"/>
  <c r="E203" i="23"/>
  <c r="E203" i="27"/>
  <c r="E203" i="26"/>
  <c r="E203" i="22"/>
  <c r="E203" i="32"/>
  <c r="N203" i="39" s="1"/>
  <c r="E203" i="21"/>
  <c r="E203" i="33"/>
  <c r="W203" i="39" s="1"/>
  <c r="E203" i="20"/>
  <c r="G63" i="11"/>
  <c r="W58" i="11"/>
  <c r="W63" i="11" s="1"/>
  <c r="I7" i="11"/>
  <c r="Y6" i="11"/>
  <c r="I63" i="11"/>
  <c r="Y58" i="11"/>
  <c r="Y63" i="11" s="1"/>
  <c r="H63" i="11"/>
  <c r="X58" i="11"/>
  <c r="X63" i="11" s="1"/>
  <c r="I52" i="11"/>
  <c r="B37" i="17" l="1"/>
  <c r="B19" i="17"/>
  <c r="B52" i="44"/>
  <c r="B69" i="44"/>
  <c r="B26" i="41"/>
  <c r="B8" i="41" s="1"/>
  <c r="P37" i="38"/>
  <c r="G69" i="44"/>
  <c r="G48" i="37" s="1"/>
  <c r="B47" i="37"/>
  <c r="P14" i="38" s="1"/>
  <c r="M76" i="38" s="1"/>
  <c r="B18" i="41"/>
  <c r="R37" i="38"/>
  <c r="P14" i="11"/>
  <c r="E205" i="19"/>
  <c r="E204" i="39"/>
  <c r="E204" i="27"/>
  <c r="E204" i="22"/>
  <c r="E204" i="28"/>
  <c r="E204" i="23"/>
  <c r="E204" i="26"/>
  <c r="E204" i="32"/>
  <c r="N204" i="39" s="1"/>
  <c r="E204" i="20"/>
  <c r="E204" i="21"/>
  <c r="E204" i="33"/>
  <c r="W204" i="39" s="1"/>
  <c r="H7" i="11"/>
  <c r="Y7" i="11"/>
  <c r="I62" i="11"/>
  <c r="H62" i="11" s="1"/>
  <c r="G62" i="11" s="1"/>
  <c r="F62" i="11" s="1"/>
  <c r="E62" i="11" s="1"/>
  <c r="Y52" i="11"/>
  <c r="Y62" i="11" s="1"/>
  <c r="B70" i="44" l="1"/>
  <c r="B27" i="41"/>
  <c r="B9" i="41" s="1"/>
  <c r="Q37" i="38"/>
  <c r="B48" i="37"/>
  <c r="Q14" i="38" s="1"/>
  <c r="Q14" i="11" s="1"/>
  <c r="Z14" i="11" s="1"/>
  <c r="B19" i="41"/>
  <c r="E206" i="19"/>
  <c r="E205" i="39"/>
  <c r="E205" i="27"/>
  <c r="E205" i="26"/>
  <c r="E205" i="28"/>
  <c r="E205" i="23"/>
  <c r="E205" i="22"/>
  <c r="E205" i="32"/>
  <c r="N205" i="39" s="1"/>
  <c r="E205" i="20"/>
  <c r="E205" i="33"/>
  <c r="W205" i="39" s="1"/>
  <c r="E205" i="21"/>
  <c r="G7" i="11"/>
  <c r="X7" i="11"/>
  <c r="N76" i="38" l="1"/>
  <c r="B49" i="37"/>
  <c r="R14" i="38" s="1"/>
  <c r="R14" i="11" s="1"/>
  <c r="AA14" i="11" s="1"/>
  <c r="B43" i="41"/>
  <c r="B42" i="41"/>
  <c r="B45" i="41"/>
  <c r="B41" i="41"/>
  <c r="B44" i="41"/>
  <c r="B40" i="41"/>
  <c r="E206" i="39"/>
  <c r="E206" i="28"/>
  <c r="E206" i="23"/>
  <c r="E206" i="27"/>
  <c r="E206" i="26"/>
  <c r="E206" i="22"/>
  <c r="E206" i="32"/>
  <c r="N206" i="39" s="1"/>
  <c r="E206" i="33"/>
  <c r="W206" i="39" s="1"/>
  <c r="E206" i="21"/>
  <c r="E206" i="20"/>
  <c r="F7" i="11"/>
  <c r="E7" i="11" s="1"/>
  <c r="D7" i="11" s="1"/>
  <c r="C7" i="11" s="1"/>
  <c r="B7" i="11" s="1"/>
  <c r="W7" i="11"/>
  <c r="O76" i="38" l="1"/>
  <c r="I51" i="11"/>
  <c r="H51" i="11"/>
  <c r="C51" i="11"/>
  <c r="C61" i="11" s="1"/>
  <c r="B51" i="11"/>
  <c r="B61" i="11" s="1"/>
  <c r="F51" i="11"/>
  <c r="F61" i="11" s="1"/>
  <c r="E51" i="11"/>
  <c r="E61" i="11" s="1"/>
  <c r="D51" i="11"/>
  <c r="D61" i="11" s="1"/>
  <c r="G51" i="11"/>
  <c r="D7" i="9"/>
  <c r="E7" i="9" s="1"/>
  <c r="A39" i="9"/>
  <c r="I61" i="11" l="1"/>
  <c r="Y51" i="11"/>
  <c r="Y61" i="11" s="1"/>
  <c r="G61" i="11"/>
  <c r="W51" i="11"/>
  <c r="W61" i="11" s="1"/>
  <c r="H61" i="11"/>
  <c r="X51" i="11"/>
  <c r="X61" i="11" s="1"/>
  <c r="N42" i="9" l="1"/>
  <c r="H74" i="44" s="1"/>
  <c r="N43" i="9" l="1"/>
  <c r="H75" i="44" s="1"/>
  <c r="N44" i="9" l="1"/>
  <c r="H76" i="44" s="1"/>
  <c r="N45" i="9" l="1"/>
  <c r="H77" i="44" s="1"/>
  <c r="I213" i="19"/>
  <c r="J213" i="19" s="1"/>
  <c r="I216" i="19"/>
  <c r="J216" i="19" s="1"/>
  <c r="I210" i="19"/>
  <c r="J210" i="19" s="1"/>
  <c r="I214" i="19"/>
  <c r="J214" i="19" s="1"/>
  <c r="I212" i="19"/>
  <c r="J212" i="19" s="1"/>
  <c r="N46" i="9" l="1"/>
  <c r="H78" i="44" s="1"/>
  <c r="O56" i="9"/>
  <c r="O57" i="9" l="1"/>
  <c r="G10" i="18" l="1"/>
  <c r="G33" i="18" s="1"/>
  <c r="G11" i="18" l="1"/>
  <c r="G34" i="18" s="1"/>
  <c r="B17" i="9" l="1"/>
  <c r="E220" i="19"/>
  <c r="C220" i="19"/>
  <c r="D220" i="19" s="1"/>
  <c r="C17" i="34"/>
  <c r="L5" i="38" s="1"/>
  <c r="L5" i="11" l="1"/>
  <c r="I68" i="38"/>
  <c r="C36" i="34"/>
  <c r="B18" i="37"/>
  <c r="E18" i="37" l="1"/>
  <c r="C18" i="37"/>
  <c r="J68" i="38" l="1"/>
  <c r="D18" i="37"/>
  <c r="K68" i="38" l="1"/>
  <c r="K70" i="38"/>
  <c r="L68" i="38"/>
  <c r="L70" i="38" l="1"/>
  <c r="M68" i="38"/>
  <c r="N68" i="38" l="1"/>
  <c r="M70" i="38"/>
  <c r="N70" i="38" l="1"/>
  <c r="O68" i="38"/>
  <c r="O70" i="38" l="1"/>
  <c r="H33" i="17" l="1"/>
  <c r="H42" i="17" s="1"/>
  <c r="H40" i="17" l="1"/>
  <c r="H40" i="44"/>
  <c r="M47" i="11"/>
  <c r="I33" i="17"/>
  <c r="I42" i="17" s="1"/>
  <c r="I40" i="17" l="1"/>
  <c r="I40" i="44"/>
  <c r="H39" i="44"/>
  <c r="H48" i="44" s="1"/>
  <c r="H15" i="17"/>
  <c r="K14" i="17"/>
  <c r="J44" i="37"/>
  <c r="J109" i="38"/>
  <c r="J33" i="17"/>
  <c r="J42" i="17" s="1"/>
  <c r="H57" i="44" l="1"/>
  <c r="H49" i="44"/>
  <c r="H16" i="17"/>
  <c r="H34" i="17"/>
  <c r="N66" i="9"/>
  <c r="N80" i="9" s="1"/>
  <c r="J40" i="17"/>
  <c r="J39" i="44" s="1"/>
  <c r="J40" i="44"/>
  <c r="I15" i="17"/>
  <c r="I39" i="44"/>
  <c r="I48" i="44" s="1"/>
  <c r="F19" i="37"/>
  <c r="G19" i="37" s="1"/>
  <c r="H19" i="37" s="1"/>
  <c r="M56" i="38"/>
  <c r="M56" i="11" s="1"/>
  <c r="H17" i="17" l="1"/>
  <c r="N67" i="9"/>
  <c r="N81" i="9" s="1"/>
  <c r="H35" i="17"/>
  <c r="I57" i="44"/>
  <c r="I66" i="44" s="1"/>
  <c r="I45" i="37" s="1"/>
  <c r="N47" i="38" s="1"/>
  <c r="I49" i="44"/>
  <c r="I16" i="17"/>
  <c r="I34" i="17"/>
  <c r="H50" i="44"/>
  <c r="H58" i="44"/>
  <c r="J49" i="44"/>
  <c r="J48" i="44"/>
  <c r="J15" i="17"/>
  <c r="H66" i="44"/>
  <c r="J57" i="44"/>
  <c r="I19" i="37"/>
  <c r="K15" i="17" l="1"/>
  <c r="J34" i="17"/>
  <c r="H59" i="44"/>
  <c r="H51" i="44"/>
  <c r="N47" i="11"/>
  <c r="K109" i="38"/>
  <c r="H18" i="17"/>
  <c r="H36" i="17"/>
  <c r="N68" i="9"/>
  <c r="N82" i="9" s="1"/>
  <c r="I17" i="17"/>
  <c r="I35" i="17"/>
  <c r="H45" i="37"/>
  <c r="J66" i="44"/>
  <c r="H67" i="44"/>
  <c r="I50" i="44"/>
  <c r="I58" i="44"/>
  <c r="I67" i="44" s="1"/>
  <c r="I46" i="37" s="1"/>
  <c r="O47" i="38" s="1"/>
  <c r="J16" i="17"/>
  <c r="K16" i="17" l="1"/>
  <c r="J35" i="17"/>
  <c r="H46" i="37"/>
  <c r="J67" i="44"/>
  <c r="I18" i="17"/>
  <c r="I36" i="17"/>
  <c r="H19" i="17"/>
  <c r="J18" i="17"/>
  <c r="K18" i="17" s="1"/>
  <c r="H37" i="17"/>
  <c r="N69" i="9"/>
  <c r="N83" i="9" s="1"/>
  <c r="H60" i="44"/>
  <c r="H52" i="44"/>
  <c r="I51" i="44"/>
  <c r="I59" i="44"/>
  <c r="I68" i="44" s="1"/>
  <c r="I47" i="37" s="1"/>
  <c r="P47" i="38" s="1"/>
  <c r="N42" i="38"/>
  <c r="J45" i="37"/>
  <c r="O47" i="11"/>
  <c r="L109" i="38"/>
  <c r="H68" i="44"/>
  <c r="J58" i="44"/>
  <c r="J17" i="17"/>
  <c r="J50" i="44"/>
  <c r="J37" i="17"/>
  <c r="K17" i="17" l="1"/>
  <c r="J36" i="17"/>
  <c r="P47" i="11"/>
  <c r="M109" i="38"/>
  <c r="H69" i="44"/>
  <c r="N70" i="9"/>
  <c r="N84" i="9" s="1"/>
  <c r="O42" i="38"/>
  <c r="J46" i="37"/>
  <c r="I52" i="44"/>
  <c r="I61" i="44" s="1"/>
  <c r="I70" i="44" s="1"/>
  <c r="I60" i="44"/>
  <c r="I69" i="44" s="1"/>
  <c r="I48" i="37" s="1"/>
  <c r="Q47" i="38" s="1"/>
  <c r="H47" i="37"/>
  <c r="J68" i="44"/>
  <c r="H61" i="44"/>
  <c r="J52" i="44"/>
  <c r="J59" i="44"/>
  <c r="F20" i="37"/>
  <c r="N56" i="38"/>
  <c r="N56" i="11" s="1"/>
  <c r="J51" i="44"/>
  <c r="I19" i="17"/>
  <c r="J19" i="17" s="1"/>
  <c r="K19" i="17" s="1"/>
  <c r="I37" i="17"/>
  <c r="H70" i="44" l="1"/>
  <c r="J61" i="44"/>
  <c r="I49" i="37"/>
  <c r="R47" i="38" s="1"/>
  <c r="I20" i="37"/>
  <c r="G20" i="37"/>
  <c r="H20" i="37" s="1"/>
  <c r="F21" i="37"/>
  <c r="O56" i="38"/>
  <c r="O56" i="11" s="1"/>
  <c r="J60" i="44"/>
  <c r="Q47" i="11"/>
  <c r="Z47" i="11" s="1"/>
  <c r="N109" i="38"/>
  <c r="P42" i="38"/>
  <c r="J47" i="37"/>
  <c r="H48" i="37"/>
  <c r="J69" i="44"/>
  <c r="R47" i="11" l="1"/>
  <c r="AA47" i="11" s="1"/>
  <c r="O109" i="38"/>
  <c r="I21" i="37"/>
  <c r="G21" i="37"/>
  <c r="H21" i="37" s="1"/>
  <c r="F22" i="37"/>
  <c r="P56" i="38"/>
  <c r="P56" i="11" s="1"/>
  <c r="M104" i="38"/>
  <c r="P42" i="11"/>
  <c r="Q42" i="38"/>
  <c r="J48" i="37"/>
  <c r="H49" i="37"/>
  <c r="J70" i="44"/>
  <c r="H17" i="9"/>
  <c r="C220" i="20"/>
  <c r="D220" i="20" s="1"/>
  <c r="E220" i="20"/>
  <c r="R42" i="38" l="1"/>
  <c r="J49" i="37"/>
  <c r="F23" i="37"/>
  <c r="Q56" i="38"/>
  <c r="Q56" i="11" s="1"/>
  <c r="Z56" i="11" s="1"/>
  <c r="N104" i="38"/>
  <c r="Q42" i="11"/>
  <c r="Z42" i="11" s="1"/>
  <c r="G22" i="37"/>
  <c r="H22" i="37" s="1"/>
  <c r="I22" i="37"/>
  <c r="H40" i="9"/>
  <c r="H58" i="9" s="1"/>
  <c r="B68" i="37"/>
  <c r="B93" i="37" s="1"/>
  <c r="I23" i="37" l="1"/>
  <c r="G23" i="37"/>
  <c r="H23" i="37" s="1"/>
  <c r="F24" i="37"/>
  <c r="R56" i="38"/>
  <c r="R56" i="11" s="1"/>
  <c r="AA56" i="11" s="1"/>
  <c r="O104" i="38"/>
  <c r="R42" i="11"/>
  <c r="AA42" i="11" s="1"/>
  <c r="L15" i="38"/>
  <c r="I24" i="37" l="1"/>
  <c r="G24" i="37"/>
  <c r="H24" i="37" s="1"/>
  <c r="I77" i="38"/>
  <c r="L15" i="11"/>
  <c r="C220" i="21" l="1"/>
  <c r="D220" i="21"/>
  <c r="E220" i="21"/>
  <c r="I17" i="9"/>
  <c r="I40" i="9" l="1"/>
  <c r="I58" i="9" s="1"/>
  <c r="C68" i="37"/>
  <c r="C93" i="37" s="1"/>
  <c r="L19" i="38" l="1"/>
  <c r="I81" i="38" s="1"/>
  <c r="L19" i="11" l="1"/>
  <c r="C220" i="22" l="1"/>
  <c r="D220" i="22"/>
  <c r="E220" i="22"/>
  <c r="J17" i="9"/>
  <c r="J40" i="9" s="1"/>
  <c r="B35" i="18" l="1"/>
  <c r="J58" i="9"/>
  <c r="B150" i="37"/>
  <c r="D68" i="37"/>
  <c r="D93" i="37" s="1"/>
  <c r="B165" i="37" l="1"/>
  <c r="L23" i="38"/>
  <c r="I85" i="38" l="1"/>
  <c r="L23" i="11"/>
  <c r="C220" i="26" l="1"/>
  <c r="D220" i="26" s="1"/>
  <c r="E220" i="26"/>
  <c r="L17" i="9"/>
  <c r="F68" i="37" l="1"/>
  <c r="F93" i="37" s="1"/>
  <c r="D35" i="18"/>
  <c r="L40" i="9"/>
  <c r="D150" i="37"/>
  <c r="D165" i="37" s="1"/>
  <c r="L58" i="9" l="1"/>
  <c r="L33" i="38"/>
  <c r="I95" i="38" l="1"/>
  <c r="L33" i="11"/>
  <c r="C220" i="23" l="1"/>
  <c r="D220" i="23"/>
  <c r="E220" i="23"/>
  <c r="K17" i="9"/>
  <c r="C35" i="18" s="1"/>
  <c r="C150" i="37" l="1"/>
  <c r="E68" i="37"/>
  <c r="E93" i="37" s="1"/>
  <c r="K40" i="9"/>
  <c r="K58" i="9" l="1"/>
  <c r="L28" i="38"/>
  <c r="C165" i="37"/>
  <c r="I90" i="38" l="1"/>
  <c r="L28" i="11"/>
  <c r="M17" i="9" l="1"/>
  <c r="M40" i="9" s="1"/>
  <c r="C220" i="27"/>
  <c r="D220" i="27"/>
  <c r="E220" i="27"/>
  <c r="H35" i="18" l="1"/>
  <c r="E35" i="18"/>
  <c r="M58" i="9"/>
  <c r="G35" i="18"/>
  <c r="E150" i="37"/>
  <c r="G68" i="37"/>
  <c r="G93" i="37" s="1"/>
  <c r="L38" i="38" l="1"/>
  <c r="E165" i="37"/>
  <c r="G150" i="37"/>
  <c r="G165" i="37" s="1"/>
  <c r="I100" i="38" l="1"/>
  <c r="L38" i="11"/>
  <c r="O17" i="9" l="1"/>
  <c r="P17" i="9" s="1"/>
  <c r="P40" i="9" s="1"/>
  <c r="C220" i="28"/>
  <c r="D220" i="28"/>
  <c r="I68" i="37" l="1"/>
  <c r="I93" i="37" s="1"/>
  <c r="G17" i="9"/>
  <c r="O40" i="9"/>
  <c r="O58" i="9" l="1"/>
  <c r="F17" i="9"/>
  <c r="G40" i="9"/>
  <c r="L48" i="38"/>
  <c r="J68" i="37"/>
  <c r="G58" i="9" l="1"/>
  <c r="L52" i="38"/>
  <c r="I110" i="38"/>
  <c r="I114" i="38" s="1"/>
  <c r="L48" i="11"/>
  <c r="L52" i="11" s="1"/>
  <c r="J93" i="37"/>
  <c r="L9" i="38"/>
  <c r="I72" i="38" l="1"/>
  <c r="L9" i="11"/>
  <c r="L57" i="38"/>
  <c r="L57" i="11" s="1"/>
  <c r="L62" i="11" s="1"/>
  <c r="L62" i="38" l="1"/>
  <c r="C220" i="32" l="1"/>
  <c r="D220" i="32" s="1"/>
  <c r="E220" i="32"/>
  <c r="C220" i="33"/>
  <c r="D220" i="33" s="1"/>
  <c r="E220" i="33"/>
  <c r="P51" i="38" l="1"/>
  <c r="P61" i="38" s="1"/>
  <c r="Q51" i="38"/>
  <c r="Q61" i="38" s="1"/>
  <c r="R51" i="38"/>
  <c r="R61" i="38" s="1"/>
  <c r="L99" i="38"/>
  <c r="M99" i="38"/>
  <c r="M113" i="38" s="1"/>
  <c r="N99" i="38"/>
  <c r="N113" i="38" s="1"/>
  <c r="O99" i="38"/>
  <c r="O113" i="38" s="1"/>
  <c r="O37" i="11"/>
  <c r="P37" i="11"/>
  <c r="P51" i="11" s="1"/>
  <c r="P61" i="11" s="1"/>
  <c r="Q37" i="11"/>
  <c r="R37" i="11"/>
  <c r="AA37" i="11" s="1"/>
  <c r="R51" i="11" l="1"/>
  <c r="AA51" i="11" s="1"/>
  <c r="AA61" i="11" s="1"/>
  <c r="Q51" i="11"/>
  <c r="Z37" i="11"/>
  <c r="R61" i="11" l="1"/>
  <c r="Z51" i="11"/>
  <c r="Z61" i="11" s="1"/>
  <c r="Q61" i="11"/>
  <c r="J51" i="38"/>
  <c r="J61" i="38" s="1"/>
  <c r="K51" i="38"/>
  <c r="K61" i="38" s="1"/>
  <c r="L51" i="38"/>
  <c r="L61" i="38" s="1"/>
  <c r="M51" i="38"/>
  <c r="M61" i="38" s="1"/>
  <c r="N51" i="38"/>
  <c r="N61" i="38" s="1"/>
  <c r="O51" i="38"/>
  <c r="O61" i="38" s="1"/>
  <c r="G104" i="38"/>
  <c r="G113" i="38" s="1"/>
  <c r="H104" i="38"/>
  <c r="H113" i="38" s="1"/>
  <c r="I104" i="38"/>
  <c r="I113" i="38" s="1"/>
  <c r="J104" i="38"/>
  <c r="J113" i="38" s="1"/>
  <c r="K104" i="38"/>
  <c r="K113" i="38" s="1"/>
  <c r="L104" i="38"/>
  <c r="L113" i="38" s="1"/>
  <c r="J42" i="11"/>
  <c r="J51" i="11" s="1"/>
  <c r="J61" i="11" s="1"/>
  <c r="K42" i="11"/>
  <c r="K51" i="11" s="1"/>
  <c r="K61" i="11" s="1"/>
  <c r="L42" i="11"/>
  <c r="L51" i="11" s="1"/>
  <c r="L61" i="11" s="1"/>
  <c r="M42" i="11"/>
  <c r="M51" i="11" s="1"/>
  <c r="M61" i="11" s="1"/>
  <c r="N42" i="11"/>
  <c r="N51" i="11" s="1"/>
  <c r="N61" i="11" s="1"/>
  <c r="O42" i="11"/>
  <c r="O51" i="11" s="1"/>
  <c r="O61" i="11" s="1"/>
  <c r="H18" i="9" l="1"/>
  <c r="I18" i="9"/>
  <c r="J18" i="9"/>
  <c r="L18" i="9"/>
  <c r="K18" i="9"/>
  <c r="M18" i="9"/>
  <c r="J41" i="9" l="1"/>
  <c r="J59" i="9" s="1"/>
  <c r="B151" i="37"/>
  <c r="D69" i="37"/>
  <c r="D94" i="37" s="1"/>
  <c r="H36" i="18"/>
  <c r="B36" i="18"/>
  <c r="B45" i="18" s="1"/>
  <c r="B43" i="18" s="1"/>
  <c r="B167" i="37" s="1"/>
  <c r="L41" i="9"/>
  <c r="L59" i="9" s="1"/>
  <c r="L63" i="9" s="1"/>
  <c r="D151" i="37"/>
  <c r="D166" i="37" s="1"/>
  <c r="D168" i="37" s="1"/>
  <c r="F69" i="37"/>
  <c r="F94" i="37" s="1"/>
  <c r="D36" i="18"/>
  <c r="D45" i="18" s="1"/>
  <c r="D43" i="18" s="1"/>
  <c r="D167" i="37" s="1"/>
  <c r="I41" i="9"/>
  <c r="I59" i="9" s="1"/>
  <c r="C69" i="37"/>
  <c r="C94" i="37" s="1"/>
  <c r="C14" i="41"/>
  <c r="E151" i="37"/>
  <c r="E166" i="37" s="1"/>
  <c r="E168" i="37" s="1"/>
  <c r="E36" i="18"/>
  <c r="K41" i="9"/>
  <c r="K59" i="9" s="1"/>
  <c r="C151" i="37"/>
  <c r="C166" i="37" s="1"/>
  <c r="C168" i="37" s="1"/>
  <c r="E69" i="37"/>
  <c r="E94" i="37" s="1"/>
  <c r="C36" i="18"/>
  <c r="C45" i="18" s="1"/>
  <c r="C43" i="18" s="1"/>
  <c r="C167" i="37" s="1"/>
  <c r="H41" i="9"/>
  <c r="H59" i="9" s="1"/>
  <c r="B69" i="37"/>
  <c r="L42" i="9"/>
  <c r="F74" i="44" s="1"/>
  <c r="M41" i="9"/>
  <c r="M59" i="9" s="1"/>
  <c r="M63" i="9" s="1"/>
  <c r="O18" i="9"/>
  <c r="H63" i="9" l="1"/>
  <c r="H61" i="9" s="1"/>
  <c r="H42" i="9" s="1"/>
  <c r="B94" i="37"/>
  <c r="D34" i="41"/>
  <c r="C5" i="41"/>
  <c r="G14" i="41"/>
  <c r="E14" i="41"/>
  <c r="C15" i="41"/>
  <c r="O41" i="9"/>
  <c r="O59" i="9" s="1"/>
  <c r="O63" i="9" s="1"/>
  <c r="I69" i="37"/>
  <c r="I94" i="37" s="1"/>
  <c r="E43" i="18"/>
  <c r="E45" i="18"/>
  <c r="E167" i="37" s="1"/>
  <c r="I63" i="9"/>
  <c r="I61" i="9" s="1"/>
  <c r="I42" i="9" s="1"/>
  <c r="G151" i="37"/>
  <c r="G166" i="37" s="1"/>
  <c r="G168" i="37" s="1"/>
  <c r="B166" i="37"/>
  <c r="B168" i="37" s="1"/>
  <c r="K61" i="9"/>
  <c r="K63" i="9"/>
  <c r="J61" i="9"/>
  <c r="J42" i="9" s="1"/>
  <c r="D74" i="44" s="1"/>
  <c r="J63" i="9"/>
  <c r="K42" i="9"/>
  <c r="L66" i="9"/>
  <c r="L80" i="9" s="1"/>
  <c r="L43" i="9"/>
  <c r="F75" i="44" s="1"/>
  <c r="J43" i="9"/>
  <c r="D75" i="44" s="1"/>
  <c r="M42" i="9"/>
  <c r="O42" i="9"/>
  <c r="I74" i="44" s="1"/>
  <c r="P18" i="9"/>
  <c r="P41" i="9" s="1"/>
  <c r="G18" i="9"/>
  <c r="C74" i="44" l="1"/>
  <c r="I66" i="9"/>
  <c r="I80" i="9" s="1"/>
  <c r="I43" i="9"/>
  <c r="C75" i="44" s="1"/>
  <c r="B74" i="44"/>
  <c r="H43" i="9"/>
  <c r="B75" i="44" s="1"/>
  <c r="H66" i="9"/>
  <c r="K43" i="9"/>
  <c r="E75" i="44" s="1"/>
  <c r="E74" i="44"/>
  <c r="E5" i="41"/>
  <c r="H14" i="41"/>
  <c r="I14" i="41" s="1"/>
  <c r="C24" i="41"/>
  <c r="E24" i="41" s="1"/>
  <c r="G74" i="44"/>
  <c r="J66" i="9"/>
  <c r="J80" i="9" s="1"/>
  <c r="G5" i="41"/>
  <c r="C16" i="41"/>
  <c r="G15" i="41"/>
  <c r="D15" i="41"/>
  <c r="E34" i="41"/>
  <c r="E35" i="41" s="1"/>
  <c r="E36" i="41" s="1"/>
  <c r="E37" i="41" s="1"/>
  <c r="E38" i="41" s="1"/>
  <c r="E39" i="41" s="1"/>
  <c r="E40" i="41" s="1"/>
  <c r="E41" i="41" s="1"/>
  <c r="E42" i="41" s="1"/>
  <c r="E43" i="41" s="1"/>
  <c r="E44" i="41" s="1"/>
  <c r="E45" i="41" s="1"/>
  <c r="E48" i="41" s="1"/>
  <c r="E49" i="41" s="1"/>
  <c r="E50" i="41" s="1"/>
  <c r="E51" i="41" s="1"/>
  <c r="E52" i="41" s="1"/>
  <c r="E53" i="41" s="1"/>
  <c r="E54" i="41" s="1"/>
  <c r="E55" i="41" s="1"/>
  <c r="E56" i="41" s="1"/>
  <c r="E57" i="41" s="1"/>
  <c r="E58" i="41" s="1"/>
  <c r="E59" i="41" s="1"/>
  <c r="E62" i="41" s="1"/>
  <c r="E63" i="41" s="1"/>
  <c r="E64" i="41" s="1"/>
  <c r="E65" i="41" s="1"/>
  <c r="E66" i="41" s="1"/>
  <c r="E67" i="41" s="1"/>
  <c r="E68" i="41" s="1"/>
  <c r="E69" i="41" s="1"/>
  <c r="E70" i="41" s="1"/>
  <c r="E71" i="41" s="1"/>
  <c r="E72" i="41" s="1"/>
  <c r="E73" i="41" s="1"/>
  <c r="D35" i="41"/>
  <c r="F34" i="41"/>
  <c r="D24" i="41"/>
  <c r="K66" i="9"/>
  <c r="K80" i="9" s="1"/>
  <c r="M66" i="9"/>
  <c r="M80" i="9" s="1"/>
  <c r="M43" i="9"/>
  <c r="F18" i="9"/>
  <c r="G41" i="9"/>
  <c r="G59" i="9" s="1"/>
  <c r="O43" i="9"/>
  <c r="I75" i="44" s="1"/>
  <c r="O66" i="9"/>
  <c r="O80" i="9" s="1"/>
  <c r="J44" i="9"/>
  <c r="D76" i="44" s="1"/>
  <c r="J67" i="9"/>
  <c r="J81" i="9" s="1"/>
  <c r="L67" i="9"/>
  <c r="L81" i="9" s="1"/>
  <c r="L44" i="9"/>
  <c r="F76" i="44" s="1"/>
  <c r="H67" i="9"/>
  <c r="H44" i="9"/>
  <c r="B76" i="44" s="1"/>
  <c r="K44" i="9"/>
  <c r="E76" i="44" s="1"/>
  <c r="H80" i="9"/>
  <c r="Q18" i="9"/>
  <c r="I67" i="9" l="1"/>
  <c r="I81" i="9" s="1"/>
  <c r="C6" i="41"/>
  <c r="K67" i="9"/>
  <c r="K81" i="9" s="1"/>
  <c r="G63" i="9"/>
  <c r="G61" i="9" s="1"/>
  <c r="I44" i="9"/>
  <c r="C76" i="44" s="1"/>
  <c r="C25" i="41"/>
  <c r="E25" i="41" s="1"/>
  <c r="G75" i="44"/>
  <c r="F35" i="41"/>
  <c r="D36" i="41"/>
  <c r="G16" i="41"/>
  <c r="C17" i="41"/>
  <c r="D16" i="41"/>
  <c r="H5" i="41"/>
  <c r="I5" i="41" s="1"/>
  <c r="G69" i="37"/>
  <c r="C7" i="41"/>
  <c r="D6" i="41"/>
  <c r="D25" i="41"/>
  <c r="P80" i="9"/>
  <c r="G66" i="9"/>
  <c r="P42" i="9" s="1"/>
  <c r="J74" i="44" s="1"/>
  <c r="H45" i="9"/>
  <c r="B77" i="44" s="1"/>
  <c r="H68" i="9"/>
  <c r="O44" i="9"/>
  <c r="I76" i="44" s="1"/>
  <c r="O67" i="9"/>
  <c r="O81" i="9" s="1"/>
  <c r="H81" i="9"/>
  <c r="L45" i="9"/>
  <c r="F77" i="44" s="1"/>
  <c r="L68" i="9"/>
  <c r="L82" i="9" s="1"/>
  <c r="M44" i="9"/>
  <c r="M67" i="9"/>
  <c r="M81" i="9" s="1"/>
  <c r="J68" i="9"/>
  <c r="J82" i="9" s="1"/>
  <c r="J45" i="9"/>
  <c r="D77" i="44" s="1"/>
  <c r="I45" i="9"/>
  <c r="C77" i="44" s="1"/>
  <c r="I68" i="9"/>
  <c r="I82" i="9" s="1"/>
  <c r="K68" i="9"/>
  <c r="K82" i="9" s="1"/>
  <c r="K45" i="9"/>
  <c r="E77" i="44" s="1"/>
  <c r="F36" i="41" l="1"/>
  <c r="D37" i="41"/>
  <c r="C26" i="41"/>
  <c r="G76" i="44"/>
  <c r="G94" i="37"/>
  <c r="J69" i="37"/>
  <c r="J94" i="37" s="1"/>
  <c r="D17" i="41"/>
  <c r="G17" i="41"/>
  <c r="C18" i="41"/>
  <c r="E26" i="41"/>
  <c r="C8" i="41"/>
  <c r="D7" i="41"/>
  <c r="D26" i="41"/>
  <c r="P81" i="9"/>
  <c r="G67" i="9"/>
  <c r="P43" i="9" s="1"/>
  <c r="J75" i="44" s="1"/>
  <c r="J46" i="9"/>
  <c r="J69" i="9"/>
  <c r="J83" i="9" s="1"/>
  <c r="K46" i="9"/>
  <c r="K69" i="9"/>
  <c r="K83" i="9" s="1"/>
  <c r="H82" i="9"/>
  <c r="L46" i="9"/>
  <c r="L69" i="9"/>
  <c r="L83" i="9" s="1"/>
  <c r="H46" i="9"/>
  <c r="H69" i="9"/>
  <c r="I46" i="9"/>
  <c r="I69" i="9"/>
  <c r="I83" i="9" s="1"/>
  <c r="M45" i="9"/>
  <c r="M68" i="9"/>
  <c r="M82" i="9" s="1"/>
  <c r="O68" i="9"/>
  <c r="O82" i="9" s="1"/>
  <c r="O45" i="9"/>
  <c r="I77" i="44" s="1"/>
  <c r="C27" i="41" l="1"/>
  <c r="E27" i="41" s="1"/>
  <c r="G77" i="44"/>
  <c r="I70" i="9"/>
  <c r="I84" i="9" s="1"/>
  <c r="C78" i="44"/>
  <c r="L70" i="9"/>
  <c r="L84" i="9" s="1"/>
  <c r="F78" i="44"/>
  <c r="J70" i="9"/>
  <c r="J84" i="9" s="1"/>
  <c r="D78" i="44"/>
  <c r="H70" i="9"/>
  <c r="B78" i="44"/>
  <c r="F37" i="41"/>
  <c r="D38" i="41"/>
  <c r="K70" i="9"/>
  <c r="K84" i="9" s="1"/>
  <c r="E78" i="44"/>
  <c r="D18" i="41"/>
  <c r="C19" i="41"/>
  <c r="G18" i="41"/>
  <c r="D8" i="41"/>
  <c r="H84" i="9"/>
  <c r="O69" i="9"/>
  <c r="O83" i="9" s="1"/>
  <c r="O46" i="9"/>
  <c r="H83" i="9"/>
  <c r="G68" i="9"/>
  <c r="M69" i="9"/>
  <c r="M83" i="9" s="1"/>
  <c r="M46" i="9"/>
  <c r="G78" i="44" s="1"/>
  <c r="P82" i="9"/>
  <c r="D27" i="41" l="1"/>
  <c r="D9" i="41" s="1"/>
  <c r="C9" i="41"/>
  <c r="D19" i="41"/>
  <c r="G19" i="41"/>
  <c r="F38" i="41"/>
  <c r="D39" i="41"/>
  <c r="O70" i="9"/>
  <c r="O84" i="9" s="1"/>
  <c r="I78" i="44"/>
  <c r="M70" i="9"/>
  <c r="M84" i="9" s="1"/>
  <c r="P84" i="9" s="1"/>
  <c r="C28" i="41"/>
  <c r="G69" i="9"/>
  <c r="P44" i="9"/>
  <c r="J76" i="44" s="1"/>
  <c r="P83" i="9"/>
  <c r="G13" i="18"/>
  <c r="G36" i="18" s="1"/>
  <c r="G45" i="18" s="1"/>
  <c r="G43" i="18" s="1"/>
  <c r="G167" i="37" s="1"/>
  <c r="F39" i="41" l="1"/>
  <c r="D40" i="41"/>
  <c r="E28" i="41"/>
  <c r="C10" i="41"/>
  <c r="D28" i="41"/>
  <c r="G70" i="9"/>
  <c r="P46" i="9"/>
  <c r="J78" i="44" s="1"/>
  <c r="P45" i="9"/>
  <c r="J77" i="44" s="1"/>
  <c r="M48" i="38"/>
  <c r="M19" i="38"/>
  <c r="D41" i="41" l="1"/>
  <c r="F40" i="41"/>
  <c r="D10" i="41"/>
  <c r="J81" i="38"/>
  <c r="M19" i="11"/>
  <c r="M33" i="38"/>
  <c r="M23" i="38"/>
  <c r="M28" i="38"/>
  <c r="J110" i="38"/>
  <c r="M48" i="11"/>
  <c r="M43" i="38"/>
  <c r="M38" i="38"/>
  <c r="D42" i="41" l="1"/>
  <c r="F41" i="41"/>
  <c r="J95" i="38"/>
  <c r="M33" i="11"/>
  <c r="J100" i="38"/>
  <c r="M38" i="11"/>
  <c r="J85" i="38"/>
  <c r="M23" i="11"/>
  <c r="J90" i="38"/>
  <c r="M28" i="11"/>
  <c r="J105" i="38"/>
  <c r="M43" i="11"/>
  <c r="D43" i="41" l="1"/>
  <c r="F42" i="41"/>
  <c r="M15" i="38"/>
  <c r="M9" i="38"/>
  <c r="J106" i="38"/>
  <c r="M44" i="11"/>
  <c r="J91" i="38"/>
  <c r="M29" i="11"/>
  <c r="J101" i="38"/>
  <c r="M39" i="11"/>
  <c r="J96" i="38"/>
  <c r="M34" i="11"/>
  <c r="D44" i="41" l="1"/>
  <c r="F43" i="41"/>
  <c r="M58" i="38"/>
  <c r="M58" i="11" s="1"/>
  <c r="M10" i="11"/>
  <c r="J86" i="38"/>
  <c r="J115" i="38" s="1"/>
  <c r="M53" i="38"/>
  <c r="M24" i="11"/>
  <c r="M53" i="11" s="1"/>
  <c r="M63" i="11" s="1"/>
  <c r="M57" i="38"/>
  <c r="M57" i="11" s="1"/>
  <c r="J72" i="38"/>
  <c r="M9" i="11"/>
  <c r="M52" i="38"/>
  <c r="J77" i="38"/>
  <c r="J114" i="38" s="1"/>
  <c r="M15" i="11"/>
  <c r="M52" i="11" s="1"/>
  <c r="D135" i="32"/>
  <c r="H135" i="32" s="1"/>
  <c r="Q135" i="39" s="1"/>
  <c r="D136" i="32"/>
  <c r="M136" i="39" s="1"/>
  <c r="D137" i="32"/>
  <c r="M137" i="39" s="1"/>
  <c r="D138" i="32"/>
  <c r="M138" i="39" s="1"/>
  <c r="D139" i="32"/>
  <c r="H139" i="32" s="1"/>
  <c r="I139" i="32" s="1"/>
  <c r="J139" i="32" s="1"/>
  <c r="D140" i="32"/>
  <c r="D141" i="32"/>
  <c r="M141" i="39" s="1"/>
  <c r="D142" i="32"/>
  <c r="M142" i="39" s="1"/>
  <c r="D143" i="32"/>
  <c r="H143" i="32" s="1"/>
  <c r="I143" i="32" s="1"/>
  <c r="J143" i="32" s="1"/>
  <c r="D144" i="32"/>
  <c r="D145" i="32"/>
  <c r="M145" i="39" s="1"/>
  <c r="D146" i="32"/>
  <c r="M146" i="39" s="1"/>
  <c r="D135" i="33"/>
  <c r="H135" i="33" s="1"/>
  <c r="Z135" i="39" s="1"/>
  <c r="D136" i="33"/>
  <c r="V136" i="39" s="1"/>
  <c r="D137" i="33"/>
  <c r="V137" i="39" s="1"/>
  <c r="D138" i="33"/>
  <c r="H138" i="33" s="1"/>
  <c r="D139" i="33"/>
  <c r="H139" i="33" s="1"/>
  <c r="I139" i="33" s="1"/>
  <c r="J139" i="33" s="1"/>
  <c r="D140" i="33"/>
  <c r="H140" i="33" s="1"/>
  <c r="I140" i="33" s="1"/>
  <c r="J140" i="33" s="1"/>
  <c r="D141" i="33"/>
  <c r="H141" i="33" s="1"/>
  <c r="I141" i="33" s="1"/>
  <c r="J141" i="33" s="1"/>
  <c r="D142" i="33"/>
  <c r="V142" i="39" s="1"/>
  <c r="D143" i="33"/>
  <c r="H143" i="33" s="1"/>
  <c r="I143" i="33" s="1"/>
  <c r="J143" i="33" s="1"/>
  <c r="D144" i="33"/>
  <c r="H144" i="33" s="1"/>
  <c r="I144" i="33" s="1"/>
  <c r="J144" i="33" s="1"/>
  <c r="D145" i="33"/>
  <c r="H145" i="33" s="1"/>
  <c r="I145" i="33" s="1"/>
  <c r="J145" i="33" s="1"/>
  <c r="D146" i="33"/>
  <c r="H146" i="33" s="1"/>
  <c r="I146" i="33" s="1"/>
  <c r="J146" i="33" s="1"/>
  <c r="D151" i="33"/>
  <c r="H151" i="33" s="1"/>
  <c r="Z151" i="39" s="1"/>
  <c r="D135" i="39"/>
  <c r="M135" i="39"/>
  <c r="V135" i="39"/>
  <c r="D136" i="39"/>
  <c r="D137" i="39"/>
  <c r="D138" i="39"/>
  <c r="D139" i="39"/>
  <c r="M139" i="39"/>
  <c r="D140" i="39"/>
  <c r="M140" i="39"/>
  <c r="V140" i="39"/>
  <c r="D141" i="39"/>
  <c r="D142" i="39"/>
  <c r="D143" i="39"/>
  <c r="M143" i="39"/>
  <c r="D144" i="39"/>
  <c r="M144" i="39"/>
  <c r="V144" i="39"/>
  <c r="D145" i="39"/>
  <c r="D146" i="39"/>
  <c r="V146" i="39"/>
  <c r="D135" i="21"/>
  <c r="I135" i="21" s="1"/>
  <c r="D136" i="21"/>
  <c r="I136" i="21" s="1"/>
  <c r="D137" i="21"/>
  <c r="I137" i="21" s="1"/>
  <c r="D138" i="21"/>
  <c r="I138" i="21" s="1"/>
  <c r="D139" i="21"/>
  <c r="I139" i="21" s="1"/>
  <c r="D140" i="21"/>
  <c r="I140" i="21" s="1"/>
  <c r="D141" i="21"/>
  <c r="I141" i="21" s="1"/>
  <c r="D142" i="21"/>
  <c r="I142" i="21" s="1"/>
  <c r="D143" i="21"/>
  <c r="I143" i="21" s="1"/>
  <c r="D144" i="21"/>
  <c r="I144" i="21" s="1"/>
  <c r="D145" i="21"/>
  <c r="I145" i="21" s="1"/>
  <c r="D146" i="21"/>
  <c r="I146" i="21" s="1"/>
  <c r="D135" i="22"/>
  <c r="I135" i="22" s="1"/>
  <c r="D136" i="22"/>
  <c r="I136" i="22" s="1"/>
  <c r="D137" i="22"/>
  <c r="I137" i="22" s="1"/>
  <c r="D138" i="22"/>
  <c r="I138" i="22" s="1"/>
  <c r="D139" i="22"/>
  <c r="I139" i="22" s="1"/>
  <c r="D140" i="22"/>
  <c r="I140" i="22" s="1"/>
  <c r="D141" i="22"/>
  <c r="I141" i="22" s="1"/>
  <c r="D142" i="22"/>
  <c r="I142" i="22" s="1"/>
  <c r="D143" i="22"/>
  <c r="I143" i="22" s="1"/>
  <c r="D144" i="22"/>
  <c r="I144" i="22" s="1"/>
  <c r="D145" i="22"/>
  <c r="I145" i="22" s="1"/>
  <c r="D146" i="22"/>
  <c r="I146" i="22" s="1"/>
  <c r="D135" i="26"/>
  <c r="I135" i="26" s="1"/>
  <c r="D136" i="26"/>
  <c r="I136" i="26" s="1"/>
  <c r="D137" i="26"/>
  <c r="I137" i="26" s="1"/>
  <c r="D138" i="26"/>
  <c r="I138" i="26" s="1"/>
  <c r="D139" i="26"/>
  <c r="I139" i="26" s="1"/>
  <c r="D140" i="26"/>
  <c r="I140" i="26" s="1"/>
  <c r="D141" i="26"/>
  <c r="I141" i="26" s="1"/>
  <c r="D142" i="26"/>
  <c r="I142" i="26" s="1"/>
  <c r="D143" i="26"/>
  <c r="I143" i="26" s="1"/>
  <c r="D144" i="26"/>
  <c r="I144" i="26" s="1"/>
  <c r="D145" i="26"/>
  <c r="I145" i="26" s="1"/>
  <c r="D146" i="26"/>
  <c r="I146" i="26" s="1"/>
  <c r="D135" i="23"/>
  <c r="I135" i="23" s="1"/>
  <c r="D136" i="23"/>
  <c r="I136" i="23" s="1"/>
  <c r="D137" i="23"/>
  <c r="I137" i="23" s="1"/>
  <c r="D138" i="23"/>
  <c r="I138" i="23" s="1"/>
  <c r="D139" i="23"/>
  <c r="I139" i="23" s="1"/>
  <c r="D140" i="23"/>
  <c r="I140" i="23" s="1"/>
  <c r="D141" i="23"/>
  <c r="I141" i="23" s="1"/>
  <c r="D142" i="23"/>
  <c r="I142" i="23" s="1"/>
  <c r="D143" i="23"/>
  <c r="I143" i="23" s="1"/>
  <c r="D144" i="23"/>
  <c r="I144" i="23" s="1"/>
  <c r="D145" i="23"/>
  <c r="I145" i="23" s="1"/>
  <c r="D146" i="23"/>
  <c r="I146" i="23" s="1"/>
  <c r="H135" i="19"/>
  <c r="H135" i="39" s="1"/>
  <c r="H136" i="19"/>
  <c r="H136" i="39" s="1"/>
  <c r="H137" i="19"/>
  <c r="H137" i="39" s="1"/>
  <c r="H138" i="19"/>
  <c r="H138" i="39" s="1"/>
  <c r="H139" i="19"/>
  <c r="H139" i="39" s="1"/>
  <c r="H140" i="19"/>
  <c r="H140" i="39" s="1"/>
  <c r="H141" i="19"/>
  <c r="H141" i="39" s="1"/>
  <c r="H142" i="19"/>
  <c r="H142" i="39" s="1"/>
  <c r="H143" i="19"/>
  <c r="H143" i="39" s="1"/>
  <c r="H144" i="19"/>
  <c r="H144" i="39" s="1"/>
  <c r="H145" i="19"/>
  <c r="H145" i="39" s="1"/>
  <c r="H146" i="19"/>
  <c r="H146" i="39" s="1"/>
  <c r="D135" i="20"/>
  <c r="I135" i="20" s="1"/>
  <c r="D136" i="20"/>
  <c r="I136" i="20" s="1"/>
  <c r="D137" i="20"/>
  <c r="I137" i="20" s="1"/>
  <c r="D138" i="20"/>
  <c r="I138" i="20" s="1"/>
  <c r="D139" i="20"/>
  <c r="I139" i="20" s="1"/>
  <c r="D140" i="20"/>
  <c r="I140" i="20" s="1"/>
  <c r="D141" i="20"/>
  <c r="I141" i="20" s="1"/>
  <c r="D142" i="20"/>
  <c r="I142" i="20" s="1"/>
  <c r="D143" i="20"/>
  <c r="I143" i="20" s="1"/>
  <c r="D144" i="20"/>
  <c r="I144" i="20" s="1"/>
  <c r="D145" i="20"/>
  <c r="I145" i="20" s="1"/>
  <c r="D146" i="20"/>
  <c r="I146" i="20" s="1"/>
  <c r="D135" i="27"/>
  <c r="I135" i="27" s="1"/>
  <c r="D136" i="27"/>
  <c r="I136" i="27" s="1"/>
  <c r="D137" i="27"/>
  <c r="I137" i="27" s="1"/>
  <c r="D138" i="27"/>
  <c r="I138" i="27" s="1"/>
  <c r="D139" i="27"/>
  <c r="I139" i="27" s="1"/>
  <c r="D140" i="27"/>
  <c r="I140" i="27" s="1"/>
  <c r="D141" i="27"/>
  <c r="I141" i="27" s="1"/>
  <c r="D142" i="27"/>
  <c r="I142" i="27" s="1"/>
  <c r="D143" i="27"/>
  <c r="I143" i="27" s="1"/>
  <c r="D144" i="27"/>
  <c r="I144" i="27" s="1"/>
  <c r="D145" i="27"/>
  <c r="I145" i="27" s="1"/>
  <c r="D146" i="27"/>
  <c r="I146" i="27" s="1"/>
  <c r="D135" i="28"/>
  <c r="I135" i="28" s="1"/>
  <c r="D136" i="28"/>
  <c r="I136" i="28" s="1"/>
  <c r="D137" i="28"/>
  <c r="I137" i="28" s="1"/>
  <c r="D138" i="28"/>
  <c r="I138" i="28" s="1"/>
  <c r="D139" i="28"/>
  <c r="I139" i="28" s="1"/>
  <c r="D140" i="28"/>
  <c r="I140" i="28" s="1"/>
  <c r="D141" i="28"/>
  <c r="I141" i="28" s="1"/>
  <c r="D142" i="28"/>
  <c r="I142" i="28" s="1"/>
  <c r="D143" i="28"/>
  <c r="I143" i="28" s="1"/>
  <c r="D144" i="28"/>
  <c r="I144" i="28" s="1"/>
  <c r="D145" i="28"/>
  <c r="I145" i="28" s="1"/>
  <c r="D146" i="28"/>
  <c r="I146" i="28" s="1"/>
  <c r="H136" i="33" l="1"/>
  <c r="I136" i="33" s="1"/>
  <c r="J136" i="33" s="1"/>
  <c r="V143" i="39"/>
  <c r="D45" i="41"/>
  <c r="F44" i="41"/>
  <c r="V141" i="39"/>
  <c r="V138" i="39"/>
  <c r="H142" i="33"/>
  <c r="I142" i="33" s="1"/>
  <c r="J142" i="33" s="1"/>
  <c r="I138" i="33"/>
  <c r="J138" i="33" s="1"/>
  <c r="Z138" i="39"/>
  <c r="V151" i="39"/>
  <c r="V139" i="39"/>
  <c r="D157" i="33"/>
  <c r="V157" i="39" s="1"/>
  <c r="V145" i="39"/>
  <c r="D148" i="33"/>
  <c r="M63" i="38"/>
  <c r="M62" i="38"/>
  <c r="M62" i="11"/>
  <c r="Z146" i="39"/>
  <c r="Z144" i="39"/>
  <c r="Z141" i="39"/>
  <c r="Q143" i="39"/>
  <c r="Q139" i="39"/>
  <c r="Z139" i="39"/>
  <c r="Z136" i="39"/>
  <c r="I135" i="33"/>
  <c r="J135" i="33" s="1"/>
  <c r="Z140" i="39"/>
  <c r="I221" i="28"/>
  <c r="J221" i="28" s="1"/>
  <c r="K221" i="28" s="1"/>
  <c r="H221" i="19"/>
  <c r="Z145" i="39"/>
  <c r="Z143" i="39"/>
  <c r="I221" i="27"/>
  <c r="J221" i="27" s="1"/>
  <c r="K221" i="27" s="1"/>
  <c r="I221" i="20"/>
  <c r="J221" i="20" s="1"/>
  <c r="K221" i="20" s="1"/>
  <c r="I221" i="23"/>
  <c r="J221" i="23" s="1"/>
  <c r="K221" i="23" s="1"/>
  <c r="I221" i="26"/>
  <c r="J221" i="26" s="1"/>
  <c r="K221" i="26" s="1"/>
  <c r="I221" i="22"/>
  <c r="J221" i="22" s="1"/>
  <c r="K221" i="22" s="1"/>
  <c r="I221" i="21"/>
  <c r="J221" i="21" s="1"/>
  <c r="K221" i="21" s="1"/>
  <c r="H148" i="33"/>
  <c r="Z148" i="39" s="1"/>
  <c r="V148" i="39"/>
  <c r="H145" i="32"/>
  <c r="D157" i="32"/>
  <c r="H141" i="32"/>
  <c r="D153" i="32"/>
  <c r="H137" i="32"/>
  <c r="D149" i="32"/>
  <c r="D147" i="32"/>
  <c r="D155" i="32"/>
  <c r="D151" i="32"/>
  <c r="D153" i="33"/>
  <c r="D155" i="33"/>
  <c r="D150" i="33"/>
  <c r="H137" i="33"/>
  <c r="D149" i="33"/>
  <c r="D147" i="33"/>
  <c r="D152" i="33"/>
  <c r="D154" i="33"/>
  <c r="D156" i="33"/>
  <c r="D158" i="33"/>
  <c r="I135" i="32"/>
  <c r="J135" i="32" s="1"/>
  <c r="H146" i="32"/>
  <c r="D158" i="32"/>
  <c r="H142" i="32"/>
  <c r="D154" i="32"/>
  <c r="H138" i="32"/>
  <c r="D150" i="32"/>
  <c r="H144" i="32"/>
  <c r="D156" i="32"/>
  <c r="H140" i="32"/>
  <c r="D152" i="32"/>
  <c r="H136" i="32"/>
  <c r="D148" i="32"/>
  <c r="H157" i="33" l="1"/>
  <c r="Z157" i="39" s="1"/>
  <c r="D48" i="41"/>
  <c r="F45" i="41"/>
  <c r="F46" i="41" s="1"/>
  <c r="Z142" i="39"/>
  <c r="M221" i="19"/>
  <c r="O221" i="19" s="1"/>
  <c r="I221" i="19"/>
  <c r="J221" i="19" s="1"/>
  <c r="C18" i="9"/>
  <c r="D18" i="9" s="1"/>
  <c r="E18" i="9" s="1"/>
  <c r="D160" i="33"/>
  <c r="H160" i="33" s="1"/>
  <c r="Z160" i="39" s="1"/>
  <c r="H154" i="32"/>
  <c r="Q154" i="39" s="1"/>
  <c r="D166" i="32"/>
  <c r="M154" i="39"/>
  <c r="H156" i="33"/>
  <c r="Z156" i="39" s="1"/>
  <c r="D168" i="33"/>
  <c r="V156" i="39"/>
  <c r="H147" i="32"/>
  <c r="D159" i="32"/>
  <c r="M147" i="39"/>
  <c r="I144" i="32"/>
  <c r="J144" i="32" s="1"/>
  <c r="Q144" i="39"/>
  <c r="I137" i="33"/>
  <c r="J137" i="33" s="1"/>
  <c r="Z137" i="39"/>
  <c r="H149" i="32"/>
  <c r="Q149" i="39" s="1"/>
  <c r="D161" i="32"/>
  <c r="M149" i="39"/>
  <c r="H150" i="32"/>
  <c r="Q150" i="39" s="1"/>
  <c r="D162" i="32"/>
  <c r="M150" i="39"/>
  <c r="H158" i="32"/>
  <c r="Q158" i="39" s="1"/>
  <c r="D170" i="32"/>
  <c r="M158" i="39"/>
  <c r="H221" i="33"/>
  <c r="H152" i="33"/>
  <c r="Z152" i="39" s="1"/>
  <c r="D164" i="33"/>
  <c r="V152" i="39"/>
  <c r="H150" i="33"/>
  <c r="Z150" i="39" s="1"/>
  <c r="D162" i="33"/>
  <c r="V150" i="39"/>
  <c r="H151" i="32"/>
  <c r="Q151" i="39" s="1"/>
  <c r="D163" i="32"/>
  <c r="M151" i="39"/>
  <c r="I137" i="32"/>
  <c r="J137" i="32" s="1"/>
  <c r="Q137" i="39"/>
  <c r="I145" i="32"/>
  <c r="J145" i="32" s="1"/>
  <c r="Q145" i="39"/>
  <c r="H148" i="32"/>
  <c r="Q148" i="39" s="1"/>
  <c r="D160" i="32"/>
  <c r="M148" i="39"/>
  <c r="H156" i="32"/>
  <c r="Q156" i="39" s="1"/>
  <c r="D168" i="32"/>
  <c r="M156" i="39"/>
  <c r="H149" i="33"/>
  <c r="Z149" i="39" s="1"/>
  <c r="D161" i="33"/>
  <c r="V149" i="39"/>
  <c r="D163" i="33"/>
  <c r="I141" i="32"/>
  <c r="J141" i="32" s="1"/>
  <c r="Q141" i="39"/>
  <c r="I136" i="32"/>
  <c r="J136" i="32" s="1"/>
  <c r="Q136" i="39"/>
  <c r="I142" i="32"/>
  <c r="J142" i="32" s="1"/>
  <c r="Q142" i="39"/>
  <c r="H221" i="32"/>
  <c r="H154" i="33"/>
  <c r="Z154" i="39" s="1"/>
  <c r="D166" i="33"/>
  <c r="V154" i="39"/>
  <c r="H153" i="33"/>
  <c r="Z153" i="39" s="1"/>
  <c r="D165" i="33"/>
  <c r="V153" i="39"/>
  <c r="H157" i="32"/>
  <c r="Q157" i="39" s="1"/>
  <c r="D169" i="32"/>
  <c r="M157" i="39"/>
  <c r="H152" i="32"/>
  <c r="Q152" i="39" s="1"/>
  <c r="D164" i="32"/>
  <c r="M152" i="39"/>
  <c r="I140" i="32"/>
  <c r="J140" i="32" s="1"/>
  <c r="Q140" i="39"/>
  <c r="I138" i="32"/>
  <c r="J138" i="32" s="1"/>
  <c r="Q138" i="39"/>
  <c r="I146" i="32"/>
  <c r="J146" i="32" s="1"/>
  <c r="Q146" i="39"/>
  <c r="H158" i="33"/>
  <c r="Z158" i="39" s="1"/>
  <c r="D170" i="33"/>
  <c r="V158" i="39"/>
  <c r="H147" i="33"/>
  <c r="D159" i="33"/>
  <c r="V147" i="39"/>
  <c r="H155" i="33"/>
  <c r="Z155" i="39" s="1"/>
  <c r="D167" i="33"/>
  <c r="V155" i="39"/>
  <c r="H155" i="32"/>
  <c r="Q155" i="39" s="1"/>
  <c r="D167" i="32"/>
  <c r="M155" i="39"/>
  <c r="H153" i="32"/>
  <c r="Q153" i="39" s="1"/>
  <c r="D165" i="32"/>
  <c r="M153" i="39"/>
  <c r="D169" i="33"/>
  <c r="E15" i="41" l="1"/>
  <c r="G46" i="41"/>
  <c r="K18" i="42" s="1"/>
  <c r="F48" i="41"/>
  <c r="D49" i="41"/>
  <c r="V160" i="39"/>
  <c r="Q221" i="19"/>
  <c r="H170" i="33"/>
  <c r="Z170" i="39" s="1"/>
  <c r="D182" i="33"/>
  <c r="V170" i="39"/>
  <c r="H163" i="32"/>
  <c r="Q163" i="39" s="1"/>
  <c r="D175" i="32"/>
  <c r="M163" i="39"/>
  <c r="H169" i="33"/>
  <c r="Z169" i="39" s="1"/>
  <c r="D181" i="33"/>
  <c r="V169" i="39"/>
  <c r="H167" i="33"/>
  <c r="Z167" i="39" s="1"/>
  <c r="D179" i="33"/>
  <c r="V167" i="39"/>
  <c r="H222" i="33"/>
  <c r="Z147" i="39"/>
  <c r="H169" i="32"/>
  <c r="Q169" i="39" s="1"/>
  <c r="D181" i="32"/>
  <c r="M169" i="39"/>
  <c r="M221" i="32"/>
  <c r="O221" i="32" s="1"/>
  <c r="H168" i="32"/>
  <c r="Q168" i="39" s="1"/>
  <c r="D180" i="32"/>
  <c r="M168" i="39"/>
  <c r="H164" i="33"/>
  <c r="Z164" i="39" s="1"/>
  <c r="D176" i="33"/>
  <c r="V164" i="39"/>
  <c r="H170" i="32"/>
  <c r="Q170" i="39" s="1"/>
  <c r="D182" i="32"/>
  <c r="M170" i="39"/>
  <c r="H168" i="33"/>
  <c r="Z168" i="39" s="1"/>
  <c r="D180" i="33"/>
  <c r="V168" i="39"/>
  <c r="H165" i="32"/>
  <c r="Q165" i="39" s="1"/>
  <c r="D177" i="32"/>
  <c r="M165" i="39"/>
  <c r="H166" i="33"/>
  <c r="Z166" i="39" s="1"/>
  <c r="D178" i="33"/>
  <c r="V166" i="39"/>
  <c r="H161" i="32"/>
  <c r="Q161" i="39" s="1"/>
  <c r="D173" i="32"/>
  <c r="M161" i="39"/>
  <c r="H167" i="32"/>
  <c r="Q167" i="39" s="1"/>
  <c r="D179" i="32"/>
  <c r="M167" i="39"/>
  <c r="H161" i="33"/>
  <c r="Z161" i="39" s="1"/>
  <c r="V161" i="39"/>
  <c r="D173" i="33"/>
  <c r="H162" i="33"/>
  <c r="Z162" i="39" s="1"/>
  <c r="D174" i="33"/>
  <c r="V162" i="39"/>
  <c r="H159" i="32"/>
  <c r="D171" i="32"/>
  <c r="M159" i="39"/>
  <c r="I221" i="33"/>
  <c r="J221" i="33" s="1"/>
  <c r="M221" i="33"/>
  <c r="O221" i="33" s="1"/>
  <c r="H222" i="32"/>
  <c r="Q147" i="39"/>
  <c r="D172" i="33"/>
  <c r="H159" i="33"/>
  <c r="D171" i="33"/>
  <c r="V159" i="39"/>
  <c r="H164" i="32"/>
  <c r="Q164" i="39" s="1"/>
  <c r="D176" i="32"/>
  <c r="M164" i="39"/>
  <c r="H165" i="33"/>
  <c r="Z165" i="39" s="1"/>
  <c r="D177" i="33"/>
  <c r="V165" i="39"/>
  <c r="H163" i="33"/>
  <c r="Z163" i="39" s="1"/>
  <c r="D175" i="33"/>
  <c r="V163" i="39"/>
  <c r="H160" i="32"/>
  <c r="Q160" i="39" s="1"/>
  <c r="D172" i="32"/>
  <c r="M160" i="39"/>
  <c r="H162" i="32"/>
  <c r="Q162" i="39" s="1"/>
  <c r="D174" i="32"/>
  <c r="M162" i="39"/>
  <c r="H166" i="32"/>
  <c r="Q166" i="39" s="1"/>
  <c r="D178" i="32"/>
  <c r="M166" i="39"/>
  <c r="F49" i="41" l="1"/>
  <c r="D50" i="41"/>
  <c r="D18" i="34"/>
  <c r="M6" i="38" s="1"/>
  <c r="M7" i="38" s="1"/>
  <c r="J70" i="38" s="1"/>
  <c r="S221" i="19"/>
  <c r="U221" i="19"/>
  <c r="F15" i="41"/>
  <c r="F6" i="41" s="1"/>
  <c r="H15" i="41"/>
  <c r="I15" i="41" s="1"/>
  <c r="E6" i="41"/>
  <c r="G70" i="37" s="1"/>
  <c r="H178" i="32"/>
  <c r="Q178" i="39" s="1"/>
  <c r="D190" i="32"/>
  <c r="M178" i="39"/>
  <c r="H177" i="33"/>
  <c r="Z177" i="39" s="1"/>
  <c r="D189" i="33"/>
  <c r="V177" i="39"/>
  <c r="H172" i="33"/>
  <c r="Z172" i="39" s="1"/>
  <c r="D184" i="33"/>
  <c r="V172" i="39"/>
  <c r="H223" i="32"/>
  <c r="Q159" i="39"/>
  <c r="H180" i="32"/>
  <c r="Q180" i="39" s="1"/>
  <c r="D192" i="32"/>
  <c r="M180" i="39"/>
  <c r="H172" i="32"/>
  <c r="Q172" i="39" s="1"/>
  <c r="D184" i="32"/>
  <c r="M172" i="39"/>
  <c r="H171" i="33"/>
  <c r="D183" i="33"/>
  <c r="V171" i="39"/>
  <c r="B222" i="32"/>
  <c r="I222" i="32" s="1"/>
  <c r="J222" i="32" s="1"/>
  <c r="H174" i="33"/>
  <c r="Z174" i="39" s="1"/>
  <c r="D186" i="33"/>
  <c r="V174" i="39"/>
  <c r="H173" i="32"/>
  <c r="Q173" i="39" s="1"/>
  <c r="D185" i="32"/>
  <c r="M173" i="39"/>
  <c r="H182" i="32"/>
  <c r="Q182" i="39" s="1"/>
  <c r="D194" i="32"/>
  <c r="M182" i="39"/>
  <c r="I221" i="32"/>
  <c r="J221" i="32" s="1"/>
  <c r="H181" i="32"/>
  <c r="Q181" i="39" s="1"/>
  <c r="D193" i="32"/>
  <c r="M181" i="39"/>
  <c r="H181" i="33"/>
  <c r="Z181" i="39" s="1"/>
  <c r="D193" i="33"/>
  <c r="V181" i="39"/>
  <c r="H173" i="33"/>
  <c r="Z173" i="39" s="1"/>
  <c r="D185" i="33"/>
  <c r="V173" i="39"/>
  <c r="H174" i="32"/>
  <c r="Q174" i="39" s="1"/>
  <c r="D186" i="32"/>
  <c r="M174" i="39"/>
  <c r="H176" i="32"/>
  <c r="Q176" i="39" s="1"/>
  <c r="D188" i="32"/>
  <c r="M176" i="39"/>
  <c r="H223" i="33"/>
  <c r="Z159" i="39"/>
  <c r="H171" i="32"/>
  <c r="D183" i="32"/>
  <c r="M171" i="39"/>
  <c r="M6" i="11"/>
  <c r="H179" i="32"/>
  <c r="Q179" i="39" s="1"/>
  <c r="D191" i="32"/>
  <c r="M179" i="39"/>
  <c r="H180" i="33"/>
  <c r="Z180" i="39" s="1"/>
  <c r="D192" i="33"/>
  <c r="V180" i="39"/>
  <c r="Q221" i="32"/>
  <c r="H179" i="33"/>
  <c r="Z179" i="39" s="1"/>
  <c r="D191" i="33"/>
  <c r="V179" i="39"/>
  <c r="Q221" i="33"/>
  <c r="C19" i="37"/>
  <c r="D19" i="37" s="1"/>
  <c r="E19" i="37"/>
  <c r="H177" i="32"/>
  <c r="Q177" i="39" s="1"/>
  <c r="D189" i="32"/>
  <c r="M177" i="39"/>
  <c r="H182" i="33"/>
  <c r="Z182" i="39" s="1"/>
  <c r="D194" i="33"/>
  <c r="V182" i="39"/>
  <c r="H175" i="33"/>
  <c r="Z175" i="39" s="1"/>
  <c r="D187" i="33"/>
  <c r="V175" i="39"/>
  <c r="H178" i="33"/>
  <c r="Z178" i="39" s="1"/>
  <c r="D190" i="33"/>
  <c r="V178" i="39"/>
  <c r="H176" i="33"/>
  <c r="Z176" i="39" s="1"/>
  <c r="D188" i="33"/>
  <c r="V176" i="39"/>
  <c r="B222" i="33"/>
  <c r="I222" i="33" s="1"/>
  <c r="J222" i="33" s="1"/>
  <c r="H175" i="32"/>
  <c r="Q175" i="39" s="1"/>
  <c r="D187" i="32"/>
  <c r="M175" i="39"/>
  <c r="G95" i="37" l="1"/>
  <c r="G116" i="37"/>
  <c r="J69" i="38"/>
  <c r="D37" i="34"/>
  <c r="F50" i="41"/>
  <c r="D51" i="41"/>
  <c r="E18" i="34"/>
  <c r="F18" i="34" s="1"/>
  <c r="F37" i="34"/>
  <c r="S221" i="33"/>
  <c r="E37" i="34"/>
  <c r="S221" i="32"/>
  <c r="H189" i="32"/>
  <c r="Q189" i="39" s="1"/>
  <c r="D201" i="32"/>
  <c r="M189" i="39"/>
  <c r="H192" i="33"/>
  <c r="Z192" i="39" s="1"/>
  <c r="D204" i="33"/>
  <c r="V192" i="39"/>
  <c r="H183" i="32"/>
  <c r="D195" i="32"/>
  <c r="M183" i="39"/>
  <c r="H186" i="32"/>
  <c r="Q186" i="39" s="1"/>
  <c r="D198" i="32"/>
  <c r="M186" i="39"/>
  <c r="H185" i="32"/>
  <c r="Q185" i="39" s="1"/>
  <c r="D197" i="32"/>
  <c r="M185" i="39"/>
  <c r="H184" i="32"/>
  <c r="Q184" i="39" s="1"/>
  <c r="D196" i="32"/>
  <c r="M184" i="39"/>
  <c r="H188" i="33"/>
  <c r="Z188" i="39" s="1"/>
  <c r="D200" i="33"/>
  <c r="V188" i="39"/>
  <c r="H194" i="33"/>
  <c r="Z194" i="39" s="1"/>
  <c r="D206" i="33"/>
  <c r="V194" i="39"/>
  <c r="H224" i="32"/>
  <c r="Q171" i="39"/>
  <c r="H188" i="32"/>
  <c r="Q188" i="39" s="1"/>
  <c r="D200" i="32"/>
  <c r="M188" i="39"/>
  <c r="H193" i="32"/>
  <c r="Q193" i="39" s="1"/>
  <c r="D205" i="32"/>
  <c r="M193" i="39"/>
  <c r="H194" i="32"/>
  <c r="Q194" i="39" s="1"/>
  <c r="D206" i="32"/>
  <c r="M194" i="39"/>
  <c r="H183" i="33"/>
  <c r="D195" i="33"/>
  <c r="V183" i="39"/>
  <c r="B223" i="32"/>
  <c r="I223" i="32" s="1"/>
  <c r="J223" i="32" s="1"/>
  <c r="H190" i="32"/>
  <c r="Q190" i="39" s="1"/>
  <c r="D202" i="32"/>
  <c r="M190" i="39"/>
  <c r="H187" i="33"/>
  <c r="Z187" i="39" s="1"/>
  <c r="D199" i="33"/>
  <c r="V187" i="39"/>
  <c r="H187" i="32"/>
  <c r="Q187" i="39" s="1"/>
  <c r="D199" i="32"/>
  <c r="M187" i="39"/>
  <c r="C222" i="33"/>
  <c r="D222" i="33" s="1"/>
  <c r="E222" i="33"/>
  <c r="H191" i="33"/>
  <c r="Z191" i="39" s="1"/>
  <c r="D203" i="33"/>
  <c r="V191" i="39"/>
  <c r="H191" i="32"/>
  <c r="Q191" i="39" s="1"/>
  <c r="D203" i="32"/>
  <c r="M191" i="39"/>
  <c r="B223" i="33"/>
  <c r="I223" i="33" s="1"/>
  <c r="J223" i="33" s="1"/>
  <c r="H185" i="33"/>
  <c r="Z185" i="39" s="1"/>
  <c r="D197" i="33"/>
  <c r="V185" i="39"/>
  <c r="H186" i="33"/>
  <c r="Z186" i="39" s="1"/>
  <c r="D198" i="33"/>
  <c r="V186" i="39"/>
  <c r="C222" i="32"/>
  <c r="D222" i="32" s="1"/>
  <c r="E222" i="32"/>
  <c r="H184" i="33"/>
  <c r="Z184" i="39" s="1"/>
  <c r="D196" i="33"/>
  <c r="V184" i="39"/>
  <c r="H190" i="33"/>
  <c r="Z190" i="39" s="1"/>
  <c r="D202" i="33"/>
  <c r="V190" i="39"/>
  <c r="H193" i="33"/>
  <c r="Z193" i="39" s="1"/>
  <c r="D205" i="33"/>
  <c r="V193" i="39"/>
  <c r="H224" i="33"/>
  <c r="Z171" i="39"/>
  <c r="H192" i="32"/>
  <c r="Q192" i="39" s="1"/>
  <c r="D204" i="32"/>
  <c r="M192" i="39"/>
  <c r="H189" i="33"/>
  <c r="Z189" i="39" s="1"/>
  <c r="D201" i="33"/>
  <c r="V189" i="39"/>
  <c r="F51" i="41" l="1"/>
  <c r="D52" i="41"/>
  <c r="H206" i="32"/>
  <c r="Q206" i="39" s="1"/>
  <c r="M206" i="39"/>
  <c r="H197" i="32"/>
  <c r="Q197" i="39" s="1"/>
  <c r="M197" i="39"/>
  <c r="H204" i="32"/>
  <c r="Q204" i="39" s="1"/>
  <c r="M204" i="39"/>
  <c r="H202" i="33"/>
  <c r="Z202" i="39" s="1"/>
  <c r="V202" i="39"/>
  <c r="H197" i="33"/>
  <c r="Z197" i="39" s="1"/>
  <c r="V197" i="39"/>
  <c r="C223" i="32"/>
  <c r="D223" i="32" s="1"/>
  <c r="E223" i="32"/>
  <c r="Z183" i="39"/>
  <c r="H225" i="33"/>
  <c r="H200" i="32"/>
  <c r="Q200" i="39" s="1"/>
  <c r="M200" i="39"/>
  <c r="H200" i="33"/>
  <c r="Z200" i="39" s="1"/>
  <c r="V200" i="39"/>
  <c r="H195" i="32"/>
  <c r="M195" i="39"/>
  <c r="H203" i="32"/>
  <c r="Q203" i="39" s="1"/>
  <c r="M203" i="39"/>
  <c r="H201" i="33"/>
  <c r="Z201" i="39" s="1"/>
  <c r="V201" i="39"/>
  <c r="H205" i="33"/>
  <c r="Z205" i="39" s="1"/>
  <c r="V205" i="39"/>
  <c r="H198" i="33"/>
  <c r="Z198" i="39" s="1"/>
  <c r="V198" i="39"/>
  <c r="H203" i="33"/>
  <c r="Z203" i="39" s="1"/>
  <c r="V203" i="39"/>
  <c r="H202" i="32"/>
  <c r="Q202" i="39" s="1"/>
  <c r="M202" i="39"/>
  <c r="H205" i="32"/>
  <c r="Q205" i="39" s="1"/>
  <c r="M205" i="39"/>
  <c r="H206" i="33"/>
  <c r="Z206" i="39" s="1"/>
  <c r="V206" i="39"/>
  <c r="H198" i="32"/>
  <c r="Q198" i="39" s="1"/>
  <c r="M198" i="39"/>
  <c r="H225" i="32"/>
  <c r="Q183" i="39"/>
  <c r="H199" i="33"/>
  <c r="Z199" i="39" s="1"/>
  <c r="V199" i="39"/>
  <c r="H201" i="32"/>
  <c r="Q201" i="39" s="1"/>
  <c r="M201" i="39"/>
  <c r="B224" i="33"/>
  <c r="I224" i="33" s="1"/>
  <c r="J224" i="33" s="1"/>
  <c r="H196" i="33"/>
  <c r="Z196" i="39" s="1"/>
  <c r="V196" i="39"/>
  <c r="C223" i="33"/>
  <c r="D223" i="33" s="1"/>
  <c r="E223" i="33"/>
  <c r="H199" i="32"/>
  <c r="Q199" i="39" s="1"/>
  <c r="M199" i="39"/>
  <c r="H195" i="33"/>
  <c r="V195" i="39"/>
  <c r="B224" i="32"/>
  <c r="I224" i="32" s="1"/>
  <c r="J224" i="32" s="1"/>
  <c r="H196" i="32"/>
  <c r="Q196" i="39" s="1"/>
  <c r="M196" i="39"/>
  <c r="H204" i="33"/>
  <c r="Z204" i="39" s="1"/>
  <c r="V204" i="39"/>
  <c r="F52" i="41" l="1"/>
  <c r="D53" i="41"/>
  <c r="B225" i="32"/>
  <c r="H226" i="32"/>
  <c r="Q195" i="39"/>
  <c r="H226" i="33"/>
  <c r="Z195" i="39"/>
  <c r="B225" i="33"/>
  <c r="I225" i="33" s="1"/>
  <c r="J225" i="33" s="1"/>
  <c r="E224" i="32"/>
  <c r="C224" i="32"/>
  <c r="D224" i="32" s="1"/>
  <c r="E224" i="33"/>
  <c r="C224" i="33"/>
  <c r="D224" i="33" s="1"/>
  <c r="F53" i="41" l="1"/>
  <c r="D54" i="41"/>
  <c r="B226" i="32"/>
  <c r="E225" i="32"/>
  <c r="C225" i="32"/>
  <c r="D225" i="32" s="1"/>
  <c r="B226" i="33"/>
  <c r="E225" i="33"/>
  <c r="C225" i="33"/>
  <c r="D225" i="33" s="1"/>
  <c r="I225" i="32"/>
  <c r="J225" i="32" s="1"/>
  <c r="F54" i="41" l="1"/>
  <c r="D55" i="41"/>
  <c r="C226" i="33"/>
  <c r="D226" i="33" s="1"/>
  <c r="E226" i="33"/>
  <c r="C226" i="32"/>
  <c r="D226" i="32" s="1"/>
  <c r="E226" i="32"/>
  <c r="B228" i="32"/>
  <c r="I226" i="33"/>
  <c r="J226" i="33" s="1"/>
  <c r="B228" i="33"/>
  <c r="I226" i="32"/>
  <c r="J226" i="32" s="1"/>
  <c r="F55" i="41" l="1"/>
  <c r="D56" i="41"/>
  <c r="H6" i="41"/>
  <c r="F56" i="41" l="1"/>
  <c r="D57" i="41"/>
  <c r="E172" i="37"/>
  <c r="N38" i="38"/>
  <c r="N38" i="11" s="1"/>
  <c r="F57" i="41" l="1"/>
  <c r="D58" i="41"/>
  <c r="K100" i="38"/>
  <c r="N39" i="38"/>
  <c r="F58" i="41" l="1"/>
  <c r="D59" i="41"/>
  <c r="K101" i="38"/>
  <c r="N39" i="11"/>
  <c r="D62" i="41" l="1"/>
  <c r="F59" i="41"/>
  <c r="F60" i="41" s="1"/>
  <c r="N222" i="19"/>
  <c r="E16" i="41" l="1"/>
  <c r="G60" i="41"/>
  <c r="L18" i="42" s="1"/>
  <c r="D63" i="41"/>
  <c r="F62" i="41"/>
  <c r="N222" i="33"/>
  <c r="N222" i="32"/>
  <c r="M94" i="9"/>
  <c r="K19" i="42"/>
  <c r="F63" i="41" l="1"/>
  <c r="D64" i="41"/>
  <c r="H16" i="41"/>
  <c r="I16" i="41" s="1"/>
  <c r="F16" i="41"/>
  <c r="F7" i="41" s="1"/>
  <c r="E7" i="41"/>
  <c r="H94" i="9"/>
  <c r="O94" i="9"/>
  <c r="K94" i="9"/>
  <c r="L94" i="9"/>
  <c r="I94" i="9"/>
  <c r="J94" i="9"/>
  <c r="N94" i="9"/>
  <c r="L222" i="19"/>
  <c r="R8" i="42"/>
  <c r="S8" i="42" s="1"/>
  <c r="G71" i="37" l="1"/>
  <c r="H7" i="41"/>
  <c r="D65" i="41"/>
  <c r="F64" i="41"/>
  <c r="L222" i="33"/>
  <c r="M222" i="33" s="1"/>
  <c r="O222" i="33" s="1"/>
  <c r="L222" i="32"/>
  <c r="M222" i="32" s="1"/>
  <c r="O222" i="32" s="1"/>
  <c r="P94" i="9"/>
  <c r="N223" i="19"/>
  <c r="F65" i="41" l="1"/>
  <c r="D66" i="41"/>
  <c r="G96" i="37"/>
  <c r="G117" i="37"/>
  <c r="E173" i="37" s="1"/>
  <c r="O39" i="38" s="1"/>
  <c r="O38" i="38"/>
  <c r="N223" i="32"/>
  <c r="N223" i="33"/>
  <c r="M95" i="9"/>
  <c r="L19" i="42"/>
  <c r="L101" i="38" l="1"/>
  <c r="O39" i="11"/>
  <c r="D67" i="41"/>
  <c r="F66" i="41"/>
  <c r="L100" i="38"/>
  <c r="O38" i="11"/>
  <c r="L95" i="9"/>
  <c r="I95" i="9"/>
  <c r="J95" i="9"/>
  <c r="K95" i="9"/>
  <c r="H95" i="9"/>
  <c r="N95" i="9"/>
  <c r="O95" i="9"/>
  <c r="R9" i="42"/>
  <c r="S9" i="42" s="1"/>
  <c r="L223" i="19"/>
  <c r="F67" i="41" l="1"/>
  <c r="D68" i="41"/>
  <c r="L223" i="33"/>
  <c r="M223" i="33" s="1"/>
  <c r="O223" i="33" s="1"/>
  <c r="L223" i="32"/>
  <c r="M223" i="32" s="1"/>
  <c r="O223" i="32" s="1"/>
  <c r="P95" i="9"/>
  <c r="G6" i="41"/>
  <c r="I6" i="41" s="1"/>
  <c r="G7" i="41"/>
  <c r="I7" i="41" s="1"/>
  <c r="G8" i="41"/>
  <c r="G9" i="41"/>
  <c r="G10" i="41"/>
  <c r="F68" i="41" l="1"/>
  <c r="D69" i="41"/>
  <c r="G107" i="37"/>
  <c r="G108" i="37"/>
  <c r="D70" i="41" l="1"/>
  <c r="F69" i="41"/>
  <c r="D71" i="41" l="1"/>
  <c r="F70" i="41"/>
  <c r="D72" i="41" l="1"/>
  <c r="F71" i="41"/>
  <c r="D73" i="41" l="1"/>
  <c r="F73" i="41" s="1"/>
  <c r="F74" i="41" s="1"/>
  <c r="F72" i="41"/>
  <c r="E17" i="41" l="1"/>
  <c r="G74" i="41"/>
  <c r="M18" i="42" s="1"/>
  <c r="N18" i="42" l="1"/>
  <c r="M96" i="9"/>
  <c r="N224" i="19"/>
  <c r="M19" i="42"/>
  <c r="E18" i="41"/>
  <c r="H17" i="41"/>
  <c r="I17" i="41" s="1"/>
  <c r="F17" i="41"/>
  <c r="F8" i="41" s="1"/>
  <c r="E8" i="41"/>
  <c r="G72" i="37" l="1"/>
  <c r="H8" i="41"/>
  <c r="I8" i="41" s="1"/>
  <c r="L224" i="19"/>
  <c r="R10" i="42"/>
  <c r="S10" i="42" s="1"/>
  <c r="N224" i="32"/>
  <c r="N224" i="33"/>
  <c r="I96" i="9"/>
  <c r="L96" i="9"/>
  <c r="N96" i="9"/>
  <c r="J96" i="9"/>
  <c r="K96" i="9"/>
  <c r="H96" i="9"/>
  <c r="O96" i="9"/>
  <c r="E19" i="41"/>
  <c r="F18" i="41"/>
  <c r="F9" i="41" s="1"/>
  <c r="H18" i="41"/>
  <c r="I18" i="41" s="1"/>
  <c r="E9" i="41"/>
  <c r="O18" i="42"/>
  <c r="M97" i="9"/>
  <c r="N225" i="19"/>
  <c r="N19" i="42"/>
  <c r="N225" i="32" l="1"/>
  <c r="N225" i="33"/>
  <c r="P96" i="9"/>
  <c r="L224" i="33"/>
  <c r="M224" i="33" s="1"/>
  <c r="O224" i="33" s="1"/>
  <c r="L224" i="32"/>
  <c r="M224" i="32" s="1"/>
  <c r="O224" i="32" s="1"/>
  <c r="M98" i="9"/>
  <c r="O19" i="42"/>
  <c r="N226" i="19"/>
  <c r="H19" i="41"/>
  <c r="I19" i="41" s="1"/>
  <c r="F19" i="41"/>
  <c r="F10" i="41" s="1"/>
  <c r="E10" i="41"/>
  <c r="I97" i="9"/>
  <c r="J97" i="9"/>
  <c r="L97" i="9"/>
  <c r="O97" i="9"/>
  <c r="H97" i="9"/>
  <c r="N97" i="9"/>
  <c r="K97" i="9"/>
  <c r="L225" i="19"/>
  <c r="R11" i="42"/>
  <c r="S11" i="42" s="1"/>
  <c r="G73" i="37"/>
  <c r="H9" i="41"/>
  <c r="I9" i="41" s="1"/>
  <c r="G97" i="37"/>
  <c r="G109" i="37" s="1"/>
  <c r="G118" i="37"/>
  <c r="E174" i="37" s="1"/>
  <c r="P39" i="38" s="1"/>
  <c r="P38" i="38"/>
  <c r="M100" i="38" l="1"/>
  <c r="P38" i="11"/>
  <c r="G98" i="37"/>
  <c r="G110" i="37" s="1"/>
  <c r="G119" i="37"/>
  <c r="E175" i="37" s="1"/>
  <c r="Q39" i="38" s="1"/>
  <c r="Q38" i="38"/>
  <c r="M101" i="38"/>
  <c r="P39" i="11"/>
  <c r="P97" i="9"/>
  <c r="N226" i="33"/>
  <c r="N226" i="32"/>
  <c r="L225" i="32"/>
  <c r="M225" i="32" s="1"/>
  <c r="O225" i="32" s="1"/>
  <c r="L225" i="33"/>
  <c r="M225" i="33" s="1"/>
  <c r="O225" i="33" s="1"/>
  <c r="G74" i="37"/>
  <c r="H10" i="41"/>
  <c r="I10" i="41" s="1"/>
  <c r="L226" i="19"/>
  <c r="R12" i="42"/>
  <c r="S12" i="42" s="1"/>
  <c r="K98" i="9"/>
  <c r="J98" i="9"/>
  <c r="O98" i="9"/>
  <c r="N98" i="9"/>
  <c r="I98" i="9"/>
  <c r="H98" i="9"/>
  <c r="P98" i="9" s="1"/>
  <c r="L98" i="9"/>
  <c r="L226" i="33" l="1"/>
  <c r="M226" i="33" s="1"/>
  <c r="O226" i="33" s="1"/>
  <c r="L226" i="32"/>
  <c r="M226" i="32" s="1"/>
  <c r="O226" i="32" s="1"/>
  <c r="N101" i="38"/>
  <c r="Q39" i="11"/>
  <c r="Z39" i="11" s="1"/>
  <c r="G99" i="37"/>
  <c r="G111" i="37" s="1"/>
  <c r="G120" i="37"/>
  <c r="E176" i="37" s="1"/>
  <c r="R39" i="38" s="1"/>
  <c r="R38" i="38"/>
  <c r="N100" i="38"/>
  <c r="Q38" i="11"/>
  <c r="Z38" i="11" s="1"/>
  <c r="O101" i="38" l="1"/>
  <c r="R39" i="11"/>
  <c r="AA39" i="11" s="1"/>
  <c r="O100" i="38"/>
  <c r="R38" i="11"/>
  <c r="AA38" i="11" s="1"/>
  <c r="D134" i="32" l="1"/>
  <c r="H134" i="32"/>
  <c r="I134" i="32"/>
  <c r="J134" i="32"/>
  <c r="H208" i="32"/>
  <c r="H220" i="32"/>
  <c r="I220" i="32"/>
  <c r="J220" i="32"/>
  <c r="M220" i="32"/>
  <c r="O220" i="32"/>
  <c r="Q220" i="32"/>
  <c r="S220" i="32"/>
  <c r="P222" i="32"/>
  <c r="Q222" i="32"/>
  <c r="S222" i="32"/>
  <c r="P223" i="32"/>
  <c r="Q223" i="32"/>
  <c r="S223" i="32"/>
  <c r="P224" i="32"/>
  <c r="Q224" i="32"/>
  <c r="S224" i="32"/>
  <c r="P225" i="32"/>
  <c r="Q225" i="32"/>
  <c r="S225" i="32"/>
  <c r="P226" i="32"/>
  <c r="Q226" i="32"/>
  <c r="S226" i="32"/>
  <c r="H228" i="32"/>
  <c r="I228" i="32"/>
  <c r="H230" i="32"/>
  <c r="I230" i="32"/>
  <c r="D134" i="33"/>
  <c r="H134" i="33"/>
  <c r="I134" i="33"/>
  <c r="J134" i="33"/>
  <c r="H208" i="33"/>
  <c r="H220" i="33"/>
  <c r="I220" i="33"/>
  <c r="J220" i="33"/>
  <c r="M220" i="33"/>
  <c r="O220" i="33"/>
  <c r="Q220" i="33"/>
  <c r="S220" i="33"/>
  <c r="P222" i="33"/>
  <c r="Q222" i="33"/>
  <c r="S222" i="33"/>
  <c r="P223" i="33"/>
  <c r="Q223" i="33"/>
  <c r="S223" i="33"/>
  <c r="P224" i="33"/>
  <c r="Q224" i="33"/>
  <c r="S224" i="33"/>
  <c r="P225" i="33"/>
  <c r="Q225" i="33"/>
  <c r="S225" i="33"/>
  <c r="P226" i="33"/>
  <c r="Q226" i="33"/>
  <c r="S226" i="33"/>
  <c r="H228" i="33"/>
  <c r="I228" i="33"/>
  <c r="H230" i="33"/>
  <c r="I230" i="33"/>
  <c r="D17" i="34"/>
  <c r="E17" i="34"/>
  <c r="F17" i="34"/>
  <c r="D19" i="34"/>
  <c r="D20" i="34"/>
  <c r="D21" i="34"/>
  <c r="D22" i="34"/>
  <c r="D23" i="34"/>
  <c r="D36" i="34"/>
  <c r="E36" i="34"/>
  <c r="F36" i="34"/>
  <c r="D38" i="34"/>
  <c r="E38" i="34"/>
  <c r="F38" i="34"/>
  <c r="D39" i="34"/>
  <c r="E39" i="34"/>
  <c r="F39" i="34"/>
  <c r="D40" i="34"/>
  <c r="E40" i="34"/>
  <c r="F40" i="34"/>
  <c r="D41" i="34"/>
  <c r="E41" i="34"/>
  <c r="F41" i="34"/>
  <c r="D42" i="34"/>
  <c r="E42" i="34"/>
  <c r="F42" i="34"/>
  <c r="B20" i="37"/>
  <c r="C20" i="37"/>
  <c r="D20" i="37"/>
  <c r="E20" i="37"/>
  <c r="B21" i="37"/>
  <c r="C21" i="37"/>
  <c r="D21" i="37"/>
  <c r="E21" i="37"/>
  <c r="B22" i="37"/>
  <c r="C22" i="37"/>
  <c r="D22" i="37"/>
  <c r="E22" i="37"/>
  <c r="B23" i="37"/>
  <c r="C23" i="37"/>
  <c r="D23" i="37"/>
  <c r="E23" i="37"/>
  <c r="B24" i="37"/>
  <c r="C24" i="37"/>
  <c r="D24" i="37"/>
  <c r="E24" i="37"/>
  <c r="B70" i="37"/>
  <c r="C70" i="37"/>
  <c r="D70" i="37"/>
  <c r="E70" i="37"/>
  <c r="F70" i="37"/>
  <c r="H70" i="37"/>
  <c r="I70" i="37"/>
  <c r="J70" i="37"/>
  <c r="B71" i="37"/>
  <c r="C71" i="37"/>
  <c r="D71" i="37"/>
  <c r="E71" i="37"/>
  <c r="F71" i="37"/>
  <c r="H71" i="37"/>
  <c r="I71" i="37"/>
  <c r="J71" i="37"/>
  <c r="B72" i="37"/>
  <c r="C72" i="37"/>
  <c r="D72" i="37"/>
  <c r="E72" i="37"/>
  <c r="F72" i="37"/>
  <c r="H72" i="37"/>
  <c r="I72" i="37"/>
  <c r="J72" i="37"/>
  <c r="B73" i="37"/>
  <c r="C73" i="37"/>
  <c r="D73" i="37"/>
  <c r="E73" i="37"/>
  <c r="F73" i="37"/>
  <c r="H73" i="37"/>
  <c r="I73" i="37"/>
  <c r="J73" i="37"/>
  <c r="B74" i="37"/>
  <c r="C74" i="37"/>
  <c r="D74" i="37"/>
  <c r="E74" i="37"/>
  <c r="F74" i="37"/>
  <c r="H74" i="37"/>
  <c r="I74" i="37"/>
  <c r="J74" i="37"/>
  <c r="B95" i="37"/>
  <c r="C95" i="37"/>
  <c r="D95" i="37"/>
  <c r="E95" i="37"/>
  <c r="F95" i="37"/>
  <c r="H95" i="37"/>
  <c r="I95" i="37"/>
  <c r="J95" i="37"/>
  <c r="B96" i="37"/>
  <c r="C96" i="37"/>
  <c r="D96" i="37"/>
  <c r="E96" i="37"/>
  <c r="F96" i="37"/>
  <c r="H96" i="37"/>
  <c r="I96" i="37"/>
  <c r="J96" i="37"/>
  <c r="B97" i="37"/>
  <c r="C97" i="37"/>
  <c r="D97" i="37"/>
  <c r="E97" i="37"/>
  <c r="F97" i="37"/>
  <c r="H97" i="37"/>
  <c r="I97" i="37"/>
  <c r="J97" i="37"/>
  <c r="B98" i="37"/>
  <c r="C98" i="37"/>
  <c r="D98" i="37"/>
  <c r="E98" i="37"/>
  <c r="F98" i="37"/>
  <c r="H98" i="37"/>
  <c r="I98" i="37"/>
  <c r="J98" i="37"/>
  <c r="B99" i="37"/>
  <c r="C99" i="37"/>
  <c r="D99" i="37"/>
  <c r="E99" i="37"/>
  <c r="F99" i="37"/>
  <c r="H99" i="37"/>
  <c r="I99" i="37"/>
  <c r="J99" i="37"/>
  <c r="B107" i="37"/>
  <c r="C107" i="37"/>
  <c r="D107" i="37"/>
  <c r="E107" i="37"/>
  <c r="F107" i="37"/>
  <c r="H107" i="37"/>
  <c r="I107" i="37"/>
  <c r="J107" i="37"/>
  <c r="B108" i="37"/>
  <c r="C108" i="37"/>
  <c r="D108" i="37"/>
  <c r="E108" i="37"/>
  <c r="F108" i="37"/>
  <c r="H108" i="37"/>
  <c r="I108" i="37"/>
  <c r="J108" i="37"/>
  <c r="B109" i="37"/>
  <c r="C109" i="37"/>
  <c r="D109" i="37"/>
  <c r="E109" i="37"/>
  <c r="F109" i="37"/>
  <c r="H109" i="37"/>
  <c r="I109" i="37"/>
  <c r="J109" i="37"/>
  <c r="B110" i="37"/>
  <c r="C110" i="37"/>
  <c r="D110" i="37"/>
  <c r="E110" i="37"/>
  <c r="F110" i="37"/>
  <c r="H110" i="37"/>
  <c r="I110" i="37"/>
  <c r="J110" i="37"/>
  <c r="B111" i="37"/>
  <c r="C111" i="37"/>
  <c r="D111" i="37"/>
  <c r="E111" i="37"/>
  <c r="F111" i="37"/>
  <c r="H111" i="37"/>
  <c r="I111" i="37"/>
  <c r="J111" i="37"/>
  <c r="B116" i="37"/>
  <c r="C116" i="37"/>
  <c r="D116" i="37"/>
  <c r="E116" i="37"/>
  <c r="F116" i="37"/>
  <c r="H116" i="37"/>
  <c r="I116" i="37"/>
  <c r="J116" i="37"/>
  <c r="B117" i="37"/>
  <c r="C117" i="37"/>
  <c r="D117" i="37"/>
  <c r="E117" i="37"/>
  <c r="F117" i="37"/>
  <c r="H117" i="37"/>
  <c r="I117" i="37"/>
  <c r="J117" i="37"/>
  <c r="B118" i="37"/>
  <c r="C118" i="37"/>
  <c r="D118" i="37"/>
  <c r="E118" i="37"/>
  <c r="F118" i="37"/>
  <c r="H118" i="37"/>
  <c r="I118" i="37"/>
  <c r="J118" i="37"/>
  <c r="B119" i="37"/>
  <c r="C119" i="37"/>
  <c r="D119" i="37"/>
  <c r="E119" i="37"/>
  <c r="F119" i="37"/>
  <c r="H119" i="37"/>
  <c r="I119" i="37"/>
  <c r="J119" i="37"/>
  <c r="B120" i="37"/>
  <c r="C120" i="37"/>
  <c r="D120" i="37"/>
  <c r="E120" i="37"/>
  <c r="F120" i="37"/>
  <c r="H120" i="37"/>
  <c r="I120" i="37"/>
  <c r="J120" i="37"/>
  <c r="B172" i="37"/>
  <c r="C172" i="37"/>
  <c r="D172" i="37"/>
  <c r="F172" i="37"/>
  <c r="G172" i="37"/>
  <c r="B173" i="37"/>
  <c r="C173" i="37"/>
  <c r="D173" i="37"/>
  <c r="F173" i="37"/>
  <c r="G173" i="37"/>
  <c r="B174" i="37"/>
  <c r="C174" i="37"/>
  <c r="D174" i="37"/>
  <c r="F174" i="37"/>
  <c r="G174" i="37"/>
  <c r="B175" i="37"/>
  <c r="C175" i="37"/>
  <c r="D175" i="37"/>
  <c r="F175" i="37"/>
  <c r="G175" i="37"/>
  <c r="B176" i="37"/>
  <c r="C176" i="37"/>
  <c r="D176" i="37"/>
  <c r="F176" i="37"/>
  <c r="G176" i="37"/>
  <c r="L6" i="38"/>
  <c r="N6" i="38"/>
  <c r="O6" i="38"/>
  <c r="P6" i="38"/>
  <c r="Q6" i="38"/>
  <c r="R6" i="38"/>
  <c r="L7" i="38"/>
  <c r="N9" i="38"/>
  <c r="O9" i="38"/>
  <c r="P9" i="38"/>
  <c r="Q9" i="38"/>
  <c r="R9" i="38"/>
  <c r="N10" i="38"/>
  <c r="O10" i="38"/>
  <c r="P10" i="38"/>
  <c r="Q10" i="38"/>
  <c r="R10" i="38"/>
  <c r="N15" i="38"/>
  <c r="O15" i="38"/>
  <c r="P15" i="38"/>
  <c r="Q15" i="38"/>
  <c r="R15" i="38"/>
  <c r="N19" i="38"/>
  <c r="O19" i="38"/>
  <c r="P19" i="38"/>
  <c r="Q19" i="38"/>
  <c r="R19" i="38"/>
  <c r="N23" i="38"/>
  <c r="O23" i="38"/>
  <c r="P23" i="38"/>
  <c r="Q23" i="38"/>
  <c r="R23" i="38"/>
  <c r="N24" i="38"/>
  <c r="O24" i="38"/>
  <c r="P24" i="38"/>
  <c r="Q24" i="38"/>
  <c r="R24" i="38"/>
  <c r="N28" i="38"/>
  <c r="O28" i="38"/>
  <c r="P28" i="38"/>
  <c r="Q28" i="38"/>
  <c r="R28" i="38"/>
  <c r="N29" i="38"/>
  <c r="O29" i="38"/>
  <c r="P29" i="38"/>
  <c r="Q29" i="38"/>
  <c r="R29" i="38"/>
  <c r="N33" i="38"/>
  <c r="O33" i="38"/>
  <c r="P33" i="38"/>
  <c r="Q33" i="38"/>
  <c r="R33" i="38"/>
  <c r="N34" i="38"/>
  <c r="O34" i="38"/>
  <c r="P34" i="38"/>
  <c r="Q34" i="38"/>
  <c r="R34" i="38"/>
  <c r="N43" i="38"/>
  <c r="O43" i="38"/>
  <c r="P43" i="38"/>
  <c r="Q43" i="38"/>
  <c r="R43" i="38"/>
  <c r="N44" i="38"/>
  <c r="O44" i="38"/>
  <c r="P44" i="38"/>
  <c r="Q44" i="38"/>
  <c r="R44" i="38"/>
  <c r="N48" i="38"/>
  <c r="O48" i="38"/>
  <c r="P48" i="38"/>
  <c r="Q48" i="38"/>
  <c r="R48" i="38"/>
  <c r="N52" i="38"/>
  <c r="O52" i="38"/>
  <c r="P52" i="38"/>
  <c r="Q52" i="38"/>
  <c r="R52" i="38"/>
  <c r="N53" i="38"/>
  <c r="O53" i="38"/>
  <c r="P53" i="38"/>
  <c r="Q53" i="38"/>
  <c r="R53" i="38"/>
  <c r="N57" i="38"/>
  <c r="O57" i="38"/>
  <c r="P57" i="38"/>
  <c r="Q57" i="38"/>
  <c r="R57" i="38"/>
  <c r="N58" i="38"/>
  <c r="O58" i="38"/>
  <c r="P58" i="38"/>
  <c r="Q58" i="38"/>
  <c r="R58" i="38"/>
  <c r="N62" i="38"/>
  <c r="O62" i="38"/>
  <c r="P62" i="38"/>
  <c r="Q62" i="38"/>
  <c r="R62" i="38"/>
  <c r="N63" i="38"/>
  <c r="O63" i="38"/>
  <c r="P63" i="38"/>
  <c r="Q63" i="38"/>
  <c r="R63" i="38"/>
  <c r="I69" i="38"/>
  <c r="K69" i="38"/>
  <c r="L69" i="38"/>
  <c r="M69" i="38"/>
  <c r="N69" i="38"/>
  <c r="O69" i="38"/>
  <c r="I70" i="38"/>
  <c r="K72" i="38"/>
  <c r="L72" i="38"/>
  <c r="M72" i="38"/>
  <c r="N72" i="38"/>
  <c r="O72" i="38"/>
  <c r="K77" i="38"/>
  <c r="L77" i="38"/>
  <c r="M77" i="38"/>
  <c r="N77" i="38"/>
  <c r="O77" i="38"/>
  <c r="K81" i="38"/>
  <c r="L81" i="38"/>
  <c r="M81" i="38"/>
  <c r="N81" i="38"/>
  <c r="O81" i="38"/>
  <c r="K85" i="38"/>
  <c r="L85" i="38"/>
  <c r="M85" i="38"/>
  <c r="N85" i="38"/>
  <c r="O85" i="38"/>
  <c r="K86" i="38"/>
  <c r="L86" i="38"/>
  <c r="M86" i="38"/>
  <c r="N86" i="38"/>
  <c r="O86" i="38"/>
  <c r="K90" i="38"/>
  <c r="L90" i="38"/>
  <c r="M90" i="38"/>
  <c r="N90" i="38"/>
  <c r="O90" i="38"/>
  <c r="K91" i="38"/>
  <c r="L91" i="38"/>
  <c r="M91" i="38"/>
  <c r="N91" i="38"/>
  <c r="O91" i="38"/>
  <c r="K95" i="38"/>
  <c r="L95" i="38"/>
  <c r="M95" i="38"/>
  <c r="N95" i="38"/>
  <c r="O95" i="38"/>
  <c r="K96" i="38"/>
  <c r="L96" i="38"/>
  <c r="M96" i="38"/>
  <c r="N96" i="38"/>
  <c r="O96" i="38"/>
  <c r="K105" i="38"/>
  <c r="L105" i="38"/>
  <c r="M105" i="38"/>
  <c r="N105" i="38"/>
  <c r="O105" i="38"/>
  <c r="K106" i="38"/>
  <c r="L106" i="38"/>
  <c r="M106" i="38"/>
  <c r="N106" i="38"/>
  <c r="O106" i="38"/>
  <c r="K110" i="38"/>
  <c r="L110" i="38"/>
  <c r="M110" i="38"/>
  <c r="N110" i="38"/>
  <c r="O110" i="38"/>
  <c r="K114" i="38"/>
  <c r="L114" i="38"/>
  <c r="M114" i="38"/>
  <c r="N114" i="38"/>
  <c r="O114" i="38"/>
  <c r="K115" i="38"/>
  <c r="L115" i="38"/>
  <c r="M115" i="38"/>
  <c r="N115" i="38"/>
  <c r="O115" i="38"/>
  <c r="D134" i="39"/>
  <c r="H134" i="39"/>
  <c r="M134" i="39"/>
  <c r="Q134" i="39"/>
  <c r="V134" i="39"/>
  <c r="Z134" i="39"/>
  <c r="D147" i="39"/>
  <c r="H147" i="39"/>
  <c r="D148" i="39"/>
  <c r="H148" i="39"/>
  <c r="D149" i="39"/>
  <c r="H149" i="39"/>
  <c r="D150" i="39"/>
  <c r="H150" i="39"/>
  <c r="D151" i="39"/>
  <c r="H151" i="39"/>
  <c r="D152" i="39"/>
  <c r="H152" i="39"/>
  <c r="D153" i="39"/>
  <c r="H153" i="39"/>
  <c r="D154" i="39"/>
  <c r="H154" i="39"/>
  <c r="D155" i="39"/>
  <c r="H155" i="39"/>
  <c r="D156" i="39"/>
  <c r="H156" i="39"/>
  <c r="D157" i="39"/>
  <c r="H157" i="39"/>
  <c r="D158" i="39"/>
  <c r="H158" i="39"/>
  <c r="D159" i="39"/>
  <c r="H159" i="39"/>
  <c r="D160" i="39"/>
  <c r="H160" i="39"/>
  <c r="D161" i="39"/>
  <c r="H161" i="39"/>
  <c r="D162" i="39"/>
  <c r="H162" i="39"/>
  <c r="D163" i="39"/>
  <c r="H163" i="39"/>
  <c r="D164" i="39"/>
  <c r="H164" i="39"/>
  <c r="D165" i="39"/>
  <c r="H165" i="39"/>
  <c r="D166" i="39"/>
  <c r="H166" i="39"/>
  <c r="D167" i="39"/>
  <c r="H167" i="39"/>
  <c r="D168" i="39"/>
  <c r="H168" i="39"/>
  <c r="D169" i="39"/>
  <c r="H169" i="39"/>
  <c r="D170" i="39"/>
  <c r="H170" i="39"/>
  <c r="D171" i="39"/>
  <c r="H171" i="39"/>
  <c r="D172" i="39"/>
  <c r="H172" i="39"/>
  <c r="D173" i="39"/>
  <c r="H173" i="39"/>
  <c r="D174" i="39"/>
  <c r="H174" i="39"/>
  <c r="D175" i="39"/>
  <c r="H175" i="39"/>
  <c r="D176" i="39"/>
  <c r="H176" i="39"/>
  <c r="D177" i="39"/>
  <c r="H177" i="39"/>
  <c r="D178" i="39"/>
  <c r="H178" i="39"/>
  <c r="D179" i="39"/>
  <c r="H179" i="39"/>
  <c r="D180" i="39"/>
  <c r="H180" i="39"/>
  <c r="D181" i="39"/>
  <c r="H181" i="39"/>
  <c r="D182" i="39"/>
  <c r="H182" i="39"/>
  <c r="D183" i="39"/>
  <c r="H183" i="39"/>
  <c r="D184" i="39"/>
  <c r="H184" i="39"/>
  <c r="D185" i="39"/>
  <c r="H185" i="39"/>
  <c r="D186" i="39"/>
  <c r="H186" i="39"/>
  <c r="D187" i="39"/>
  <c r="H187" i="39"/>
  <c r="D188" i="39"/>
  <c r="H188" i="39"/>
  <c r="D189" i="39"/>
  <c r="H189" i="39"/>
  <c r="D190" i="39"/>
  <c r="H190" i="39"/>
  <c r="D191" i="39"/>
  <c r="H191" i="39"/>
  <c r="D192" i="39"/>
  <c r="H192" i="39"/>
  <c r="D193" i="39"/>
  <c r="H193" i="39"/>
  <c r="D194" i="39"/>
  <c r="H194" i="39"/>
  <c r="D195" i="39"/>
  <c r="H195" i="39"/>
  <c r="D196" i="39"/>
  <c r="H196" i="39"/>
  <c r="D197" i="39"/>
  <c r="H197" i="39"/>
  <c r="D198" i="39"/>
  <c r="H198" i="39"/>
  <c r="D199" i="39"/>
  <c r="H199" i="39"/>
  <c r="D200" i="39"/>
  <c r="H200" i="39"/>
  <c r="D201" i="39"/>
  <c r="H201" i="39"/>
  <c r="D202" i="39"/>
  <c r="H202" i="39"/>
  <c r="D203" i="39"/>
  <c r="H203" i="39"/>
  <c r="D204" i="39"/>
  <c r="H204" i="39"/>
  <c r="D205" i="39"/>
  <c r="H205" i="39"/>
  <c r="D206" i="39"/>
  <c r="H206" i="39"/>
  <c r="B85" i="44"/>
  <c r="C85" i="44"/>
  <c r="D85" i="44"/>
  <c r="E85" i="44"/>
  <c r="F85" i="44"/>
  <c r="G85" i="44"/>
  <c r="H85" i="44"/>
  <c r="I85" i="44"/>
  <c r="J85" i="44"/>
  <c r="B86" i="44"/>
  <c r="C86" i="44"/>
  <c r="D86" i="44"/>
  <c r="E86" i="44"/>
  <c r="F86" i="44"/>
  <c r="G86" i="44"/>
  <c r="H86" i="44"/>
  <c r="I86" i="44"/>
  <c r="J86" i="44"/>
  <c r="B87" i="44"/>
  <c r="C87" i="44"/>
  <c r="D87" i="44"/>
  <c r="E87" i="44"/>
  <c r="F87" i="44"/>
  <c r="G87" i="44"/>
  <c r="H87" i="44"/>
  <c r="I87" i="44"/>
  <c r="J87" i="44"/>
  <c r="B88" i="44"/>
  <c r="C88" i="44"/>
  <c r="D88" i="44"/>
  <c r="E88" i="44"/>
  <c r="F88" i="44"/>
  <c r="G88" i="44"/>
  <c r="H88" i="44"/>
  <c r="I88" i="44"/>
  <c r="J88" i="44"/>
  <c r="B89" i="44"/>
  <c r="C89" i="44"/>
  <c r="D89" i="44"/>
  <c r="E89" i="44"/>
  <c r="F89" i="44"/>
  <c r="G89" i="44"/>
  <c r="H89" i="44"/>
  <c r="I89" i="44"/>
  <c r="J89" i="44"/>
  <c r="B93" i="44"/>
  <c r="C93" i="44"/>
  <c r="D93" i="44"/>
  <c r="E93" i="44"/>
  <c r="F93" i="44"/>
  <c r="G93" i="44"/>
  <c r="H93" i="44"/>
  <c r="I93" i="44"/>
  <c r="J93" i="44"/>
  <c r="B94" i="44"/>
  <c r="C94" i="44"/>
  <c r="D94" i="44"/>
  <c r="E94" i="44"/>
  <c r="F94" i="44"/>
  <c r="G94" i="44"/>
  <c r="H94" i="44"/>
  <c r="I94" i="44"/>
  <c r="J94" i="44"/>
  <c r="B95" i="44"/>
  <c r="C95" i="44"/>
  <c r="D95" i="44"/>
  <c r="E95" i="44"/>
  <c r="F95" i="44"/>
  <c r="G95" i="44"/>
  <c r="H95" i="44"/>
  <c r="I95" i="44"/>
  <c r="J95" i="44"/>
  <c r="B96" i="44"/>
  <c r="C96" i="44"/>
  <c r="D96" i="44"/>
  <c r="E96" i="44"/>
  <c r="F96" i="44"/>
  <c r="G96" i="44"/>
  <c r="H96" i="44"/>
  <c r="I96" i="44"/>
  <c r="J96" i="44"/>
  <c r="B97" i="44"/>
  <c r="C97" i="44"/>
  <c r="D97" i="44"/>
  <c r="E97" i="44"/>
  <c r="F97" i="44"/>
  <c r="G97" i="44"/>
  <c r="H97" i="44"/>
  <c r="I97" i="44"/>
  <c r="J97" i="44"/>
  <c r="B101" i="44"/>
  <c r="C101" i="44"/>
  <c r="B102" i="44"/>
  <c r="C102" i="44"/>
  <c r="B103" i="44"/>
  <c r="C103" i="44"/>
  <c r="B104" i="44"/>
  <c r="C104" i="44"/>
  <c r="B105" i="44"/>
  <c r="C105" i="44"/>
  <c r="D134" i="21"/>
  <c r="I134" i="21"/>
  <c r="J134" i="21"/>
  <c r="K134" i="21"/>
  <c r="D147" i="21"/>
  <c r="I147" i="21"/>
  <c r="D148" i="21"/>
  <c r="I148" i="21"/>
  <c r="D149" i="21"/>
  <c r="I149" i="21"/>
  <c r="D150" i="21"/>
  <c r="I150" i="21"/>
  <c r="D151" i="21"/>
  <c r="I151" i="21"/>
  <c r="D152" i="21"/>
  <c r="I152" i="21"/>
  <c r="D153" i="21"/>
  <c r="I153" i="21"/>
  <c r="D154" i="21"/>
  <c r="I154" i="21"/>
  <c r="D155" i="21"/>
  <c r="I155" i="21"/>
  <c r="D156" i="21"/>
  <c r="I156" i="21"/>
  <c r="D157" i="21"/>
  <c r="I157" i="21"/>
  <c r="D158" i="21"/>
  <c r="I158" i="21"/>
  <c r="D159" i="21"/>
  <c r="I159" i="21"/>
  <c r="D160" i="21"/>
  <c r="I160" i="21"/>
  <c r="D161" i="21"/>
  <c r="I161" i="21"/>
  <c r="D162" i="21"/>
  <c r="I162" i="21"/>
  <c r="D163" i="21"/>
  <c r="I163" i="21"/>
  <c r="D164" i="21"/>
  <c r="I164" i="21"/>
  <c r="D165" i="21"/>
  <c r="I165" i="21"/>
  <c r="D166" i="21"/>
  <c r="I166" i="21"/>
  <c r="D167" i="21"/>
  <c r="I167" i="21"/>
  <c r="D168" i="21"/>
  <c r="I168" i="21"/>
  <c r="D169" i="21"/>
  <c r="I169" i="21"/>
  <c r="D170" i="21"/>
  <c r="I170" i="21"/>
  <c r="D171" i="21"/>
  <c r="I171" i="21"/>
  <c r="D172" i="21"/>
  <c r="I172" i="21"/>
  <c r="D173" i="21"/>
  <c r="I173" i="21"/>
  <c r="D174" i="21"/>
  <c r="I174" i="21"/>
  <c r="D175" i="21"/>
  <c r="I175" i="21"/>
  <c r="D176" i="21"/>
  <c r="I176" i="21"/>
  <c r="D177" i="21"/>
  <c r="I177" i="21"/>
  <c r="D178" i="21"/>
  <c r="I178" i="21"/>
  <c r="D179" i="21"/>
  <c r="I179" i="21"/>
  <c r="D180" i="21"/>
  <c r="I180" i="21"/>
  <c r="D181" i="21"/>
  <c r="I181" i="21"/>
  <c r="D182" i="21"/>
  <c r="I182" i="21"/>
  <c r="D183" i="21"/>
  <c r="I183" i="21"/>
  <c r="D184" i="21"/>
  <c r="I184" i="21"/>
  <c r="D185" i="21"/>
  <c r="I185" i="21"/>
  <c r="D186" i="21"/>
  <c r="I186" i="21"/>
  <c r="D187" i="21"/>
  <c r="I187" i="21"/>
  <c r="D188" i="21"/>
  <c r="I188" i="21"/>
  <c r="D189" i="21"/>
  <c r="I189" i="21"/>
  <c r="D190" i="21"/>
  <c r="I190" i="21"/>
  <c r="D191" i="21"/>
  <c r="I191" i="21"/>
  <c r="D192" i="21"/>
  <c r="I192" i="21"/>
  <c r="D193" i="21"/>
  <c r="I193" i="21"/>
  <c r="D194" i="21"/>
  <c r="I194" i="21"/>
  <c r="D195" i="21"/>
  <c r="I195" i="21"/>
  <c r="D196" i="21"/>
  <c r="I196" i="21"/>
  <c r="D197" i="21"/>
  <c r="I197" i="21"/>
  <c r="D198" i="21"/>
  <c r="I198" i="21"/>
  <c r="D199" i="21"/>
  <c r="I199" i="21"/>
  <c r="D200" i="21"/>
  <c r="I200" i="21"/>
  <c r="D201" i="21"/>
  <c r="I201" i="21"/>
  <c r="D202" i="21"/>
  <c r="I202" i="21"/>
  <c r="D203" i="21"/>
  <c r="I203" i="21"/>
  <c r="D204" i="21"/>
  <c r="I204" i="21"/>
  <c r="D205" i="21"/>
  <c r="I205" i="21"/>
  <c r="D206" i="21"/>
  <c r="I206" i="21"/>
  <c r="I208" i="21"/>
  <c r="I220" i="21"/>
  <c r="J220" i="21"/>
  <c r="K220" i="21"/>
  <c r="B222" i="21"/>
  <c r="C222" i="21"/>
  <c r="D222" i="21"/>
  <c r="E222" i="21"/>
  <c r="I222" i="21"/>
  <c r="J222" i="21"/>
  <c r="K222" i="21"/>
  <c r="B223" i="21"/>
  <c r="C223" i="21"/>
  <c r="D223" i="21"/>
  <c r="E223" i="21"/>
  <c r="I223" i="21"/>
  <c r="J223" i="21"/>
  <c r="K223" i="21"/>
  <c r="B224" i="21"/>
  <c r="C224" i="21"/>
  <c r="D224" i="21"/>
  <c r="E224" i="21"/>
  <c r="I224" i="21"/>
  <c r="J224" i="21"/>
  <c r="K224" i="21"/>
  <c r="B225" i="21"/>
  <c r="C225" i="21"/>
  <c r="D225" i="21"/>
  <c r="E225" i="21"/>
  <c r="I225" i="21"/>
  <c r="J225" i="21"/>
  <c r="K225" i="21"/>
  <c r="B226" i="21"/>
  <c r="C226" i="21"/>
  <c r="D226" i="21"/>
  <c r="E226" i="21"/>
  <c r="I226" i="21"/>
  <c r="J226" i="21"/>
  <c r="K226" i="21"/>
  <c r="B228" i="21"/>
  <c r="I228" i="21"/>
  <c r="J228" i="21"/>
  <c r="I230" i="21"/>
  <c r="J230" i="21"/>
  <c r="D134" i="22"/>
  <c r="I134" i="22"/>
  <c r="J134" i="22"/>
  <c r="K134" i="22"/>
  <c r="D147" i="22"/>
  <c r="I147" i="22"/>
  <c r="D148" i="22"/>
  <c r="I148" i="22"/>
  <c r="D149" i="22"/>
  <c r="I149" i="22"/>
  <c r="D150" i="22"/>
  <c r="I150" i="22"/>
  <c r="D151" i="22"/>
  <c r="I151" i="22"/>
  <c r="D152" i="22"/>
  <c r="I152" i="22"/>
  <c r="D153" i="22"/>
  <c r="I153" i="22"/>
  <c r="D154" i="22"/>
  <c r="I154" i="22"/>
  <c r="D155" i="22"/>
  <c r="I155" i="22"/>
  <c r="D156" i="22"/>
  <c r="I156" i="22"/>
  <c r="D157" i="22"/>
  <c r="I157" i="22"/>
  <c r="D158" i="22"/>
  <c r="I158" i="22"/>
  <c r="D159" i="22"/>
  <c r="I159" i="22"/>
  <c r="D160" i="22"/>
  <c r="I160" i="22"/>
  <c r="D161" i="22"/>
  <c r="I161" i="22"/>
  <c r="D162" i="22"/>
  <c r="I162" i="22"/>
  <c r="D163" i="22"/>
  <c r="I163" i="22"/>
  <c r="D164" i="22"/>
  <c r="I164" i="22"/>
  <c r="D165" i="22"/>
  <c r="I165" i="22"/>
  <c r="D166" i="22"/>
  <c r="I166" i="22"/>
  <c r="D167" i="22"/>
  <c r="I167" i="22"/>
  <c r="D168" i="22"/>
  <c r="I168" i="22"/>
  <c r="D169" i="22"/>
  <c r="I169" i="22"/>
  <c r="D170" i="22"/>
  <c r="I170" i="22"/>
  <c r="D171" i="22"/>
  <c r="I171" i="22"/>
  <c r="D172" i="22"/>
  <c r="I172" i="22"/>
  <c r="D173" i="22"/>
  <c r="I173" i="22"/>
  <c r="D174" i="22"/>
  <c r="I174" i="22"/>
  <c r="D175" i="22"/>
  <c r="I175" i="22"/>
  <c r="D176" i="22"/>
  <c r="I176" i="22"/>
  <c r="D177" i="22"/>
  <c r="I177" i="22"/>
  <c r="D178" i="22"/>
  <c r="I178" i="22"/>
  <c r="D179" i="22"/>
  <c r="I179" i="22"/>
  <c r="D180" i="22"/>
  <c r="I180" i="22"/>
  <c r="D181" i="22"/>
  <c r="I181" i="22"/>
  <c r="D182" i="22"/>
  <c r="I182" i="22"/>
  <c r="D183" i="22"/>
  <c r="I183" i="22"/>
  <c r="D184" i="22"/>
  <c r="I184" i="22"/>
  <c r="D185" i="22"/>
  <c r="I185" i="22"/>
  <c r="D186" i="22"/>
  <c r="I186" i="22"/>
  <c r="D187" i="22"/>
  <c r="I187" i="22"/>
  <c r="D188" i="22"/>
  <c r="I188" i="22"/>
  <c r="D189" i="22"/>
  <c r="I189" i="22"/>
  <c r="D190" i="22"/>
  <c r="I190" i="22"/>
  <c r="D191" i="22"/>
  <c r="I191" i="22"/>
  <c r="D192" i="22"/>
  <c r="I192" i="22"/>
  <c r="D193" i="22"/>
  <c r="I193" i="22"/>
  <c r="D194" i="22"/>
  <c r="I194" i="22"/>
  <c r="D195" i="22"/>
  <c r="I195" i="22"/>
  <c r="D196" i="22"/>
  <c r="I196" i="22"/>
  <c r="D197" i="22"/>
  <c r="I197" i="22"/>
  <c r="D198" i="22"/>
  <c r="I198" i="22"/>
  <c r="D199" i="22"/>
  <c r="I199" i="22"/>
  <c r="D200" i="22"/>
  <c r="I200" i="22"/>
  <c r="D201" i="22"/>
  <c r="I201" i="22"/>
  <c r="D202" i="22"/>
  <c r="I202" i="22"/>
  <c r="D203" i="22"/>
  <c r="I203" i="22"/>
  <c r="D204" i="22"/>
  <c r="I204" i="22"/>
  <c r="D205" i="22"/>
  <c r="I205" i="22"/>
  <c r="D206" i="22"/>
  <c r="I206" i="22"/>
  <c r="I208" i="22"/>
  <c r="I220" i="22"/>
  <c r="J220" i="22"/>
  <c r="K220" i="22"/>
  <c r="B222" i="22"/>
  <c r="C222" i="22"/>
  <c r="D222" i="22"/>
  <c r="E222" i="22"/>
  <c r="I222" i="22"/>
  <c r="J222" i="22"/>
  <c r="K222" i="22"/>
  <c r="B223" i="22"/>
  <c r="C223" i="22"/>
  <c r="D223" i="22"/>
  <c r="E223" i="22"/>
  <c r="I223" i="22"/>
  <c r="J223" i="22"/>
  <c r="K223" i="22"/>
  <c r="B224" i="22"/>
  <c r="C224" i="22"/>
  <c r="D224" i="22"/>
  <c r="E224" i="22"/>
  <c r="I224" i="22"/>
  <c r="J224" i="22"/>
  <c r="K224" i="22"/>
  <c r="B225" i="22"/>
  <c r="C225" i="22"/>
  <c r="D225" i="22"/>
  <c r="E225" i="22"/>
  <c r="I225" i="22"/>
  <c r="J225" i="22"/>
  <c r="K225" i="22"/>
  <c r="B226" i="22"/>
  <c r="C226" i="22"/>
  <c r="D226" i="22"/>
  <c r="E226" i="22"/>
  <c r="I226" i="22"/>
  <c r="J226" i="22"/>
  <c r="K226" i="22"/>
  <c r="B228" i="22"/>
  <c r="I228" i="22"/>
  <c r="J228" i="22"/>
  <c r="I230" i="22"/>
  <c r="J230" i="22"/>
  <c r="D134" i="26"/>
  <c r="I134" i="26"/>
  <c r="J134" i="26"/>
  <c r="K134" i="26"/>
  <c r="D147" i="26"/>
  <c r="I147" i="26"/>
  <c r="D148" i="26"/>
  <c r="I148" i="26"/>
  <c r="D149" i="26"/>
  <c r="I149" i="26"/>
  <c r="D150" i="26"/>
  <c r="I150" i="26"/>
  <c r="D151" i="26"/>
  <c r="I151" i="26"/>
  <c r="D152" i="26"/>
  <c r="I152" i="26"/>
  <c r="D153" i="26"/>
  <c r="I153" i="26"/>
  <c r="D154" i="26"/>
  <c r="I154" i="26"/>
  <c r="D155" i="26"/>
  <c r="I155" i="26"/>
  <c r="D156" i="26"/>
  <c r="I156" i="26"/>
  <c r="D157" i="26"/>
  <c r="I157" i="26"/>
  <c r="D158" i="26"/>
  <c r="I158" i="26"/>
  <c r="D159" i="26"/>
  <c r="I159" i="26"/>
  <c r="D160" i="26"/>
  <c r="I160" i="26"/>
  <c r="D161" i="26"/>
  <c r="I161" i="26"/>
  <c r="D162" i="26"/>
  <c r="I162" i="26"/>
  <c r="D163" i="26"/>
  <c r="I163" i="26"/>
  <c r="D164" i="26"/>
  <c r="I164" i="26"/>
  <c r="D165" i="26"/>
  <c r="I165" i="26"/>
  <c r="D166" i="26"/>
  <c r="I166" i="26"/>
  <c r="D167" i="26"/>
  <c r="I167" i="26"/>
  <c r="D168" i="26"/>
  <c r="I168" i="26"/>
  <c r="D169" i="26"/>
  <c r="I169" i="26"/>
  <c r="D170" i="26"/>
  <c r="I170" i="26"/>
  <c r="D171" i="26"/>
  <c r="I171" i="26"/>
  <c r="D172" i="26"/>
  <c r="I172" i="26"/>
  <c r="D173" i="26"/>
  <c r="I173" i="26"/>
  <c r="D174" i="26"/>
  <c r="I174" i="26"/>
  <c r="D175" i="26"/>
  <c r="I175" i="26"/>
  <c r="D176" i="26"/>
  <c r="I176" i="26"/>
  <c r="D177" i="26"/>
  <c r="I177" i="26"/>
  <c r="D178" i="26"/>
  <c r="I178" i="26"/>
  <c r="D179" i="26"/>
  <c r="I179" i="26"/>
  <c r="D180" i="26"/>
  <c r="I180" i="26"/>
  <c r="D181" i="26"/>
  <c r="I181" i="26"/>
  <c r="D182" i="26"/>
  <c r="I182" i="26"/>
  <c r="D183" i="26"/>
  <c r="I183" i="26"/>
  <c r="D184" i="26"/>
  <c r="I184" i="26"/>
  <c r="D185" i="26"/>
  <c r="I185" i="26"/>
  <c r="D186" i="26"/>
  <c r="I186" i="26"/>
  <c r="D187" i="26"/>
  <c r="I187" i="26"/>
  <c r="D188" i="26"/>
  <c r="I188" i="26"/>
  <c r="D189" i="26"/>
  <c r="I189" i="26"/>
  <c r="D190" i="26"/>
  <c r="I190" i="26"/>
  <c r="D191" i="26"/>
  <c r="I191" i="26"/>
  <c r="D192" i="26"/>
  <c r="I192" i="26"/>
  <c r="D193" i="26"/>
  <c r="I193" i="26"/>
  <c r="D194" i="26"/>
  <c r="I194" i="26"/>
  <c r="D195" i="26"/>
  <c r="I195" i="26"/>
  <c r="D196" i="26"/>
  <c r="I196" i="26"/>
  <c r="D197" i="26"/>
  <c r="I197" i="26"/>
  <c r="D198" i="26"/>
  <c r="I198" i="26"/>
  <c r="D199" i="26"/>
  <c r="I199" i="26"/>
  <c r="D200" i="26"/>
  <c r="I200" i="26"/>
  <c r="D201" i="26"/>
  <c r="I201" i="26"/>
  <c r="D202" i="26"/>
  <c r="I202" i="26"/>
  <c r="D203" i="26"/>
  <c r="I203" i="26"/>
  <c r="D204" i="26"/>
  <c r="I204" i="26"/>
  <c r="D205" i="26"/>
  <c r="I205" i="26"/>
  <c r="D206" i="26"/>
  <c r="I206" i="26"/>
  <c r="I208" i="26"/>
  <c r="I220" i="26"/>
  <c r="J220" i="26"/>
  <c r="K220" i="26"/>
  <c r="B222" i="26"/>
  <c r="C222" i="26"/>
  <c r="D222" i="26"/>
  <c r="E222" i="26"/>
  <c r="I222" i="26"/>
  <c r="J222" i="26"/>
  <c r="K222" i="26"/>
  <c r="B223" i="26"/>
  <c r="C223" i="26"/>
  <c r="D223" i="26"/>
  <c r="E223" i="26"/>
  <c r="I223" i="26"/>
  <c r="J223" i="26"/>
  <c r="K223" i="26"/>
  <c r="B224" i="26"/>
  <c r="C224" i="26"/>
  <c r="D224" i="26"/>
  <c r="E224" i="26"/>
  <c r="I224" i="26"/>
  <c r="J224" i="26"/>
  <c r="K224" i="26"/>
  <c r="B225" i="26"/>
  <c r="C225" i="26"/>
  <c r="D225" i="26"/>
  <c r="E225" i="26"/>
  <c r="I225" i="26"/>
  <c r="J225" i="26"/>
  <c r="K225" i="26"/>
  <c r="B226" i="26"/>
  <c r="C226" i="26"/>
  <c r="D226" i="26"/>
  <c r="E226" i="26"/>
  <c r="I226" i="26"/>
  <c r="J226" i="26"/>
  <c r="K226" i="26"/>
  <c r="B228" i="26"/>
  <c r="I228" i="26"/>
  <c r="J228" i="26"/>
  <c r="I230" i="26"/>
  <c r="J230" i="26"/>
  <c r="D134" i="23"/>
  <c r="I134" i="23"/>
  <c r="J134" i="23"/>
  <c r="K134" i="23"/>
  <c r="D147" i="23"/>
  <c r="I147" i="23"/>
  <c r="D148" i="23"/>
  <c r="I148" i="23"/>
  <c r="D149" i="23"/>
  <c r="I149" i="23"/>
  <c r="D150" i="23"/>
  <c r="I150" i="23"/>
  <c r="D151" i="23"/>
  <c r="I151" i="23"/>
  <c r="D152" i="23"/>
  <c r="I152" i="23"/>
  <c r="D153" i="23"/>
  <c r="I153" i="23"/>
  <c r="D154" i="23"/>
  <c r="I154" i="23"/>
  <c r="D155" i="23"/>
  <c r="I155" i="23"/>
  <c r="D156" i="23"/>
  <c r="I156" i="23"/>
  <c r="D157" i="23"/>
  <c r="I157" i="23"/>
  <c r="D158" i="23"/>
  <c r="I158" i="23"/>
  <c r="D159" i="23"/>
  <c r="I159" i="23"/>
  <c r="D160" i="23"/>
  <c r="I160" i="23"/>
  <c r="D161" i="23"/>
  <c r="I161" i="23"/>
  <c r="D162" i="23"/>
  <c r="I162" i="23"/>
  <c r="D163" i="23"/>
  <c r="I163" i="23"/>
  <c r="D164" i="23"/>
  <c r="I164" i="23"/>
  <c r="D165" i="23"/>
  <c r="I165" i="23"/>
  <c r="D166" i="23"/>
  <c r="I166" i="23"/>
  <c r="D167" i="23"/>
  <c r="I167" i="23"/>
  <c r="D168" i="23"/>
  <c r="I168" i="23"/>
  <c r="D169" i="23"/>
  <c r="I169" i="23"/>
  <c r="D170" i="23"/>
  <c r="I170" i="23"/>
  <c r="D171" i="23"/>
  <c r="I171" i="23"/>
  <c r="D172" i="23"/>
  <c r="I172" i="23"/>
  <c r="D173" i="23"/>
  <c r="I173" i="23"/>
  <c r="D174" i="23"/>
  <c r="I174" i="23"/>
  <c r="D175" i="23"/>
  <c r="I175" i="23"/>
  <c r="D176" i="23"/>
  <c r="I176" i="23"/>
  <c r="D177" i="23"/>
  <c r="I177" i="23"/>
  <c r="D178" i="23"/>
  <c r="I178" i="23"/>
  <c r="D179" i="23"/>
  <c r="I179" i="23"/>
  <c r="D180" i="23"/>
  <c r="I180" i="23"/>
  <c r="D181" i="23"/>
  <c r="I181" i="23"/>
  <c r="D182" i="23"/>
  <c r="I182" i="23"/>
  <c r="D183" i="23"/>
  <c r="I183" i="23"/>
  <c r="D184" i="23"/>
  <c r="I184" i="23"/>
  <c r="D185" i="23"/>
  <c r="I185" i="23"/>
  <c r="D186" i="23"/>
  <c r="I186" i="23"/>
  <c r="D187" i="23"/>
  <c r="I187" i="23"/>
  <c r="D188" i="23"/>
  <c r="I188" i="23"/>
  <c r="D189" i="23"/>
  <c r="I189" i="23"/>
  <c r="D190" i="23"/>
  <c r="I190" i="23"/>
  <c r="D191" i="23"/>
  <c r="I191" i="23"/>
  <c r="D192" i="23"/>
  <c r="I192" i="23"/>
  <c r="D193" i="23"/>
  <c r="I193" i="23"/>
  <c r="D194" i="23"/>
  <c r="I194" i="23"/>
  <c r="D195" i="23"/>
  <c r="I195" i="23"/>
  <c r="D196" i="23"/>
  <c r="I196" i="23"/>
  <c r="D197" i="23"/>
  <c r="I197" i="23"/>
  <c r="D198" i="23"/>
  <c r="I198" i="23"/>
  <c r="D199" i="23"/>
  <c r="I199" i="23"/>
  <c r="D200" i="23"/>
  <c r="I200" i="23"/>
  <c r="D201" i="23"/>
  <c r="I201" i="23"/>
  <c r="D202" i="23"/>
  <c r="I202" i="23"/>
  <c r="D203" i="23"/>
  <c r="I203" i="23"/>
  <c r="D204" i="23"/>
  <c r="I204" i="23"/>
  <c r="D205" i="23"/>
  <c r="I205" i="23"/>
  <c r="D206" i="23"/>
  <c r="I206" i="23"/>
  <c r="I208" i="23"/>
  <c r="I220" i="23"/>
  <c r="J220" i="23"/>
  <c r="K220" i="23"/>
  <c r="B222" i="23"/>
  <c r="C222" i="23"/>
  <c r="D222" i="23"/>
  <c r="E222" i="23"/>
  <c r="I222" i="23"/>
  <c r="J222" i="23"/>
  <c r="K222" i="23"/>
  <c r="B223" i="23"/>
  <c r="C223" i="23"/>
  <c r="D223" i="23"/>
  <c r="E223" i="23"/>
  <c r="I223" i="23"/>
  <c r="J223" i="23"/>
  <c r="K223" i="23"/>
  <c r="B224" i="23"/>
  <c r="C224" i="23"/>
  <c r="D224" i="23"/>
  <c r="E224" i="23"/>
  <c r="I224" i="23"/>
  <c r="J224" i="23"/>
  <c r="K224" i="23"/>
  <c r="B225" i="23"/>
  <c r="C225" i="23"/>
  <c r="D225" i="23"/>
  <c r="E225" i="23"/>
  <c r="I225" i="23"/>
  <c r="J225" i="23"/>
  <c r="K225" i="23"/>
  <c r="B226" i="23"/>
  <c r="C226" i="23"/>
  <c r="D226" i="23"/>
  <c r="E226" i="23"/>
  <c r="I226" i="23"/>
  <c r="J226" i="23"/>
  <c r="K226" i="23"/>
  <c r="B228" i="23"/>
  <c r="I228" i="23"/>
  <c r="J228" i="23"/>
  <c r="I230" i="23"/>
  <c r="J230" i="23"/>
  <c r="D134" i="19"/>
  <c r="H134" i="19"/>
  <c r="I134" i="19"/>
  <c r="J134" i="19"/>
  <c r="D147" i="19"/>
  <c r="H147" i="19"/>
  <c r="D148" i="19"/>
  <c r="H148" i="19"/>
  <c r="D149" i="19"/>
  <c r="H149" i="19"/>
  <c r="D150" i="19"/>
  <c r="H150" i="19"/>
  <c r="D151" i="19"/>
  <c r="H151" i="19"/>
  <c r="D152" i="19"/>
  <c r="H152" i="19"/>
  <c r="D153" i="19"/>
  <c r="H153" i="19"/>
  <c r="D154" i="19"/>
  <c r="H154" i="19"/>
  <c r="D155" i="19"/>
  <c r="H155" i="19"/>
  <c r="D156" i="19"/>
  <c r="H156" i="19"/>
  <c r="D157" i="19"/>
  <c r="H157" i="19"/>
  <c r="D158" i="19"/>
  <c r="H158" i="19"/>
  <c r="D159" i="19"/>
  <c r="H159" i="19"/>
  <c r="D160" i="19"/>
  <c r="H160" i="19"/>
  <c r="D161" i="19"/>
  <c r="H161" i="19"/>
  <c r="D162" i="19"/>
  <c r="H162" i="19"/>
  <c r="D163" i="19"/>
  <c r="H163" i="19"/>
  <c r="D164" i="19"/>
  <c r="H164" i="19"/>
  <c r="D165" i="19"/>
  <c r="H165" i="19"/>
  <c r="D166" i="19"/>
  <c r="H166" i="19"/>
  <c r="D167" i="19"/>
  <c r="H167" i="19"/>
  <c r="D168" i="19"/>
  <c r="H168" i="19"/>
  <c r="D169" i="19"/>
  <c r="H169" i="19"/>
  <c r="D170" i="19"/>
  <c r="H170" i="19"/>
  <c r="D171" i="19"/>
  <c r="H171" i="19"/>
  <c r="D172" i="19"/>
  <c r="H172" i="19"/>
  <c r="D173" i="19"/>
  <c r="H173" i="19"/>
  <c r="D174" i="19"/>
  <c r="H174" i="19"/>
  <c r="D175" i="19"/>
  <c r="H175" i="19"/>
  <c r="D176" i="19"/>
  <c r="H176" i="19"/>
  <c r="D177" i="19"/>
  <c r="H177" i="19"/>
  <c r="D178" i="19"/>
  <c r="H178" i="19"/>
  <c r="D179" i="19"/>
  <c r="H179" i="19"/>
  <c r="D180" i="19"/>
  <c r="H180" i="19"/>
  <c r="D181" i="19"/>
  <c r="H181" i="19"/>
  <c r="D182" i="19"/>
  <c r="H182" i="19"/>
  <c r="D183" i="19"/>
  <c r="H183" i="19"/>
  <c r="D184" i="19"/>
  <c r="H184" i="19"/>
  <c r="D185" i="19"/>
  <c r="H185" i="19"/>
  <c r="D186" i="19"/>
  <c r="H186" i="19"/>
  <c r="D187" i="19"/>
  <c r="H187" i="19"/>
  <c r="D188" i="19"/>
  <c r="H188" i="19"/>
  <c r="D189" i="19"/>
  <c r="H189" i="19"/>
  <c r="D190" i="19"/>
  <c r="H190" i="19"/>
  <c r="D191" i="19"/>
  <c r="H191" i="19"/>
  <c r="D192" i="19"/>
  <c r="H192" i="19"/>
  <c r="D193" i="19"/>
  <c r="H193" i="19"/>
  <c r="D194" i="19"/>
  <c r="H194" i="19"/>
  <c r="D195" i="19"/>
  <c r="H195" i="19"/>
  <c r="D196" i="19"/>
  <c r="H196" i="19"/>
  <c r="D197" i="19"/>
  <c r="H197" i="19"/>
  <c r="D198" i="19"/>
  <c r="H198" i="19"/>
  <c r="D199" i="19"/>
  <c r="H199" i="19"/>
  <c r="D200" i="19"/>
  <c r="H200" i="19"/>
  <c r="D201" i="19"/>
  <c r="H201" i="19"/>
  <c r="D202" i="19"/>
  <c r="H202" i="19"/>
  <c r="D203" i="19"/>
  <c r="H203" i="19"/>
  <c r="D204" i="19"/>
  <c r="H204" i="19"/>
  <c r="D205" i="19"/>
  <c r="H205" i="19"/>
  <c r="D206" i="19"/>
  <c r="H206" i="19"/>
  <c r="H208" i="19"/>
  <c r="H220" i="19"/>
  <c r="I220" i="19"/>
  <c r="J220" i="19"/>
  <c r="M220" i="19"/>
  <c r="O220" i="19"/>
  <c r="Q220" i="19"/>
  <c r="S220" i="19"/>
  <c r="U220" i="19"/>
  <c r="B222" i="19"/>
  <c r="C222" i="19"/>
  <c r="D222" i="19"/>
  <c r="E222" i="19"/>
  <c r="H222" i="19"/>
  <c r="I222" i="19"/>
  <c r="J222" i="19"/>
  <c r="M222" i="19"/>
  <c r="O222" i="19"/>
  <c r="P222" i="19"/>
  <c r="Q222" i="19"/>
  <c r="S222" i="19"/>
  <c r="U222" i="19"/>
  <c r="B223" i="19"/>
  <c r="C223" i="19"/>
  <c r="D223" i="19"/>
  <c r="E223" i="19"/>
  <c r="H223" i="19"/>
  <c r="I223" i="19"/>
  <c r="J223" i="19"/>
  <c r="M223" i="19"/>
  <c r="O223" i="19"/>
  <c r="P223" i="19"/>
  <c r="Q223" i="19"/>
  <c r="S223" i="19"/>
  <c r="U223" i="19"/>
  <c r="B224" i="19"/>
  <c r="C224" i="19"/>
  <c r="D224" i="19"/>
  <c r="E224" i="19"/>
  <c r="H224" i="19"/>
  <c r="I224" i="19"/>
  <c r="J224" i="19"/>
  <c r="M224" i="19"/>
  <c r="O224" i="19"/>
  <c r="P224" i="19"/>
  <c r="Q224" i="19"/>
  <c r="S224" i="19"/>
  <c r="U224" i="19"/>
  <c r="B225" i="19"/>
  <c r="C225" i="19"/>
  <c r="D225" i="19"/>
  <c r="E225" i="19"/>
  <c r="H225" i="19"/>
  <c r="I225" i="19"/>
  <c r="J225" i="19"/>
  <c r="M225" i="19"/>
  <c r="O225" i="19"/>
  <c r="P225" i="19"/>
  <c r="Q225" i="19"/>
  <c r="S225" i="19"/>
  <c r="U225" i="19"/>
  <c r="B226" i="19"/>
  <c r="C226" i="19"/>
  <c r="D226" i="19"/>
  <c r="E226" i="19"/>
  <c r="H226" i="19"/>
  <c r="I226" i="19"/>
  <c r="J226" i="19"/>
  <c r="M226" i="19"/>
  <c r="O226" i="19"/>
  <c r="P226" i="19"/>
  <c r="Q226" i="19"/>
  <c r="S226" i="19"/>
  <c r="U226" i="19"/>
  <c r="B228" i="19"/>
  <c r="H228" i="19"/>
  <c r="I228" i="19"/>
  <c r="H230" i="19"/>
  <c r="I230" i="19"/>
  <c r="C17" i="9"/>
  <c r="D17" i="9"/>
  <c r="E17" i="9"/>
  <c r="B19" i="9"/>
  <c r="C19" i="9"/>
  <c r="D19" i="9"/>
  <c r="G19" i="9"/>
  <c r="H19" i="9"/>
  <c r="I19" i="9"/>
  <c r="J19" i="9"/>
  <c r="K19" i="9"/>
  <c r="L19" i="9"/>
  <c r="M19" i="9"/>
  <c r="N19" i="9"/>
  <c r="O19" i="9"/>
  <c r="P19" i="9"/>
  <c r="Q19" i="9"/>
  <c r="B20" i="9"/>
  <c r="C20" i="9"/>
  <c r="D20" i="9"/>
  <c r="G20" i="9"/>
  <c r="H20" i="9"/>
  <c r="I20" i="9"/>
  <c r="J20" i="9"/>
  <c r="K20" i="9"/>
  <c r="L20" i="9"/>
  <c r="M20" i="9"/>
  <c r="N20" i="9"/>
  <c r="O20" i="9"/>
  <c r="P20" i="9"/>
  <c r="Q20" i="9"/>
  <c r="B21" i="9"/>
  <c r="C21" i="9"/>
  <c r="D21" i="9"/>
  <c r="G21" i="9"/>
  <c r="H21" i="9"/>
  <c r="I21" i="9"/>
  <c r="J21" i="9"/>
  <c r="K21" i="9"/>
  <c r="L21" i="9"/>
  <c r="M21" i="9"/>
  <c r="N21" i="9"/>
  <c r="O21" i="9"/>
  <c r="P21" i="9"/>
  <c r="Q21" i="9"/>
  <c r="B22" i="9"/>
  <c r="C22" i="9"/>
  <c r="D22" i="9"/>
  <c r="G22" i="9"/>
  <c r="H22" i="9"/>
  <c r="I22" i="9"/>
  <c r="J22" i="9"/>
  <c r="K22" i="9"/>
  <c r="L22" i="9"/>
  <c r="M22" i="9"/>
  <c r="N22" i="9"/>
  <c r="O22" i="9"/>
  <c r="P22" i="9"/>
  <c r="Q22" i="9"/>
  <c r="B23" i="9"/>
  <c r="C23" i="9"/>
  <c r="D23" i="9"/>
  <c r="G23" i="9"/>
  <c r="H23" i="9"/>
  <c r="I23" i="9"/>
  <c r="J23" i="9"/>
  <c r="K23" i="9"/>
  <c r="L23" i="9"/>
  <c r="M23" i="9"/>
  <c r="N23" i="9"/>
  <c r="O23" i="9"/>
  <c r="P23" i="9"/>
  <c r="Q23" i="9"/>
  <c r="G42" i="9"/>
  <c r="G43" i="9"/>
  <c r="G44" i="9"/>
  <c r="G45" i="9"/>
  <c r="G46" i="9"/>
  <c r="G73" i="9"/>
  <c r="H73" i="9"/>
  <c r="I73" i="9"/>
  <c r="J73" i="9"/>
  <c r="K73" i="9"/>
  <c r="L73" i="9"/>
  <c r="M73" i="9"/>
  <c r="N73" i="9"/>
  <c r="O73" i="9"/>
  <c r="P73" i="9"/>
  <c r="G74" i="9"/>
  <c r="H74" i="9"/>
  <c r="I74" i="9"/>
  <c r="J74" i="9"/>
  <c r="K74" i="9"/>
  <c r="L74" i="9"/>
  <c r="M74" i="9"/>
  <c r="N74" i="9"/>
  <c r="O74" i="9"/>
  <c r="P74" i="9"/>
  <c r="G75" i="9"/>
  <c r="H75" i="9"/>
  <c r="I75" i="9"/>
  <c r="J75" i="9"/>
  <c r="K75" i="9"/>
  <c r="L75" i="9"/>
  <c r="M75" i="9"/>
  <c r="N75" i="9"/>
  <c r="O75" i="9"/>
  <c r="P75" i="9"/>
  <c r="G76" i="9"/>
  <c r="H76" i="9"/>
  <c r="I76" i="9"/>
  <c r="J76" i="9"/>
  <c r="K76" i="9"/>
  <c r="L76" i="9"/>
  <c r="M76" i="9"/>
  <c r="N76" i="9"/>
  <c r="O76" i="9"/>
  <c r="P76" i="9"/>
  <c r="G77" i="9"/>
  <c r="H77" i="9"/>
  <c r="I77" i="9"/>
  <c r="J77" i="9"/>
  <c r="K77" i="9"/>
  <c r="L77" i="9"/>
  <c r="M77" i="9"/>
  <c r="N77" i="9"/>
  <c r="O77" i="9"/>
  <c r="P77" i="9"/>
  <c r="G80" i="9"/>
  <c r="G81" i="9"/>
  <c r="G82" i="9"/>
  <c r="G83" i="9"/>
  <c r="G84" i="9"/>
  <c r="H87" i="9"/>
  <c r="I87" i="9"/>
  <c r="J87" i="9"/>
  <c r="K87" i="9"/>
  <c r="L87" i="9"/>
  <c r="M87" i="9"/>
  <c r="N87" i="9"/>
  <c r="O87" i="9"/>
  <c r="P87" i="9"/>
  <c r="H88" i="9"/>
  <c r="I88" i="9"/>
  <c r="J88" i="9"/>
  <c r="K88" i="9"/>
  <c r="L88" i="9"/>
  <c r="M88" i="9"/>
  <c r="N88" i="9"/>
  <c r="O88" i="9"/>
  <c r="P88" i="9"/>
  <c r="H89" i="9"/>
  <c r="I89" i="9"/>
  <c r="J89" i="9"/>
  <c r="K89" i="9"/>
  <c r="L89" i="9"/>
  <c r="M89" i="9"/>
  <c r="N89" i="9"/>
  <c r="O89" i="9"/>
  <c r="P89" i="9"/>
  <c r="H90" i="9"/>
  <c r="I90" i="9"/>
  <c r="J90" i="9"/>
  <c r="K90" i="9"/>
  <c r="L90" i="9"/>
  <c r="M90" i="9"/>
  <c r="N90" i="9"/>
  <c r="O90" i="9"/>
  <c r="P90" i="9"/>
  <c r="H91" i="9"/>
  <c r="I91" i="9"/>
  <c r="J91" i="9"/>
  <c r="K91" i="9"/>
  <c r="L91" i="9"/>
  <c r="M91" i="9"/>
  <c r="N91" i="9"/>
  <c r="O91" i="9"/>
  <c r="P91" i="9"/>
  <c r="B14" i="18"/>
  <c r="C14" i="18"/>
  <c r="D14" i="18"/>
  <c r="E14" i="18"/>
  <c r="F14" i="18"/>
  <c r="G14" i="18"/>
  <c r="B15" i="18"/>
  <c r="C15" i="18"/>
  <c r="D15" i="18"/>
  <c r="E15" i="18"/>
  <c r="F15" i="18"/>
  <c r="G15" i="18"/>
  <c r="B16" i="18"/>
  <c r="C16" i="18"/>
  <c r="D16" i="18"/>
  <c r="E16" i="18"/>
  <c r="F16" i="18"/>
  <c r="G16" i="18"/>
  <c r="B17" i="18"/>
  <c r="C17" i="18"/>
  <c r="D17" i="18"/>
  <c r="E17" i="18"/>
  <c r="F17" i="18"/>
  <c r="G17" i="18"/>
  <c r="B18" i="18"/>
  <c r="C18" i="18"/>
  <c r="D18" i="18"/>
  <c r="E18" i="18"/>
  <c r="F18" i="18"/>
  <c r="G18" i="18"/>
  <c r="B48" i="18"/>
  <c r="C48" i="18"/>
  <c r="D48" i="18"/>
  <c r="E48" i="18"/>
  <c r="F48" i="18"/>
  <c r="G48" i="18"/>
  <c r="H48" i="18"/>
  <c r="B49" i="18"/>
  <c r="C49" i="18"/>
  <c r="D49" i="18"/>
  <c r="E49" i="18"/>
  <c r="F49" i="18"/>
  <c r="G49" i="18"/>
  <c r="H49" i="18"/>
  <c r="B50" i="18"/>
  <c r="C50" i="18"/>
  <c r="D50" i="18"/>
  <c r="E50" i="18"/>
  <c r="F50" i="18"/>
  <c r="G50" i="18"/>
  <c r="H50" i="18"/>
  <c r="B51" i="18"/>
  <c r="C51" i="18"/>
  <c r="D51" i="18"/>
  <c r="E51" i="18"/>
  <c r="F51" i="18"/>
  <c r="G51" i="18"/>
  <c r="H51" i="18"/>
  <c r="B52" i="18"/>
  <c r="C52" i="18"/>
  <c r="D52" i="18"/>
  <c r="E52" i="18"/>
  <c r="F52" i="18"/>
  <c r="G52" i="18"/>
  <c r="H52" i="18"/>
  <c r="D134" i="20"/>
  <c r="I134" i="20"/>
  <c r="J134" i="20"/>
  <c r="K134" i="20"/>
  <c r="D147" i="20"/>
  <c r="I147" i="20"/>
  <c r="D148" i="20"/>
  <c r="I148" i="20"/>
  <c r="D149" i="20"/>
  <c r="I149" i="20"/>
  <c r="D150" i="20"/>
  <c r="I150" i="20"/>
  <c r="D151" i="20"/>
  <c r="I151" i="20"/>
  <c r="D152" i="20"/>
  <c r="I152" i="20"/>
  <c r="D153" i="20"/>
  <c r="I153" i="20"/>
  <c r="D154" i="20"/>
  <c r="I154" i="20"/>
  <c r="D155" i="20"/>
  <c r="I155" i="20"/>
  <c r="D156" i="20"/>
  <c r="I156" i="20"/>
  <c r="D157" i="20"/>
  <c r="I157" i="20"/>
  <c r="D158" i="20"/>
  <c r="I158" i="20"/>
  <c r="D159" i="20"/>
  <c r="I159" i="20"/>
  <c r="D160" i="20"/>
  <c r="I160" i="20"/>
  <c r="D161" i="20"/>
  <c r="I161" i="20"/>
  <c r="D162" i="20"/>
  <c r="I162" i="20"/>
  <c r="D163" i="20"/>
  <c r="I163" i="20"/>
  <c r="D164" i="20"/>
  <c r="I164" i="20"/>
  <c r="D165" i="20"/>
  <c r="I165" i="20"/>
  <c r="D166" i="20"/>
  <c r="I166" i="20"/>
  <c r="D167" i="20"/>
  <c r="I167" i="20"/>
  <c r="D168" i="20"/>
  <c r="I168" i="20"/>
  <c r="D169" i="20"/>
  <c r="I169" i="20"/>
  <c r="D170" i="20"/>
  <c r="I170" i="20"/>
  <c r="D171" i="20"/>
  <c r="I171" i="20"/>
  <c r="D172" i="20"/>
  <c r="I172" i="20"/>
  <c r="D173" i="20"/>
  <c r="I173" i="20"/>
  <c r="D174" i="20"/>
  <c r="I174" i="20"/>
  <c r="D175" i="20"/>
  <c r="I175" i="20"/>
  <c r="D176" i="20"/>
  <c r="I176" i="20"/>
  <c r="D177" i="20"/>
  <c r="I177" i="20"/>
  <c r="D178" i="20"/>
  <c r="I178" i="20"/>
  <c r="D179" i="20"/>
  <c r="I179" i="20"/>
  <c r="D180" i="20"/>
  <c r="I180" i="20"/>
  <c r="D181" i="20"/>
  <c r="I181" i="20"/>
  <c r="D182" i="20"/>
  <c r="I182" i="20"/>
  <c r="D183" i="20"/>
  <c r="I183" i="20"/>
  <c r="D184" i="20"/>
  <c r="I184" i="20"/>
  <c r="D185" i="20"/>
  <c r="I185" i="20"/>
  <c r="D186" i="20"/>
  <c r="I186" i="20"/>
  <c r="D187" i="20"/>
  <c r="I187" i="20"/>
  <c r="D188" i="20"/>
  <c r="I188" i="20"/>
  <c r="D189" i="20"/>
  <c r="I189" i="20"/>
  <c r="D190" i="20"/>
  <c r="I190" i="20"/>
  <c r="D191" i="20"/>
  <c r="I191" i="20"/>
  <c r="D192" i="20"/>
  <c r="I192" i="20"/>
  <c r="D193" i="20"/>
  <c r="I193" i="20"/>
  <c r="D194" i="20"/>
  <c r="I194" i="20"/>
  <c r="D195" i="20"/>
  <c r="I195" i="20"/>
  <c r="D196" i="20"/>
  <c r="I196" i="20"/>
  <c r="D197" i="20"/>
  <c r="I197" i="20"/>
  <c r="D198" i="20"/>
  <c r="I198" i="20"/>
  <c r="D199" i="20"/>
  <c r="I199" i="20"/>
  <c r="D200" i="20"/>
  <c r="I200" i="20"/>
  <c r="D201" i="20"/>
  <c r="I201" i="20"/>
  <c r="D202" i="20"/>
  <c r="I202" i="20"/>
  <c r="D203" i="20"/>
  <c r="I203" i="20"/>
  <c r="D204" i="20"/>
  <c r="I204" i="20"/>
  <c r="D205" i="20"/>
  <c r="I205" i="20"/>
  <c r="D206" i="20"/>
  <c r="I206" i="20"/>
  <c r="I208" i="20"/>
  <c r="I220" i="20"/>
  <c r="J220" i="20"/>
  <c r="K220" i="20"/>
  <c r="B222" i="20"/>
  <c r="C222" i="20"/>
  <c r="D222" i="20"/>
  <c r="E222" i="20"/>
  <c r="I222" i="20"/>
  <c r="J222" i="20"/>
  <c r="K222" i="20"/>
  <c r="B223" i="20"/>
  <c r="C223" i="20"/>
  <c r="D223" i="20"/>
  <c r="E223" i="20"/>
  <c r="I223" i="20"/>
  <c r="J223" i="20"/>
  <c r="K223" i="20"/>
  <c r="B224" i="20"/>
  <c r="C224" i="20"/>
  <c r="D224" i="20"/>
  <c r="E224" i="20"/>
  <c r="I224" i="20"/>
  <c r="J224" i="20"/>
  <c r="K224" i="20"/>
  <c r="B225" i="20"/>
  <c r="C225" i="20"/>
  <c r="D225" i="20"/>
  <c r="E225" i="20"/>
  <c r="I225" i="20"/>
  <c r="J225" i="20"/>
  <c r="K225" i="20"/>
  <c r="B226" i="20"/>
  <c r="C226" i="20"/>
  <c r="D226" i="20"/>
  <c r="E226" i="20"/>
  <c r="I226" i="20"/>
  <c r="J226" i="20"/>
  <c r="K226" i="20"/>
  <c r="B228" i="20"/>
  <c r="I228" i="20"/>
  <c r="J228" i="20"/>
  <c r="I230" i="20"/>
  <c r="J230" i="20"/>
  <c r="D134" i="27"/>
  <c r="I134" i="27"/>
  <c r="J134" i="27"/>
  <c r="K134" i="27"/>
  <c r="D147" i="27"/>
  <c r="I147" i="27"/>
  <c r="D148" i="27"/>
  <c r="I148" i="27"/>
  <c r="D149" i="27"/>
  <c r="I149" i="27"/>
  <c r="D150" i="27"/>
  <c r="I150" i="27"/>
  <c r="D151" i="27"/>
  <c r="I151" i="27"/>
  <c r="D152" i="27"/>
  <c r="I152" i="27"/>
  <c r="D153" i="27"/>
  <c r="I153" i="27"/>
  <c r="D154" i="27"/>
  <c r="I154" i="27"/>
  <c r="D155" i="27"/>
  <c r="I155" i="27"/>
  <c r="D156" i="27"/>
  <c r="I156" i="27"/>
  <c r="D157" i="27"/>
  <c r="I157" i="27"/>
  <c r="D158" i="27"/>
  <c r="I158" i="27"/>
  <c r="D159" i="27"/>
  <c r="I159" i="27"/>
  <c r="D160" i="27"/>
  <c r="I160" i="27"/>
  <c r="D161" i="27"/>
  <c r="I161" i="27"/>
  <c r="D162" i="27"/>
  <c r="I162" i="27"/>
  <c r="D163" i="27"/>
  <c r="I163" i="27"/>
  <c r="D164" i="27"/>
  <c r="I164" i="27"/>
  <c r="D165" i="27"/>
  <c r="I165" i="27"/>
  <c r="D166" i="27"/>
  <c r="I166" i="27"/>
  <c r="D167" i="27"/>
  <c r="I167" i="27"/>
  <c r="D168" i="27"/>
  <c r="I168" i="27"/>
  <c r="D169" i="27"/>
  <c r="I169" i="27"/>
  <c r="D170" i="27"/>
  <c r="I170" i="27"/>
  <c r="D171" i="27"/>
  <c r="I171" i="27"/>
  <c r="D172" i="27"/>
  <c r="I172" i="27"/>
  <c r="D173" i="27"/>
  <c r="I173" i="27"/>
  <c r="D174" i="27"/>
  <c r="I174" i="27"/>
  <c r="D175" i="27"/>
  <c r="I175" i="27"/>
  <c r="D176" i="27"/>
  <c r="I176" i="27"/>
  <c r="D177" i="27"/>
  <c r="I177" i="27"/>
  <c r="D178" i="27"/>
  <c r="I178" i="27"/>
  <c r="D179" i="27"/>
  <c r="I179" i="27"/>
  <c r="D180" i="27"/>
  <c r="I180" i="27"/>
  <c r="D181" i="27"/>
  <c r="I181" i="27"/>
  <c r="D182" i="27"/>
  <c r="I182" i="27"/>
  <c r="D183" i="27"/>
  <c r="I183" i="27"/>
  <c r="D184" i="27"/>
  <c r="I184" i="27"/>
  <c r="D185" i="27"/>
  <c r="I185" i="27"/>
  <c r="D186" i="27"/>
  <c r="I186" i="27"/>
  <c r="D187" i="27"/>
  <c r="I187" i="27"/>
  <c r="D188" i="27"/>
  <c r="I188" i="27"/>
  <c r="D189" i="27"/>
  <c r="I189" i="27"/>
  <c r="D190" i="27"/>
  <c r="I190" i="27"/>
  <c r="D191" i="27"/>
  <c r="I191" i="27"/>
  <c r="D192" i="27"/>
  <c r="I192" i="27"/>
  <c r="D193" i="27"/>
  <c r="I193" i="27"/>
  <c r="D194" i="27"/>
  <c r="I194" i="27"/>
  <c r="D195" i="27"/>
  <c r="I195" i="27"/>
  <c r="D196" i="27"/>
  <c r="I196" i="27"/>
  <c r="D197" i="27"/>
  <c r="I197" i="27"/>
  <c r="D198" i="27"/>
  <c r="I198" i="27"/>
  <c r="D199" i="27"/>
  <c r="I199" i="27"/>
  <c r="D200" i="27"/>
  <c r="I200" i="27"/>
  <c r="D201" i="27"/>
  <c r="I201" i="27"/>
  <c r="D202" i="27"/>
  <c r="I202" i="27"/>
  <c r="D203" i="27"/>
  <c r="I203" i="27"/>
  <c r="D204" i="27"/>
  <c r="I204" i="27"/>
  <c r="D205" i="27"/>
  <c r="I205" i="27"/>
  <c r="D206" i="27"/>
  <c r="I206" i="27"/>
  <c r="I208" i="27"/>
  <c r="I220" i="27"/>
  <c r="J220" i="27"/>
  <c r="K220" i="27"/>
  <c r="B222" i="27"/>
  <c r="C222" i="27"/>
  <c r="D222" i="27"/>
  <c r="E222" i="27"/>
  <c r="I222" i="27"/>
  <c r="J222" i="27"/>
  <c r="K222" i="27"/>
  <c r="B223" i="27"/>
  <c r="C223" i="27"/>
  <c r="D223" i="27"/>
  <c r="E223" i="27"/>
  <c r="I223" i="27"/>
  <c r="J223" i="27"/>
  <c r="K223" i="27"/>
  <c r="B224" i="27"/>
  <c r="C224" i="27"/>
  <c r="D224" i="27"/>
  <c r="E224" i="27"/>
  <c r="I224" i="27"/>
  <c r="J224" i="27"/>
  <c r="K224" i="27"/>
  <c r="B225" i="27"/>
  <c r="C225" i="27"/>
  <c r="D225" i="27"/>
  <c r="E225" i="27"/>
  <c r="I225" i="27"/>
  <c r="J225" i="27"/>
  <c r="K225" i="27"/>
  <c r="B226" i="27"/>
  <c r="C226" i="27"/>
  <c r="D226" i="27"/>
  <c r="E226" i="27"/>
  <c r="I226" i="27"/>
  <c r="J226" i="27"/>
  <c r="K226" i="27"/>
  <c r="B228" i="27"/>
  <c r="I228" i="27"/>
  <c r="J228" i="27"/>
  <c r="I230" i="27"/>
  <c r="J230" i="27"/>
  <c r="L6" i="11"/>
  <c r="N6" i="11"/>
  <c r="O6" i="11"/>
  <c r="P6" i="11"/>
  <c r="Q6" i="11"/>
  <c r="R6" i="11"/>
  <c r="Z6" i="11"/>
  <c r="AA6" i="11"/>
  <c r="L7" i="11"/>
  <c r="N9" i="11"/>
  <c r="O9" i="11"/>
  <c r="P9" i="11"/>
  <c r="Q9" i="11"/>
  <c r="R9" i="11"/>
  <c r="Z9" i="11"/>
  <c r="AA9" i="11"/>
  <c r="N10" i="11"/>
  <c r="O10" i="11"/>
  <c r="P10" i="11"/>
  <c r="Q10" i="11"/>
  <c r="R10" i="11"/>
  <c r="N15" i="11"/>
  <c r="O15" i="11"/>
  <c r="P15" i="11"/>
  <c r="Q15" i="11"/>
  <c r="R15" i="11"/>
  <c r="Z15" i="11"/>
  <c r="AA15" i="11"/>
  <c r="N19" i="11"/>
  <c r="O19" i="11"/>
  <c r="P19" i="11"/>
  <c r="Q19" i="11"/>
  <c r="R19" i="11"/>
  <c r="Z19" i="11"/>
  <c r="AA19" i="11"/>
  <c r="N23" i="11"/>
  <c r="O23" i="11"/>
  <c r="P23" i="11"/>
  <c r="Q23" i="11"/>
  <c r="R23" i="11"/>
  <c r="Z23" i="11"/>
  <c r="AA23" i="11"/>
  <c r="N24" i="11"/>
  <c r="O24" i="11"/>
  <c r="P24" i="11"/>
  <c r="Q24" i="11"/>
  <c r="R24" i="11"/>
  <c r="Z24" i="11"/>
  <c r="AA24" i="11"/>
  <c r="N28" i="11"/>
  <c r="O28" i="11"/>
  <c r="P28" i="11"/>
  <c r="Q28" i="11"/>
  <c r="R28" i="11"/>
  <c r="Z28" i="11"/>
  <c r="AA28" i="11"/>
  <c r="N29" i="11"/>
  <c r="O29" i="11"/>
  <c r="P29" i="11"/>
  <c r="Q29" i="11"/>
  <c r="R29" i="11"/>
  <c r="Z29" i="11"/>
  <c r="AA29" i="11"/>
  <c r="N33" i="11"/>
  <c r="O33" i="11"/>
  <c r="P33" i="11"/>
  <c r="Q33" i="11"/>
  <c r="R33" i="11"/>
  <c r="Z33" i="11"/>
  <c r="AA33" i="11"/>
  <c r="N34" i="11"/>
  <c r="O34" i="11"/>
  <c r="P34" i="11"/>
  <c r="Q34" i="11"/>
  <c r="R34" i="11"/>
  <c r="Z34" i="11"/>
  <c r="AA34" i="11"/>
  <c r="N43" i="11"/>
  <c r="O43" i="11"/>
  <c r="P43" i="11"/>
  <c r="Q43" i="11"/>
  <c r="R43" i="11"/>
  <c r="Z43" i="11"/>
  <c r="AA43" i="11"/>
  <c r="N44" i="11"/>
  <c r="O44" i="11"/>
  <c r="P44" i="11"/>
  <c r="Q44" i="11"/>
  <c r="R44" i="11"/>
  <c r="Z44" i="11"/>
  <c r="AA44" i="11"/>
  <c r="N48" i="11"/>
  <c r="O48" i="11"/>
  <c r="P48" i="11"/>
  <c r="Q48" i="11"/>
  <c r="R48" i="11"/>
  <c r="Z48" i="11"/>
  <c r="AA48" i="11"/>
  <c r="N52" i="11"/>
  <c r="O52" i="11"/>
  <c r="P52" i="11"/>
  <c r="Q52" i="11"/>
  <c r="R52" i="11"/>
  <c r="Z52" i="11"/>
  <c r="AA52" i="11"/>
  <c r="N53" i="11"/>
  <c r="O53" i="11"/>
  <c r="P53" i="11"/>
  <c r="Q53" i="11"/>
  <c r="R53" i="11"/>
  <c r="Z53" i="11"/>
  <c r="AA53" i="11"/>
  <c r="N57" i="11"/>
  <c r="O57" i="11"/>
  <c r="P57" i="11"/>
  <c r="Q57" i="11"/>
  <c r="R57" i="11"/>
  <c r="Z57" i="11"/>
  <c r="AA57" i="11"/>
  <c r="N58" i="11"/>
  <c r="O58" i="11"/>
  <c r="P58" i="11"/>
  <c r="Q58" i="11"/>
  <c r="R58" i="11"/>
  <c r="Z58" i="11"/>
  <c r="AA58" i="11"/>
  <c r="N62" i="11"/>
  <c r="O62" i="11"/>
  <c r="P62" i="11"/>
  <c r="Q62" i="11"/>
  <c r="R62" i="11"/>
  <c r="Z62" i="11"/>
  <c r="AA62" i="11"/>
  <c r="N63" i="11"/>
  <c r="O63" i="11"/>
  <c r="P63" i="11"/>
  <c r="Q63" i="11"/>
  <c r="R63" i="11"/>
  <c r="Z63" i="11"/>
  <c r="AA63" i="11"/>
  <c r="Q67" i="11"/>
  <c r="R67" i="11"/>
  <c r="Z67" i="11"/>
  <c r="AA67" i="11"/>
  <c r="Q68" i="11"/>
  <c r="R68" i="11"/>
  <c r="Z68" i="11"/>
  <c r="AA68" i="11"/>
  <c r="C12" i="30"/>
  <c r="C14" i="30"/>
  <c r="C15" i="30"/>
  <c r="C16" i="30"/>
  <c r="C17" i="30"/>
  <c r="C18" i="30"/>
  <c r="C20" i="30"/>
  <c r="D134" i="28"/>
  <c r="I134" i="28"/>
  <c r="J134" i="28"/>
  <c r="K134" i="28"/>
  <c r="D147" i="28"/>
  <c r="I147" i="28"/>
  <c r="D148" i="28"/>
  <c r="I148" i="28"/>
  <c r="D149" i="28"/>
  <c r="I149" i="28"/>
  <c r="D150" i="28"/>
  <c r="I150" i="28"/>
  <c r="D151" i="28"/>
  <c r="I151" i="28"/>
  <c r="D152" i="28"/>
  <c r="I152" i="28"/>
  <c r="D153" i="28"/>
  <c r="I153" i="28"/>
  <c r="D154" i="28"/>
  <c r="I154" i="28"/>
  <c r="D155" i="28"/>
  <c r="I155" i="28"/>
  <c r="D156" i="28"/>
  <c r="I156" i="28"/>
  <c r="D157" i="28"/>
  <c r="I157" i="28"/>
  <c r="D158" i="28"/>
  <c r="I158" i="28"/>
  <c r="D159" i="28"/>
  <c r="I159" i="28"/>
  <c r="D160" i="28"/>
  <c r="I160" i="28"/>
  <c r="D161" i="28"/>
  <c r="I161" i="28"/>
  <c r="D162" i="28"/>
  <c r="I162" i="28"/>
  <c r="D163" i="28"/>
  <c r="I163" i="28"/>
  <c r="D164" i="28"/>
  <c r="I164" i="28"/>
  <c r="D165" i="28"/>
  <c r="I165" i="28"/>
  <c r="D166" i="28"/>
  <c r="I166" i="28"/>
  <c r="D167" i="28"/>
  <c r="I167" i="28"/>
  <c r="D168" i="28"/>
  <c r="I168" i="28"/>
  <c r="D169" i="28"/>
  <c r="I169" i="28"/>
  <c r="D170" i="28"/>
  <c r="I170" i="28"/>
  <c r="D171" i="28"/>
  <c r="I171" i="28"/>
  <c r="D172" i="28"/>
  <c r="I172" i="28"/>
  <c r="D173" i="28"/>
  <c r="I173" i="28"/>
  <c r="D174" i="28"/>
  <c r="I174" i="28"/>
  <c r="D175" i="28"/>
  <c r="I175" i="28"/>
  <c r="D176" i="28"/>
  <c r="I176" i="28"/>
  <c r="D177" i="28"/>
  <c r="I177" i="28"/>
  <c r="D178" i="28"/>
  <c r="I178" i="28"/>
  <c r="D179" i="28"/>
  <c r="I179" i="28"/>
  <c r="D180" i="28"/>
  <c r="I180" i="28"/>
  <c r="D181" i="28"/>
  <c r="I181" i="28"/>
  <c r="D182" i="28"/>
  <c r="I182" i="28"/>
  <c r="D183" i="28"/>
  <c r="I183" i="28"/>
  <c r="D184" i="28"/>
  <c r="I184" i="28"/>
  <c r="D185" i="28"/>
  <c r="I185" i="28"/>
  <c r="D186" i="28"/>
  <c r="I186" i="28"/>
  <c r="D187" i="28"/>
  <c r="I187" i="28"/>
  <c r="D188" i="28"/>
  <c r="I188" i="28"/>
  <c r="D189" i="28"/>
  <c r="I189" i="28"/>
  <c r="D190" i="28"/>
  <c r="I190" i="28"/>
  <c r="D191" i="28"/>
  <c r="I191" i="28"/>
  <c r="D192" i="28"/>
  <c r="I192" i="28"/>
  <c r="D193" i="28"/>
  <c r="I193" i="28"/>
  <c r="D194" i="28"/>
  <c r="I194" i="28"/>
  <c r="D195" i="28"/>
  <c r="I195" i="28"/>
  <c r="D196" i="28"/>
  <c r="I196" i="28"/>
  <c r="D197" i="28"/>
  <c r="I197" i="28"/>
  <c r="D198" i="28"/>
  <c r="I198" i="28"/>
  <c r="D199" i="28"/>
  <c r="I199" i="28"/>
  <c r="D200" i="28"/>
  <c r="I200" i="28"/>
  <c r="D201" i="28"/>
  <c r="I201" i="28"/>
  <c r="D202" i="28"/>
  <c r="I202" i="28"/>
  <c r="D203" i="28"/>
  <c r="I203" i="28"/>
  <c r="D204" i="28"/>
  <c r="I204" i="28"/>
  <c r="D205" i="28"/>
  <c r="I205" i="28"/>
  <c r="D206" i="28"/>
  <c r="I206" i="28"/>
  <c r="I208" i="28"/>
  <c r="I220" i="28"/>
  <c r="J220" i="28"/>
  <c r="K220" i="28"/>
  <c r="B222" i="28"/>
  <c r="C222" i="28"/>
  <c r="D222" i="28"/>
  <c r="E222" i="28"/>
  <c r="I222" i="28"/>
  <c r="J222" i="28"/>
  <c r="K222" i="28"/>
  <c r="B223" i="28"/>
  <c r="C223" i="28"/>
  <c r="D223" i="28"/>
  <c r="E223" i="28"/>
  <c r="I223" i="28"/>
  <c r="J223" i="28"/>
  <c r="K223" i="28"/>
  <c r="B224" i="28"/>
  <c r="C224" i="28"/>
  <c r="D224" i="28"/>
  <c r="E224" i="28"/>
  <c r="I224" i="28"/>
  <c r="J224" i="28"/>
  <c r="K224" i="28"/>
  <c r="B225" i="28"/>
  <c r="C225" i="28"/>
  <c r="D225" i="28"/>
  <c r="E225" i="28"/>
  <c r="I225" i="28"/>
  <c r="J225" i="28"/>
  <c r="K225" i="28"/>
  <c r="B226" i="28"/>
  <c r="C226" i="28"/>
  <c r="D226" i="28"/>
  <c r="E226" i="28"/>
  <c r="I226" i="28"/>
  <c r="J226" i="28"/>
  <c r="K226" i="28"/>
  <c r="B228" i="28"/>
  <c r="I228" i="28"/>
  <c r="J228" i="28"/>
  <c r="I230" i="28"/>
  <c r="J230" i="28"/>
</calcChain>
</file>

<file path=xl/comments1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2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3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4.xml><?xml version="1.0" encoding="utf-8"?>
<comments xmlns="http://schemas.openxmlformats.org/spreadsheetml/2006/main">
  <authors>
    <author>dsavage</author>
  </authors>
  <commentList>
    <comment ref="K61" authorId="0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Adjusted to reflect trend now only has 1 customer </t>
        </r>
      </text>
    </comment>
  </commentList>
</comments>
</file>

<file path=xl/sharedStrings.xml><?xml version="1.0" encoding="utf-8"?>
<sst xmlns="http://schemas.openxmlformats.org/spreadsheetml/2006/main" count="1486" uniqueCount="348">
  <si>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</si>
  <si>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</si>
  <si>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</si>
  <si>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</si>
  <si>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</si>
  <si>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</si>
  <si>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</si>
  <si>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</si>
  <si>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</si>
  <si>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</si>
  <si>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</si>
  <si>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</si>
  <si>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</si>
  <si>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</si>
  <si>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</si>
  <si>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</si>
  <si>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</si>
  <si>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</si>
  <si>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</si>
  <si>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</si>
  <si>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</si>
  <si>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</si>
  <si>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</si>
  <si>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</si>
  <si>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</si>
  <si>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</si>
  <si>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</si>
  <si>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</si>
  <si>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</si>
  <si>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</si>
  <si>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</si>
  <si>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</si>
  <si>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</si>
  <si>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</si>
  <si>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</si>
  <si>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</si>
  <si>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</si>
  <si>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</si>
  <si>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</si>
  <si>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</si>
  <si>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</si>
  <si>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</si>
  <si>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</si>
  <si>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</si>
  <si>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</si>
  <si>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</si>
  <si>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</si>
  <si>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</si>
  <si>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</si>
  <si>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</si>
  <si>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</si>
  <si>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</si>
  <si>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</si>
  <si>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</si>
  <si>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</si>
  <si>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</si>
  <si>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</si>
  <si>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</si>
  <si>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2008 Actual</t>
  </si>
  <si>
    <t>Number of Customers</t>
  </si>
  <si>
    <t>Weather Normal</t>
  </si>
  <si>
    <t xml:space="preserve">2009 Actual </t>
  </si>
  <si>
    <t>2011 Weather Normal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</si>
  <si>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</si>
  <si>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</si>
  <si>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</si>
  <si>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</si>
  <si>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</si>
  <si>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2012 Weather Normal</t>
  </si>
  <si>
    <t>Check totals above should be zero</t>
  </si>
  <si>
    <t>Weather Normal Projection</t>
  </si>
  <si>
    <t>Residential</t>
  </si>
  <si>
    <t>GS&lt;50</t>
  </si>
  <si>
    <t>GS&gt;50</t>
  </si>
  <si>
    <t>Large User</t>
  </si>
  <si>
    <t>Streetlights</t>
  </si>
  <si>
    <t>USL</t>
  </si>
  <si>
    <t>I2</t>
  </si>
  <si>
    <t>Sentinels</t>
  </si>
  <si>
    <t>Heating</t>
  </si>
  <si>
    <t>Cooling</t>
  </si>
  <si>
    <t>Trend</t>
  </si>
  <si>
    <t>Oshawa PUC Networks Inc.</t>
  </si>
  <si>
    <t>OPA Report (Final)</t>
  </si>
  <si>
    <t>Net Energy Savings (MWh)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</si>
  <si>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</si>
  <si>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</si>
  <si>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</si>
  <si>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</si>
  <si>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</si>
  <si>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</si>
  <si>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</si>
  <si>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</si>
  <si>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Net Energy Savings (kWh)</t>
  </si>
  <si>
    <t>2010 Programs</t>
  </si>
  <si>
    <t>CDM Historical Program Results</t>
  </si>
  <si>
    <t>CDM Projected Program Results</t>
  </si>
  <si>
    <t>Forecast</t>
  </si>
  <si>
    <t>2011 Programs</t>
  </si>
  <si>
    <t>2012 Programs</t>
  </si>
  <si>
    <t>2013 Programs</t>
  </si>
  <si>
    <t>2014 Programs</t>
  </si>
  <si>
    <t>2015 Programs</t>
  </si>
  <si>
    <t>Geomean  (ignored 2004)</t>
  </si>
  <si>
    <t>Ignored 2003 - doesn't look reliable.</t>
  </si>
  <si>
    <t>kWh</t>
  </si>
  <si>
    <t>kW</t>
  </si>
  <si>
    <t>CAGR</t>
  </si>
  <si>
    <t>Purchased Energy (kWh) - Year</t>
  </si>
  <si>
    <t>Actual Purchases</t>
  </si>
  <si>
    <t>Predicted Purchases</t>
  </si>
  <si>
    <t>Historical</t>
  </si>
  <si>
    <t>Description</t>
  </si>
  <si>
    <t>Table 15 - Exhibit 3</t>
  </si>
  <si>
    <t>2008 Board Approved</t>
  </si>
  <si>
    <t>Avg (Actual)</t>
  </si>
  <si>
    <t>Connections</t>
  </si>
  <si>
    <t>Personal Income - Oshawa (Millions $)</t>
  </si>
  <si>
    <t xml:space="preserve">2000.01  </t>
  </si>
  <si>
    <t xml:space="preserve">2000.02  </t>
  </si>
  <si>
    <t xml:space="preserve">2000.03  </t>
  </si>
  <si>
    <t xml:space="preserve">2000.04  </t>
  </si>
  <si>
    <t xml:space="preserve">2001.01  </t>
  </si>
  <si>
    <t xml:space="preserve">2001.02  </t>
  </si>
  <si>
    <t xml:space="preserve">2001.03  </t>
  </si>
  <si>
    <t xml:space="preserve">2001.04  </t>
  </si>
  <si>
    <t xml:space="preserve">2002.01  </t>
  </si>
  <si>
    <t xml:space="preserve">2002.02  </t>
  </si>
  <si>
    <t xml:space="preserve">2002.03  </t>
  </si>
  <si>
    <t xml:space="preserve">2002.04  </t>
  </si>
  <si>
    <t xml:space="preserve">2003.01  </t>
  </si>
  <si>
    <t xml:space="preserve">2003.02  </t>
  </si>
  <si>
    <t xml:space="preserve">2003.03  </t>
  </si>
  <si>
    <t xml:space="preserve">2003.04  </t>
  </si>
  <si>
    <t xml:space="preserve">2004.01  </t>
  </si>
  <si>
    <t xml:space="preserve">2004.02  </t>
  </si>
  <si>
    <t xml:space="preserve">2004.03  </t>
  </si>
  <si>
    <t xml:space="preserve">2004.04  </t>
  </si>
  <si>
    <t xml:space="preserve">2005.01  </t>
  </si>
  <si>
    <t xml:space="preserve">2005.02  </t>
  </si>
  <si>
    <t xml:space="preserve">2005.03  </t>
  </si>
  <si>
    <t xml:space="preserve">2005.04  </t>
  </si>
  <si>
    <t xml:space="preserve">2006.01  </t>
  </si>
  <si>
    <t xml:space="preserve">2006.02  </t>
  </si>
  <si>
    <t xml:space="preserve">2006.03  </t>
  </si>
  <si>
    <t xml:space="preserve">2006.04  </t>
  </si>
  <si>
    <t xml:space="preserve">2007.01  </t>
  </si>
  <si>
    <t xml:space="preserve">2007.02  </t>
  </si>
  <si>
    <t xml:space="preserve">2007.03  </t>
  </si>
  <si>
    <t xml:space="preserve">2007.04  </t>
  </si>
  <si>
    <t xml:space="preserve">2008.01  </t>
  </si>
  <si>
    <t xml:space="preserve">2008.02  </t>
  </si>
  <si>
    <t xml:space="preserve">2008.03  </t>
  </si>
  <si>
    <t xml:space="preserve">2008.04  </t>
  </si>
  <si>
    <t xml:space="preserve">2009.01  </t>
  </si>
  <si>
    <t xml:space="preserve">2009.02  </t>
  </si>
  <si>
    <t xml:space="preserve">2009.03  </t>
  </si>
  <si>
    <t xml:space="preserve">2009.04  </t>
  </si>
  <si>
    <t xml:space="preserve">2010.01  </t>
  </si>
  <si>
    <t xml:space="preserve">2010.02  </t>
  </si>
  <si>
    <t xml:space="preserve">2010.03  </t>
  </si>
  <si>
    <t xml:space="preserve">2010.04  </t>
  </si>
  <si>
    <t xml:space="preserve">2011.01  </t>
  </si>
  <si>
    <t xml:space="preserve">2011.02  </t>
  </si>
  <si>
    <t xml:space="preserve">2011.03  </t>
  </si>
  <si>
    <t xml:space="preserve">2011.04  </t>
  </si>
  <si>
    <t xml:space="preserve">2012.01  </t>
  </si>
  <si>
    <t xml:space="preserve">2012.02  </t>
  </si>
  <si>
    <t xml:space="preserve">2012.03  </t>
  </si>
  <si>
    <t xml:space="preserve">2012.04  </t>
  </si>
  <si>
    <t xml:space="preserve">2013.01  </t>
  </si>
  <si>
    <t xml:space="preserve">2013.02  </t>
  </si>
  <si>
    <t xml:space="preserve">2013.03  </t>
  </si>
  <si>
    <t xml:space="preserve">2013.04  </t>
  </si>
  <si>
    <t xml:space="preserve">2014.01  </t>
  </si>
  <si>
    <t xml:space="preserve">2014.02  </t>
  </si>
  <si>
    <t xml:space="preserve">2014.03  </t>
  </si>
  <si>
    <t xml:space="preserve">2014.04  </t>
  </si>
  <si>
    <t xml:space="preserve">2015.01  </t>
  </si>
  <si>
    <t xml:space="preserve">2015.02  </t>
  </si>
  <si>
    <t xml:space="preserve">2015.03  </t>
  </si>
  <si>
    <t xml:space="preserve">2015.04  </t>
  </si>
  <si>
    <t xml:space="preserve">2016.01  </t>
  </si>
  <si>
    <t xml:space="preserve">2016.02  </t>
  </si>
  <si>
    <t xml:space="preserve">2016.03  </t>
  </si>
  <si>
    <t xml:space="preserve">2016.04  </t>
  </si>
  <si>
    <t xml:space="preserve">2017.01  </t>
  </si>
  <si>
    <t xml:space="preserve">2017.02  </t>
  </si>
  <si>
    <t xml:space="preserve">2017.03  </t>
  </si>
  <si>
    <t xml:space="preserve">2017.04  </t>
  </si>
  <si>
    <t xml:space="preserve">2018.01  </t>
  </si>
  <si>
    <t xml:space="preserve">2018.02  </t>
  </si>
  <si>
    <t xml:space="preserve">2018.03  </t>
  </si>
  <si>
    <t xml:space="preserve">2018.04  </t>
  </si>
  <si>
    <t>Billed (Before LF)</t>
  </si>
  <si>
    <t>% Change</t>
  </si>
  <si>
    <t>Variance</t>
  </si>
  <si>
    <t>10 year average</t>
  </si>
  <si>
    <t>20 year trend</t>
  </si>
  <si>
    <t>N/A</t>
  </si>
  <si>
    <t>Year.Quarter</t>
  </si>
  <si>
    <t>Natural Increase in Population - Oshawa</t>
  </si>
  <si>
    <t>Unemployment Rate - Oshawa</t>
  </si>
  <si>
    <t>Monthly Average</t>
  </si>
  <si>
    <t>Estimate for now.</t>
  </si>
  <si>
    <t>To be consistent with proposed loss factor (Chapter 2 Appendices).</t>
  </si>
  <si>
    <t>Actual Results</t>
  </si>
  <si>
    <t>Weather Normal Forecast</t>
  </si>
  <si>
    <t>2014 Normalized Bridge Year</t>
  </si>
  <si>
    <t>2015 Normalized Test Year</t>
  </si>
  <si>
    <t>2016 Normalized Test Year</t>
  </si>
  <si>
    <t>2017 Normalized Test Year</t>
  </si>
  <si>
    <t>2018 Normalized Test Year</t>
  </si>
  <si>
    <t>2019 Normalized Test Year</t>
  </si>
  <si>
    <t>Normalized 10 Year Average</t>
  </si>
  <si>
    <t>Normalized Test</t>
  </si>
  <si>
    <t>Normalized 20 Year Trend</t>
  </si>
  <si>
    <t>Hydro Weather Normal Load Forecast for 2012 Rate Application</t>
  </si>
  <si>
    <t>Oshawa Qtrly Unemployment Rate</t>
  </si>
  <si>
    <t>2016 Programs</t>
  </si>
  <si>
    <t>Actual</t>
  </si>
  <si>
    <t>2017 Programs</t>
  </si>
  <si>
    <t>2018 Programs</t>
  </si>
  <si>
    <t>2019 Programs</t>
  </si>
  <si>
    <t>Purchased kWh's per IESO</t>
  </si>
  <si>
    <t>Change</t>
  </si>
  <si>
    <t>Cumulative Average Rate of Change</t>
  </si>
  <si>
    <t>2012 Board Approved</t>
  </si>
  <si>
    <t>2014 Bridge Year (Regression)</t>
  </si>
  <si>
    <t>2015 Test Year (Regression)</t>
  </si>
  <si>
    <t>2016 Test Year (Regression)</t>
  </si>
  <si>
    <t>2017 Test Year (Regression)</t>
  </si>
  <si>
    <t>2018 Test Year (Regression)</t>
  </si>
  <si>
    <t>2019 Test Year (Regression)</t>
  </si>
  <si>
    <t>Customer Connection Count</t>
  </si>
  <si>
    <t>GS 50 to 999 kW</t>
  </si>
  <si>
    <t>GS&lt;50 kW</t>
  </si>
  <si>
    <t>GS&gt;1,000 kW</t>
  </si>
  <si>
    <t>Streetlight</t>
  </si>
  <si>
    <t>Sentinel Light</t>
  </si>
  <si>
    <t>kWh Billed</t>
  </si>
  <si>
    <t>Geometric Mean</t>
  </si>
  <si>
    <t>Year-end Customer Connection Count</t>
  </si>
  <si>
    <t>Rate Applied</t>
  </si>
  <si>
    <t>Annual Average Customer Count</t>
  </si>
  <si>
    <t>SUMMARY OF ANNUAL ENERGY PURCHASES AND CUSTOMER CONNECTIONS</t>
  </si>
  <si>
    <t>BILLED ENERGY BY RATE CLASS</t>
  </si>
  <si>
    <t>ANNUAL BILLED ENERGY PER AVERAGE CUSTOMER CONNECTIONS BY RATE CLASS</t>
  </si>
  <si>
    <t>Adjustment</t>
  </si>
  <si>
    <t>Normalized Billed Energy</t>
  </si>
  <si>
    <t>Billed Demand (kW)</t>
  </si>
  <si>
    <t>Billed Energy (kWh)</t>
  </si>
  <si>
    <t>Ratio kW to kWh</t>
  </si>
  <si>
    <t>Board Approved</t>
  </si>
  <si>
    <t>Bridge Year</t>
  </si>
  <si>
    <t>Test Years</t>
  </si>
  <si>
    <t>Month</t>
  </si>
  <si>
    <t>Annual Billed Energy per Average Customer Connection</t>
  </si>
  <si>
    <t>Average Annual Customer Connection Count</t>
  </si>
  <si>
    <t>Annual Average Consumption per Average Customer Connection (Normalized)</t>
  </si>
  <si>
    <t>CDM Savings</t>
  </si>
  <si>
    <t>Average Connections</t>
  </si>
  <si>
    <t>Billed kW</t>
  </si>
  <si>
    <t>10 year trend</t>
  </si>
  <si>
    <t>20 year average</t>
  </si>
  <si>
    <t>Normal</t>
  </si>
  <si>
    <t>10 Year Trend</t>
  </si>
  <si>
    <t>20 Year Trend</t>
  </si>
  <si>
    <t>2nd Run - Oct 15th</t>
  </si>
  <si>
    <t>Average Customer Connection Count</t>
  </si>
  <si>
    <t>City Expansion</t>
  </si>
  <si>
    <t>Annual Weather Normalized Billed Energy per Average Customer Connection</t>
  </si>
  <si>
    <t>Power Purchased</t>
  </si>
  <si>
    <t xml:space="preserve">Actual </t>
  </si>
  <si>
    <t>Pre-2011</t>
  </si>
  <si>
    <t>OPA Program Year</t>
  </si>
  <si>
    <t>Sub-total</t>
  </si>
  <si>
    <t>LED Streetlights</t>
  </si>
  <si>
    <t>Net</t>
  </si>
  <si>
    <t>AVERAGE CUSTOMER CONNECTIONS BY RATE CLASS</t>
  </si>
  <si>
    <t>Billed Energy (kW)</t>
  </si>
  <si>
    <t>Annual Weather Non-Normalized Billed Energy per Average Customer Connection</t>
  </si>
  <si>
    <t>Predicted (net of CDM)</t>
  </si>
  <si>
    <t>Predicted (net of LED)</t>
  </si>
  <si>
    <t>CDM (All Customers)</t>
  </si>
  <si>
    <t>Predicted (City Population Growth)</t>
  </si>
  <si>
    <t>Population Growth (Select Customers)</t>
  </si>
  <si>
    <t>CDM (LED Streetlights)</t>
  </si>
  <si>
    <t>CDM</t>
  </si>
  <si>
    <t>General</t>
  </si>
  <si>
    <t xml:space="preserve">2019.01  </t>
  </si>
  <si>
    <t xml:space="preserve">2019.02  </t>
  </si>
  <si>
    <t xml:space="preserve">2019.03  </t>
  </si>
  <si>
    <t xml:space="preserve">2019.04  </t>
  </si>
  <si>
    <t>3rd Run - Apr 28, 2015</t>
  </si>
  <si>
    <t>2014 Bridge Year (Actual)</t>
  </si>
  <si>
    <t>2015 Test Year</t>
  </si>
  <si>
    <t>2016 Test Year</t>
  </si>
  <si>
    <t>2017 Test Year</t>
  </si>
  <si>
    <t>2018 Test Year</t>
  </si>
  <si>
    <t>2019 Test Year</t>
  </si>
  <si>
    <t>Billed With LED</t>
  </si>
  <si>
    <t>Purchased kWh</t>
  </si>
  <si>
    <t>Before LED</t>
  </si>
  <si>
    <t>With LED</t>
  </si>
  <si>
    <t>New Version</t>
  </si>
  <si>
    <t>Persistance</t>
  </si>
  <si>
    <t>Lights Subject to Conversion</t>
  </si>
  <si>
    <t>New Connections</t>
  </si>
  <si>
    <t>4th Run - June 16, 2015</t>
  </si>
  <si>
    <t>May 27, 2015 Update</t>
  </si>
  <si>
    <t>TC1.13 - Unemployment Rates as of June 16, 2015</t>
  </si>
  <si>
    <t>Persistance per OPA [Table - Cell J62]</t>
  </si>
  <si>
    <t>CDM Plan - May 1, 2015</t>
  </si>
  <si>
    <t>MWhs</t>
  </si>
  <si>
    <t>kWhs</t>
  </si>
  <si>
    <t>Cumulative kWhs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</si>
  <si>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</si>
  <si>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</si>
  <si>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</si>
  <si>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</si>
  <si>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</si>
  <si>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</si>
  <si>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</si>
  <si>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</si>
  <si>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</si>
  <si>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</si>
  <si>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</si>
  <si>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</si>
  <si>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2015:</t>
  </si>
  <si>
    <t>2016:</t>
  </si>
  <si>
    <t>Current</t>
  </si>
  <si>
    <t>LED</t>
  </si>
  <si>
    <t>Average kWhs per Connections</t>
  </si>
  <si>
    <t>Annual kWh</t>
  </si>
  <si>
    <t>2017 - 2019:</t>
  </si>
  <si>
    <t>2015 Test Year [Based on trend]</t>
  </si>
  <si>
    <t>2016 Test Year [3%]</t>
  </si>
  <si>
    <t>2017 Test Year [3%]</t>
  </si>
  <si>
    <t>2018 Test Year [3%]</t>
  </si>
  <si>
    <t>2019 Test Year [3%]</t>
  </si>
  <si>
    <t>City Expansion (adjusted for trend)</t>
  </si>
  <si>
    <t>Billed Before LED Conversion</t>
  </si>
  <si>
    <t>Billed After LED Conversion</t>
  </si>
  <si>
    <t>Total Streetlight Connections</t>
  </si>
  <si>
    <t>LED Conversion Timeline</t>
  </si>
  <si>
    <t>David - refer to formula in the cells and adjust accordingly.</t>
  </si>
  <si>
    <t>Note: large user, street lights, sentinel and USL are not adjusted.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</si>
</sst>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\ ;[Red]\(#,##0\)"/>
    <numFmt numFmtId="171" formatCode="_-* #,##0_-;\-* #,##0_-;_-* &quot;-&quot;??_-;_-@_-"/>
    <numFmt numFmtId="172" formatCode="#,##0.00000"/>
    <numFmt numFmtId="173" formatCode="_(* #,##0.0_);_(* \(#,##0.0\);_(* &quot;-&quot;??_);_(@_)"/>
    <numFmt numFmtId="174" formatCode="#,##0.0000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i/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Down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4" fillId="10" borderId="46" applyNumberFormat="0" applyFont="0" applyAlignment="0" applyProtection="0"/>
    <xf numFmtId="44" fontId="15" fillId="0" borderId="0" applyFont="0" applyFill="0" applyBorder="0" applyAlignment="0" applyProtection="0"/>
  </cellStyleXfs>
  <cellXfs count="52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1" fillId="0" borderId="0" xfId="1" applyNumberForma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5" fillId="0" borderId="0" xfId="0" applyFont="1"/>
    <xf numFmtId="3" fontId="1" fillId="3" borderId="0" xfId="1" applyNumberFormat="1" applyFill="1" applyAlignment="1">
      <alignment horizontal="center"/>
    </xf>
    <xf numFmtId="37" fontId="2" fillId="3" borderId="0" xfId="0" applyNumberFormat="1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3" fontId="1" fillId="3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37" fontId="1" fillId="3" borderId="0" xfId="0" applyNumberFormat="1" applyFont="1" applyFill="1" applyAlignment="1">
      <alignment horizontal="center"/>
    </xf>
    <xf numFmtId="170" fontId="1" fillId="3" borderId="0" xfId="1" applyNumberFormat="1" applyFill="1" applyAlignment="1">
      <alignment horizontal="center"/>
    </xf>
    <xf numFmtId="170" fontId="0" fillId="3" borderId="0" xfId="0" applyNumberFormat="1" applyFill="1" applyAlignment="1">
      <alignment horizontal="center"/>
    </xf>
    <xf numFmtId="170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3" borderId="0" xfId="0" applyNumberFormat="1" applyFont="1" applyFill="1" applyAlignment="1">
      <alignment horizontal="center" wrapText="1"/>
    </xf>
    <xf numFmtId="0" fontId="1" fillId="0" borderId="0" xfId="0" applyFont="1"/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3" fontId="1" fillId="0" borderId="0" xfId="0" applyNumberFormat="1" applyFont="1" applyAlignment="1">
      <alignment horizontal="center" wrapText="1"/>
    </xf>
    <xf numFmtId="171" fontId="0" fillId="0" borderId="0" xfId="1" applyNumberFormat="1" applyFont="1"/>
    <xf numFmtId="164" fontId="0" fillId="0" borderId="0" xfId="2" applyNumberFormat="1" applyFont="1"/>
    <xf numFmtId="164" fontId="0" fillId="0" borderId="0" xfId="1" applyNumberFormat="1" applyFont="1"/>
    <xf numFmtId="0" fontId="5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8" fillId="0" borderId="0" xfId="0" applyNumberFormat="1" applyFont="1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3" fontId="0" fillId="0" borderId="4" xfId="0" applyNumberFormat="1" applyFill="1" applyBorder="1" applyAlignment="1">
      <alignment vertical="top"/>
    </xf>
    <xf numFmtId="3" fontId="0" fillId="0" borderId="5" xfId="0" applyNumberFormat="1" applyFill="1" applyBorder="1" applyAlignment="1">
      <alignment vertical="top"/>
    </xf>
    <xf numFmtId="0" fontId="0" fillId="6" borderId="8" xfId="0" applyFill="1" applyBorder="1" applyAlignment="1">
      <alignment vertical="top"/>
    </xf>
    <xf numFmtId="0" fontId="1" fillId="6" borderId="9" xfId="0" applyFont="1" applyFill="1" applyBorder="1" applyAlignment="1">
      <alignment vertical="top"/>
    </xf>
    <xf numFmtId="3" fontId="0" fillId="6" borderId="7" xfId="0" applyNumberFormat="1" applyFill="1" applyBorder="1" applyAlignment="1">
      <alignment vertical="top"/>
    </xf>
    <xf numFmtId="3" fontId="0" fillId="6" borderId="8" xfId="0" applyNumberFormat="1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3" fontId="0" fillId="0" borderId="7" xfId="0" applyNumberFormat="1" applyFill="1" applyBorder="1" applyAlignment="1">
      <alignment vertical="top"/>
    </xf>
    <xf numFmtId="3" fontId="0" fillId="0" borderId="8" xfId="0" applyNumberFormat="1" applyFill="1" applyBorder="1" applyAlignment="1">
      <alignment vertical="top"/>
    </xf>
    <xf numFmtId="0" fontId="0" fillId="6" borderId="11" xfId="0" applyFill="1" applyBorder="1" applyAlignment="1">
      <alignment vertical="top"/>
    </xf>
    <xf numFmtId="0" fontId="1" fillId="6" borderId="12" xfId="0" applyFont="1" applyFill="1" applyBorder="1" applyAlignment="1">
      <alignment vertical="top"/>
    </xf>
    <xf numFmtId="3" fontId="0" fillId="6" borderId="10" xfId="0" applyNumberFormat="1" applyFill="1" applyBorder="1" applyAlignment="1">
      <alignment vertical="top"/>
    </xf>
    <xf numFmtId="3" fontId="0" fillId="6" borderId="11" xfId="0" applyNumberFormat="1" applyFill="1" applyBorder="1" applyAlignment="1">
      <alignment vertical="top"/>
    </xf>
    <xf numFmtId="0" fontId="1" fillId="6" borderId="11" xfId="0" applyFont="1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3" fontId="0" fillId="6" borderId="14" xfId="0" applyNumberFormat="1" applyFill="1" applyBorder="1" applyAlignment="1">
      <alignment vertical="top"/>
    </xf>
    <xf numFmtId="164" fontId="0" fillId="0" borderId="0" xfId="2" applyNumberFormat="1" applyFont="1" applyFill="1" applyBorder="1" applyAlignment="1"/>
    <xf numFmtId="43" fontId="0" fillId="3" borderId="0" xfId="1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67" fontId="0" fillId="7" borderId="0" xfId="0" applyNumberFormat="1" applyFill="1" applyAlignment="1">
      <alignment horizontal="center"/>
    </xf>
    <xf numFmtId="168" fontId="0" fillId="7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167" fontId="1" fillId="7" borderId="0" xfId="0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64" fontId="0" fillId="7" borderId="0" xfId="2" applyNumberFormat="1" applyFon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70" fontId="0" fillId="0" borderId="0" xfId="0" applyNumberForma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1" fillId="0" borderId="0" xfId="3"/>
    <xf numFmtId="3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4" fontId="1" fillId="0" borderId="0" xfId="3" applyNumberFormat="1" applyAlignment="1">
      <alignment horizontal="center"/>
    </xf>
    <xf numFmtId="0" fontId="3" fillId="0" borderId="0" xfId="3" applyFont="1" applyAlignment="1">
      <alignment horizontal="center" wrapText="1"/>
    </xf>
    <xf numFmtId="3" fontId="3" fillId="0" borderId="0" xfId="3" applyNumberFormat="1" applyFont="1" applyAlignment="1">
      <alignment horizontal="center" wrapText="1"/>
    </xf>
    <xf numFmtId="17" fontId="1" fillId="0" borderId="0" xfId="3" applyNumberFormat="1"/>
    <xf numFmtId="37" fontId="1" fillId="0" borderId="0" xfId="3" applyNumberFormat="1" applyFont="1" applyAlignment="1">
      <alignment horizontal="center"/>
    </xf>
    <xf numFmtId="165" fontId="1" fillId="0" borderId="0" xfId="3" applyNumberFormat="1" applyAlignment="1">
      <alignment horizontal="center"/>
    </xf>
    <xf numFmtId="164" fontId="1" fillId="0" borderId="0" xfId="3" applyNumberFormat="1" applyAlignment="1">
      <alignment horizontal="center"/>
    </xf>
    <xf numFmtId="3" fontId="1" fillId="0" borderId="0" xfId="3" applyNumberFormat="1" applyFont="1" applyAlignment="1">
      <alignment horizontal="center"/>
    </xf>
    <xf numFmtId="3" fontId="1" fillId="0" borderId="0" xfId="3" applyNumberFormat="1" applyFill="1" applyAlignment="1">
      <alignment horizontal="center"/>
    </xf>
    <xf numFmtId="1" fontId="12" fillId="0" borderId="1" xfId="3" applyNumberFormat="1" applyFont="1" applyBorder="1"/>
    <xf numFmtId="3" fontId="12" fillId="0" borderId="1" xfId="3" applyNumberFormat="1" applyFont="1" applyBorder="1" applyAlignment="1">
      <alignment horizontal="center"/>
    </xf>
    <xf numFmtId="164" fontId="12" fillId="0" borderId="21" xfId="2" applyNumberFormat="1" applyFont="1" applyBorder="1"/>
    <xf numFmtId="0" fontId="12" fillId="0" borderId="1" xfId="3" applyFont="1" applyBorder="1"/>
    <xf numFmtId="0" fontId="12" fillId="0" borderId="24" xfId="3" applyFont="1" applyBorder="1"/>
    <xf numFmtId="0" fontId="12" fillId="0" borderId="31" xfId="3" applyFont="1" applyBorder="1"/>
    <xf numFmtId="0" fontId="12" fillId="0" borderId="32" xfId="3" applyFont="1" applyBorder="1"/>
    <xf numFmtId="3" fontId="12" fillId="0" borderId="32" xfId="3" applyNumberFormat="1" applyFont="1" applyBorder="1" applyAlignment="1">
      <alignment horizontal="center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11" fillId="8" borderId="17" xfId="3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7" borderId="0" xfId="0" applyFill="1" applyAlignment="1">
      <alignment horizontal="right"/>
    </xf>
    <xf numFmtId="164" fontId="0" fillId="7" borderId="0" xfId="2" applyNumberFormat="1" applyFont="1" applyFill="1" applyAlignment="1">
      <alignment horizontal="right"/>
    </xf>
    <xf numFmtId="3" fontId="0" fillId="7" borderId="0" xfId="0" applyNumberFormat="1" applyFill="1" applyAlignment="1">
      <alignment horizontal="right"/>
    </xf>
    <xf numFmtId="3" fontId="4" fillId="7" borderId="0" xfId="0" applyNumberFormat="1" applyFont="1" applyFill="1"/>
    <xf numFmtId="0" fontId="0" fillId="7" borderId="0" xfId="0" applyFill="1"/>
    <xf numFmtId="0" fontId="4" fillId="0" borderId="28" xfId="0" applyFont="1" applyBorder="1"/>
    <xf numFmtId="3" fontId="0" fillId="0" borderId="28" xfId="0" applyNumberFormat="1" applyBorder="1" applyAlignment="1">
      <alignment horizontal="right" wrapText="1"/>
    </xf>
    <xf numFmtId="3" fontId="0" fillId="0" borderId="28" xfId="0" applyNumberFormat="1" applyFill="1" applyBorder="1" applyAlignment="1">
      <alignment horizontal="right" wrapText="1"/>
    </xf>
    <xf numFmtId="3" fontId="0" fillId="0" borderId="28" xfId="0" applyNumberFormat="1" applyBorder="1" applyAlignment="1">
      <alignment horizontal="right"/>
    </xf>
    <xf numFmtId="10" fontId="0" fillId="0" borderId="28" xfId="2" applyNumberFormat="1" applyFont="1" applyBorder="1" applyAlignment="1">
      <alignment horizontal="right" wrapText="1"/>
    </xf>
    <xf numFmtId="10" fontId="0" fillId="0" borderId="28" xfId="2" applyNumberFormat="1" applyFont="1" applyFill="1" applyBorder="1" applyAlignment="1">
      <alignment horizontal="right" wrapText="1"/>
    </xf>
    <xf numFmtId="10" fontId="7" fillId="0" borderId="28" xfId="2" applyNumberFormat="1" applyFont="1" applyBorder="1" applyAlignment="1">
      <alignment horizontal="right"/>
    </xf>
    <xf numFmtId="0" fontId="0" fillId="0" borderId="28" xfId="0" applyBorder="1" applyAlignment="1">
      <alignment horizontal="right" wrapText="1"/>
    </xf>
    <xf numFmtId="3" fontId="0" fillId="0" borderId="28" xfId="0" applyNumberFormat="1" applyFill="1" applyBorder="1" applyAlignment="1">
      <alignment horizontal="right"/>
    </xf>
    <xf numFmtId="0" fontId="5" fillId="0" borderId="28" xfId="0" applyFont="1" applyBorder="1"/>
    <xf numFmtId="0" fontId="0" fillId="0" borderId="28" xfId="0" applyBorder="1" applyAlignment="1">
      <alignment horizontal="right"/>
    </xf>
    <xf numFmtId="3" fontId="4" fillId="0" borderId="28" xfId="0" applyNumberFormat="1" applyFont="1" applyBorder="1"/>
    <xf numFmtId="0" fontId="0" fillId="0" borderId="28" xfId="0" applyBorder="1"/>
    <xf numFmtId="3" fontId="7" fillId="0" borderId="28" xfId="0" applyNumberFormat="1" applyFont="1" applyBorder="1" applyAlignment="1">
      <alignment horizontal="right"/>
    </xf>
    <xf numFmtId="169" fontId="0" fillId="0" borderId="28" xfId="1" applyNumberFormat="1" applyFont="1" applyBorder="1" applyAlignment="1">
      <alignment horizontal="right"/>
    </xf>
    <xf numFmtId="0" fontId="1" fillId="0" borderId="28" xfId="0" applyFont="1" applyBorder="1"/>
    <xf numFmtId="3" fontId="0" fillId="0" borderId="28" xfId="1" applyNumberFormat="1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 applyAlignment="1">
      <alignment horizontal="right"/>
    </xf>
    <xf numFmtId="0" fontId="4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right" wrapText="1"/>
    </xf>
    <xf numFmtId="3" fontId="13" fillId="0" borderId="0" xfId="0" applyNumberFormat="1" applyFont="1" applyAlignment="1">
      <alignment horizontal="center"/>
    </xf>
    <xf numFmtId="0" fontId="0" fillId="6" borderId="40" xfId="0" applyFill="1" applyBorder="1" applyAlignment="1">
      <alignment vertical="top"/>
    </xf>
    <xf numFmtId="0" fontId="0" fillId="0" borderId="0" xfId="0" applyBorder="1"/>
    <xf numFmtId="3" fontId="0" fillId="6" borderId="41" xfId="0" applyNumberFormat="1" applyFill="1" applyBorder="1" applyAlignment="1">
      <alignment vertical="top"/>
    </xf>
    <xf numFmtId="0" fontId="4" fillId="5" borderId="42" xfId="0" applyFont="1" applyFill="1" applyBorder="1" applyAlignment="1">
      <alignment vertical="top"/>
    </xf>
    <xf numFmtId="0" fontId="4" fillId="5" borderId="43" xfId="0" applyFont="1" applyFill="1" applyBorder="1" applyAlignment="1">
      <alignment vertical="top"/>
    </xf>
    <xf numFmtId="0" fontId="4" fillId="5" borderId="44" xfId="0" applyFont="1" applyFill="1" applyBorder="1" applyAlignment="1">
      <alignment vertical="top"/>
    </xf>
    <xf numFmtId="0" fontId="0" fillId="0" borderId="2" xfId="0" applyNumberFormat="1" applyFill="1" applyBorder="1" applyAlignment="1">
      <alignment vertical="top"/>
    </xf>
    <xf numFmtId="3" fontId="4" fillId="5" borderId="32" xfId="0" applyNumberFormat="1" applyFont="1" applyFill="1" applyBorder="1" applyAlignment="1">
      <alignment vertical="top"/>
    </xf>
    <xf numFmtId="3" fontId="4" fillId="5" borderId="45" xfId="0" applyNumberFormat="1" applyFont="1" applyFill="1" applyBorder="1" applyAlignment="1">
      <alignment vertical="top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2" fillId="7" borderId="0" xfId="1" applyFont="1" applyFill="1" applyAlignment="1">
      <alignment horizontal="center"/>
    </xf>
    <xf numFmtId="172" fontId="0" fillId="0" borderId="0" xfId="0" applyNumberFormat="1" applyAlignment="1">
      <alignment horizontal="center"/>
    </xf>
    <xf numFmtId="171" fontId="0" fillId="7" borderId="0" xfId="1" applyNumberFormat="1" applyFont="1" applyFill="1"/>
    <xf numFmtId="166" fontId="0" fillId="0" borderId="0" xfId="0" applyNumberFormat="1"/>
    <xf numFmtId="0" fontId="0" fillId="0" borderId="0" xfId="0" applyAlignment="1">
      <alignment horizontal="center"/>
    </xf>
    <xf numFmtId="0" fontId="11" fillId="8" borderId="17" xfId="3" applyFont="1" applyFill="1" applyBorder="1" applyAlignment="1">
      <alignment horizontal="center" vertical="center" wrapText="1"/>
    </xf>
    <xf numFmtId="0" fontId="11" fillId="8" borderId="18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73" fontId="0" fillId="3" borderId="0" xfId="1" applyNumberFormat="1" applyFont="1" applyFill="1" applyAlignment="1">
      <alignment horizontal="center"/>
    </xf>
    <xf numFmtId="173" fontId="2" fillId="3" borderId="0" xfId="1" applyNumberFormat="1" applyFont="1" applyFill="1" applyAlignment="1">
      <alignment horizontal="center"/>
    </xf>
    <xf numFmtId="173" fontId="2" fillId="2" borderId="0" xfId="1" applyNumberFormat="1" applyFont="1" applyFill="1" applyAlignment="1">
      <alignment horizontal="center"/>
    </xf>
    <xf numFmtId="3" fontId="1" fillId="7" borderId="0" xfId="1" applyNumberFormat="1" applyFill="1" applyAlignment="1">
      <alignment horizontal="center"/>
    </xf>
    <xf numFmtId="173" fontId="2" fillId="7" borderId="0" xfId="1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170" fontId="2" fillId="0" borderId="0" xfId="0" applyNumberFormat="1" applyFont="1" applyFill="1" applyAlignment="1">
      <alignment horizontal="center"/>
    </xf>
    <xf numFmtId="43" fontId="2" fillId="0" borderId="0" xfId="0" applyNumberFormat="1" applyFont="1" applyAlignment="1">
      <alignment horizontal="center"/>
    </xf>
    <xf numFmtId="44" fontId="0" fillId="0" borderId="0" xfId="11" applyFont="1"/>
    <xf numFmtId="43" fontId="0" fillId="0" borderId="0" xfId="1" applyFont="1"/>
    <xf numFmtId="0" fontId="0" fillId="2" borderId="0" xfId="0" applyFill="1" applyAlignment="1">
      <alignment horizontal="left"/>
    </xf>
    <xf numFmtId="10" fontId="0" fillId="4" borderId="0" xfId="2" applyNumberFormat="1" applyFont="1" applyFill="1" applyAlignment="1">
      <alignment horizontal="center"/>
    </xf>
    <xf numFmtId="3" fontId="0" fillId="11" borderId="0" xfId="0" applyNumberFormat="1" applyFill="1" applyAlignment="1">
      <alignment horizontal="center"/>
    </xf>
    <xf numFmtId="3" fontId="2" fillId="11" borderId="0" xfId="0" applyNumberFormat="1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66" fontId="0" fillId="0" borderId="48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7" fontId="0" fillId="0" borderId="48" xfId="0" applyNumberFormat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168" fontId="0" fillId="0" borderId="48" xfId="0" applyNumberFormat="1" applyBorder="1" applyAlignment="1">
      <alignment horizontal="center"/>
    </xf>
    <xf numFmtId="0" fontId="4" fillId="9" borderId="14" xfId="0" applyFont="1" applyFill="1" applyBorder="1" applyAlignment="1">
      <alignment horizontal="center" wrapText="1"/>
    </xf>
    <xf numFmtId="0" fontId="4" fillId="9" borderId="50" xfId="0" applyFont="1" applyFill="1" applyBorder="1" applyAlignment="1">
      <alignment horizontal="center" wrapText="1"/>
    </xf>
    <xf numFmtId="0" fontId="4" fillId="9" borderId="15" xfId="0" applyFont="1" applyFill="1" applyBorder="1" applyAlignment="1">
      <alignment horizontal="center" wrapText="1"/>
    </xf>
    <xf numFmtId="0" fontId="11" fillId="8" borderId="47" xfId="3" applyFont="1" applyFill="1" applyBorder="1" applyAlignment="1">
      <alignment horizontal="center" vertical="center" wrapText="1"/>
    </xf>
    <xf numFmtId="3" fontId="12" fillId="0" borderId="21" xfId="3" applyNumberFormat="1" applyFont="1" applyBorder="1" applyAlignment="1">
      <alignment horizontal="center"/>
    </xf>
    <xf numFmtId="3" fontId="12" fillId="0" borderId="45" xfId="3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 wrapText="1"/>
    </xf>
    <xf numFmtId="3" fontId="0" fillId="0" borderId="49" xfId="0" applyNumberFormat="1" applyBorder="1" applyAlignment="1">
      <alignment horizontal="center" wrapText="1"/>
    </xf>
    <xf numFmtId="3" fontId="0" fillId="0" borderId="29" xfId="0" applyNumberFormat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29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9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9" borderId="37" xfId="0" applyFont="1" applyFill="1" applyBorder="1"/>
    <xf numFmtId="0" fontId="4" fillId="9" borderId="53" xfId="0" applyFont="1" applyFill="1" applyBorder="1"/>
    <xf numFmtId="0" fontId="4" fillId="9" borderId="54" xfId="0" applyFont="1" applyFill="1" applyBorder="1" applyAlignment="1">
      <alignment horizontal="center" wrapText="1"/>
    </xf>
    <xf numFmtId="0" fontId="4" fillId="0" borderId="53" xfId="0" applyFont="1" applyBorder="1"/>
    <xf numFmtId="3" fontId="0" fillId="0" borderId="27" xfId="0" applyNumberFormat="1" applyBorder="1" applyAlignment="1">
      <alignment horizontal="center" wrapText="1"/>
    </xf>
    <xf numFmtId="3" fontId="0" fillId="0" borderId="30" xfId="0" applyNumberFormat="1" applyBorder="1" applyAlignment="1">
      <alignment horizontal="center" wrapText="1"/>
    </xf>
    <xf numFmtId="164" fontId="0" fillId="0" borderId="30" xfId="0" applyNumberForma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0" xfId="0" applyFill="1" applyBorder="1" applyAlignment="1">
      <alignment horizontal="center"/>
    </xf>
    <xf numFmtId="0" fontId="5" fillId="0" borderId="53" xfId="0" applyFont="1" applyBorder="1"/>
    <xf numFmtId="0" fontId="0" fillId="0" borderId="30" xfId="0" applyBorder="1" applyAlignment="1">
      <alignment horizontal="center"/>
    </xf>
    <xf numFmtId="3" fontId="4" fillId="0" borderId="53" xfId="0" applyNumberFormat="1" applyFont="1" applyBorder="1"/>
    <xf numFmtId="0" fontId="0" fillId="0" borderId="53" xfId="0" applyBorder="1"/>
    <xf numFmtId="3" fontId="0" fillId="0" borderId="3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30" xfId="0" applyNumberFormat="1" applyFill="1" applyBorder="1" applyAlignment="1">
      <alignment horizontal="center"/>
    </xf>
    <xf numFmtId="0" fontId="1" fillId="0" borderId="53" xfId="0" applyFont="1" applyBorder="1"/>
    <xf numFmtId="0" fontId="0" fillId="0" borderId="55" xfId="0" applyBorder="1"/>
    <xf numFmtId="3" fontId="0" fillId="0" borderId="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1" fontId="16" fillId="0" borderId="0" xfId="3" applyNumberFormat="1" applyFont="1" applyAlignment="1">
      <alignment horizontal="center"/>
    </xf>
    <xf numFmtId="0" fontId="11" fillId="8" borderId="57" xfId="3" applyFont="1" applyFill="1" applyBorder="1" applyAlignment="1">
      <alignment horizontal="center" vertical="center" wrapText="1"/>
    </xf>
    <xf numFmtId="0" fontId="11" fillId="8" borderId="58" xfId="3" applyFont="1" applyFill="1" applyBorder="1" applyAlignment="1">
      <alignment horizontal="center" vertical="center" wrapText="1"/>
    </xf>
    <xf numFmtId="3" fontId="12" fillId="0" borderId="1" xfId="3" applyNumberFormat="1" applyFont="1" applyBorder="1" applyAlignment="1">
      <alignment horizontal="right"/>
    </xf>
    <xf numFmtId="164" fontId="12" fillId="0" borderId="1" xfId="2" applyNumberFormat="1" applyFont="1" applyBorder="1" applyAlignment="1">
      <alignment horizontal="right"/>
    </xf>
    <xf numFmtId="1" fontId="12" fillId="0" borderId="1" xfId="3" applyNumberFormat="1" applyFont="1" applyBorder="1" applyAlignment="1">
      <alignment horizontal="right"/>
    </xf>
    <xf numFmtId="3" fontId="12" fillId="12" borderId="1" xfId="3" applyNumberFormat="1" applyFont="1" applyFill="1" applyBorder="1" applyAlignment="1">
      <alignment horizontal="right"/>
    </xf>
    <xf numFmtId="164" fontId="12" fillId="12" borderId="1" xfId="2" applyNumberFormat="1" applyFont="1" applyFill="1" applyBorder="1" applyAlignment="1">
      <alignment horizontal="right"/>
    </xf>
    <xf numFmtId="0" fontId="11" fillId="8" borderId="56" xfId="3" applyFont="1" applyFill="1" applyBorder="1" applyAlignment="1">
      <alignment horizontal="center" vertical="center" wrapText="1"/>
    </xf>
    <xf numFmtId="1" fontId="12" fillId="12" borderId="16" xfId="3" applyNumberFormat="1" applyFont="1" applyFill="1" applyBorder="1"/>
    <xf numFmtId="3" fontId="12" fillId="12" borderId="17" xfId="3" applyNumberFormat="1" applyFont="1" applyFill="1" applyBorder="1" applyAlignment="1">
      <alignment horizontal="right"/>
    </xf>
    <xf numFmtId="164" fontId="12" fillId="12" borderId="17" xfId="2" applyNumberFormat="1" applyFont="1" applyFill="1" applyBorder="1" applyAlignment="1">
      <alignment horizontal="right"/>
    </xf>
    <xf numFmtId="3" fontId="12" fillId="12" borderId="47" xfId="3" applyNumberFormat="1" applyFont="1" applyFill="1" applyBorder="1" applyAlignment="1">
      <alignment horizontal="right"/>
    </xf>
    <xf numFmtId="3" fontId="12" fillId="12" borderId="21" xfId="3" applyNumberFormat="1" applyFont="1" applyFill="1" applyBorder="1" applyAlignment="1">
      <alignment horizontal="right"/>
    </xf>
    <xf numFmtId="3" fontId="12" fillId="0" borderId="21" xfId="3" applyNumberFormat="1" applyFont="1" applyBorder="1" applyAlignment="1">
      <alignment horizontal="right"/>
    </xf>
    <xf numFmtId="164" fontId="12" fillId="0" borderId="21" xfId="2" applyNumberFormat="1" applyFont="1" applyBorder="1" applyAlignment="1">
      <alignment horizontal="right"/>
    </xf>
    <xf numFmtId="3" fontId="12" fillId="0" borderId="32" xfId="3" applyNumberFormat="1" applyFont="1" applyBorder="1" applyAlignment="1">
      <alignment horizontal="right"/>
    </xf>
    <xf numFmtId="164" fontId="12" fillId="0" borderId="32" xfId="2" applyNumberFormat="1" applyFont="1" applyBorder="1" applyAlignment="1">
      <alignment horizontal="right"/>
    </xf>
    <xf numFmtId="164" fontId="12" fillId="0" borderId="45" xfId="2" applyNumberFormat="1" applyFont="1" applyBorder="1" applyAlignment="1">
      <alignment horizontal="right"/>
    </xf>
    <xf numFmtId="1" fontId="12" fillId="0" borderId="23" xfId="3" applyNumberFormat="1" applyFont="1" applyBorder="1"/>
    <xf numFmtId="1" fontId="12" fillId="0" borderId="36" xfId="3" applyNumberFormat="1" applyFont="1" applyBorder="1" applyAlignment="1">
      <alignment horizontal="right"/>
    </xf>
    <xf numFmtId="3" fontId="12" fillId="0" borderId="36" xfId="3" applyNumberFormat="1" applyFont="1" applyBorder="1" applyAlignment="1">
      <alignment horizontal="right"/>
    </xf>
    <xf numFmtId="164" fontId="12" fillId="0" borderId="36" xfId="2" applyNumberFormat="1" applyFont="1" applyBorder="1" applyAlignment="1">
      <alignment horizontal="right"/>
    </xf>
    <xf numFmtId="3" fontId="12" fillId="0" borderId="41" xfId="3" applyNumberFormat="1" applyFont="1" applyBorder="1" applyAlignment="1">
      <alignment horizontal="right"/>
    </xf>
    <xf numFmtId="1" fontId="12" fillId="12" borderId="31" xfId="3" applyNumberFormat="1" applyFont="1" applyFill="1" applyBorder="1"/>
    <xf numFmtId="3" fontId="12" fillId="12" borderId="32" xfId="3" applyNumberFormat="1" applyFont="1" applyFill="1" applyBorder="1" applyAlignment="1">
      <alignment horizontal="right"/>
    </xf>
    <xf numFmtId="164" fontId="12" fillId="12" borderId="32" xfId="2" applyNumberFormat="1" applyFont="1" applyFill="1" applyBorder="1" applyAlignment="1">
      <alignment horizontal="right"/>
    </xf>
    <xf numFmtId="3" fontId="12" fillId="12" borderId="45" xfId="3" applyNumberFormat="1" applyFont="1" applyFill="1" applyBorder="1" applyAlignment="1">
      <alignment horizontal="right"/>
    </xf>
    <xf numFmtId="1" fontId="12" fillId="0" borderId="24" xfId="3" applyNumberFormat="1" applyFont="1" applyBorder="1" applyAlignment="1">
      <alignment horizontal="left" indent="1"/>
    </xf>
    <xf numFmtId="0" fontId="12" fillId="0" borderId="24" xfId="3" applyFont="1" applyBorder="1" applyAlignment="1">
      <alignment horizontal="left" indent="1"/>
    </xf>
    <xf numFmtId="0" fontId="12" fillId="0" borderId="31" xfId="3" applyFont="1" applyBorder="1" applyAlignment="1">
      <alignment horizontal="left" indent="1"/>
    </xf>
    <xf numFmtId="0" fontId="12" fillId="0" borderId="16" xfId="3" applyFont="1" applyBorder="1"/>
    <xf numFmtId="0" fontId="12" fillId="0" borderId="17" xfId="3" applyFont="1" applyBorder="1"/>
    <xf numFmtId="0" fontId="12" fillId="0" borderId="47" xfId="3" applyFont="1" applyBorder="1"/>
    <xf numFmtId="1" fontId="12" fillId="12" borderId="24" xfId="3" applyNumberFormat="1" applyFont="1" applyFill="1" applyBorder="1" applyAlignment="1">
      <alignment horizontal="left" indent="1"/>
    </xf>
    <xf numFmtId="0" fontId="0" fillId="0" borderId="1" xfId="0" applyBorder="1"/>
    <xf numFmtId="0" fontId="0" fillId="0" borderId="21" xfId="0" applyBorder="1"/>
    <xf numFmtId="3" fontId="12" fillId="0" borderId="21" xfId="0" applyNumberFormat="1" applyFont="1" applyBorder="1"/>
    <xf numFmtId="3" fontId="12" fillId="0" borderId="45" xfId="0" applyNumberFormat="1" applyFont="1" applyBorder="1"/>
    <xf numFmtId="0" fontId="12" fillId="12" borderId="24" xfId="3" applyFont="1" applyFill="1" applyBorder="1" applyAlignment="1">
      <alignment horizontal="left"/>
    </xf>
    <xf numFmtId="164" fontId="12" fillId="12" borderId="21" xfId="2" applyNumberFormat="1" applyFont="1" applyFill="1" applyBorder="1" applyAlignment="1">
      <alignment horizontal="right"/>
    </xf>
    <xf numFmtId="0" fontId="12" fillId="12" borderId="31" xfId="3" applyFont="1" applyFill="1" applyBorder="1" applyAlignment="1">
      <alignment horizontal="left"/>
    </xf>
    <xf numFmtId="164" fontId="12" fillId="12" borderId="45" xfId="2" applyNumberFormat="1" applyFont="1" applyFill="1" applyBorder="1" applyAlignment="1">
      <alignment horizontal="right"/>
    </xf>
    <xf numFmtId="3" fontId="12" fillId="0" borderId="25" xfId="3" applyNumberFormat="1" applyFont="1" applyBorder="1" applyAlignment="1">
      <alignment horizontal="right"/>
    </xf>
    <xf numFmtId="3" fontId="12" fillId="0" borderId="59" xfId="0" applyNumberFormat="1" applyFont="1" applyBorder="1"/>
    <xf numFmtId="0" fontId="4" fillId="9" borderId="63" xfId="0" applyFont="1" applyFill="1" applyBorder="1"/>
    <xf numFmtId="0" fontId="4" fillId="0" borderId="22" xfId="0" applyFont="1" applyBorder="1"/>
    <xf numFmtId="0" fontId="5" fillId="0" borderId="22" xfId="0" applyFont="1" applyBorder="1"/>
    <xf numFmtId="3" fontId="4" fillId="0" borderId="22" xfId="0" applyNumberFormat="1" applyFont="1" applyBorder="1"/>
    <xf numFmtId="0" fontId="0" fillId="0" borderId="22" xfId="0" applyBorder="1"/>
    <xf numFmtId="0" fontId="1" fillId="0" borderId="22" xfId="0" applyFont="1" applyBorder="1"/>
    <xf numFmtId="0" fontId="0" fillId="0" borderId="60" xfId="0" applyBorder="1"/>
    <xf numFmtId="0" fontId="4" fillId="9" borderId="60" xfId="0" applyFont="1" applyFill="1" applyBorder="1"/>
    <xf numFmtId="0" fontId="4" fillId="9" borderId="2" xfId="0" applyFont="1" applyFill="1" applyBorder="1" applyAlignment="1">
      <alignment horizontal="center" wrapText="1"/>
    </xf>
    <xf numFmtId="0" fontId="4" fillId="9" borderId="64" xfId="0" applyFont="1" applyFill="1" applyBorder="1" applyAlignment="1">
      <alignment horizontal="center" wrapText="1"/>
    </xf>
    <xf numFmtId="0" fontId="4" fillId="9" borderId="34" xfId="0" applyFont="1" applyFill="1" applyBorder="1" applyAlignment="1">
      <alignment horizontal="center" wrapText="1"/>
    </xf>
    <xf numFmtId="0" fontId="4" fillId="9" borderId="35" xfId="0" applyFont="1" applyFill="1" applyBorder="1" applyAlignment="1">
      <alignment horizontal="center" wrapText="1"/>
    </xf>
    <xf numFmtId="3" fontId="0" fillId="0" borderId="51" xfId="0" applyNumberFormat="1" applyBorder="1" applyAlignment="1">
      <alignment horizontal="center" wrapText="1"/>
    </xf>
    <xf numFmtId="3" fontId="0" fillId="0" borderId="38" xfId="0" applyNumberFormat="1" applyBorder="1" applyAlignment="1">
      <alignment horizontal="center" wrapText="1"/>
    </xf>
    <xf numFmtId="3" fontId="0" fillId="0" borderId="39" xfId="0" applyNumberFormat="1" applyBorder="1" applyAlignment="1">
      <alignment horizontal="center" wrapText="1"/>
    </xf>
    <xf numFmtId="0" fontId="11" fillId="8" borderId="63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1" fillId="8" borderId="60" xfId="3" applyFont="1" applyFill="1" applyBorder="1" applyAlignment="1">
      <alignment horizontal="center" vertical="center" wrapText="1"/>
    </xf>
    <xf numFmtId="1" fontId="11" fillId="12" borderId="65" xfId="3" applyNumberFormat="1" applyFont="1" applyFill="1" applyBorder="1" applyAlignment="1">
      <alignment horizontal="center" vertical="top"/>
    </xf>
    <xf numFmtId="3" fontId="0" fillId="0" borderId="28" xfId="0" applyNumberFormat="1" applyBorder="1"/>
    <xf numFmtId="3" fontId="0" fillId="0" borderId="62" xfId="0" applyNumberFormat="1" applyBorder="1"/>
    <xf numFmtId="164" fontId="0" fillId="0" borderId="28" xfId="0" applyNumberFormat="1" applyBorder="1" applyAlignment="1">
      <alignment horizontal="center" wrapText="1"/>
    </xf>
    <xf numFmtId="164" fontId="0" fillId="0" borderId="28" xfId="0" applyNumberFormat="1" applyBorder="1"/>
    <xf numFmtId="164" fontId="0" fillId="0" borderId="62" xfId="0" applyNumberFormat="1" applyBorder="1"/>
    <xf numFmtId="0" fontId="0" fillId="0" borderId="62" xfId="0" applyBorder="1"/>
    <xf numFmtId="3" fontId="0" fillId="0" borderId="33" xfId="0" applyNumberFormat="1" applyBorder="1"/>
    <xf numFmtId="3" fontId="0" fillId="0" borderId="61" xfId="0" applyNumberFormat="1" applyBorder="1"/>
    <xf numFmtId="1" fontId="11" fillId="12" borderId="32" xfId="3" applyNumberFormat="1" applyFont="1" applyFill="1" applyBorder="1" applyAlignment="1">
      <alignment horizontal="center" vertical="top"/>
    </xf>
    <xf numFmtId="0" fontId="11" fillId="8" borderId="32" xfId="3" applyFont="1" applyFill="1" applyBorder="1" applyAlignment="1">
      <alignment horizontal="center" vertical="center" wrapText="1"/>
    </xf>
    <xf numFmtId="0" fontId="11" fillId="8" borderId="45" xfId="3" applyFont="1" applyFill="1" applyBorder="1" applyAlignment="1">
      <alignment horizontal="center" vertical="center" wrapText="1"/>
    </xf>
    <xf numFmtId="17" fontId="12" fillId="0" borderId="22" xfId="0" applyNumberFormat="1" applyFont="1" applyFill="1" applyBorder="1"/>
    <xf numFmtId="3" fontId="12" fillId="0" borderId="28" xfId="1" applyNumberFormat="1" applyFont="1" applyFill="1" applyBorder="1" applyAlignment="1">
      <alignment horizontal="center"/>
    </xf>
    <xf numFmtId="43" fontId="12" fillId="0" borderId="28" xfId="1" applyFont="1" applyFill="1" applyBorder="1" applyAlignment="1">
      <alignment horizontal="center"/>
    </xf>
    <xf numFmtId="10" fontId="12" fillId="0" borderId="28" xfId="2" applyNumberFormat="1" applyFont="1" applyFill="1" applyBorder="1" applyAlignment="1">
      <alignment horizontal="center"/>
    </xf>
    <xf numFmtId="37" fontId="12" fillId="0" borderId="28" xfId="0" applyNumberFormat="1" applyFont="1" applyFill="1" applyBorder="1" applyAlignment="1">
      <alignment horizontal="center"/>
    </xf>
    <xf numFmtId="37" fontId="12" fillId="0" borderId="62" xfId="0" applyNumberFormat="1" applyFont="1" applyFill="1" applyBorder="1" applyAlignment="1">
      <alignment horizontal="center"/>
    </xf>
    <xf numFmtId="3" fontId="12" fillId="0" borderId="28" xfId="0" applyNumberFormat="1" applyFont="1" applyFill="1" applyBorder="1" applyAlignment="1">
      <alignment horizontal="center"/>
    </xf>
    <xf numFmtId="3" fontId="12" fillId="13" borderId="28" xfId="0" applyNumberFormat="1" applyFont="1" applyFill="1" applyBorder="1" applyAlignment="1">
      <alignment horizontal="center"/>
    </xf>
    <xf numFmtId="17" fontId="12" fillId="0" borderId="60" xfId="0" applyNumberFormat="1" applyFont="1" applyFill="1" applyBorder="1"/>
    <xf numFmtId="3" fontId="12" fillId="13" borderId="33" xfId="0" applyNumberFormat="1" applyFont="1" applyFill="1" applyBorder="1" applyAlignment="1">
      <alignment horizontal="center"/>
    </xf>
    <xf numFmtId="43" fontId="12" fillId="0" borderId="33" xfId="1" applyFont="1" applyFill="1" applyBorder="1" applyAlignment="1">
      <alignment horizontal="center"/>
    </xf>
    <xf numFmtId="10" fontId="12" fillId="0" borderId="33" xfId="2" applyNumberFormat="1" applyFont="1" applyFill="1" applyBorder="1" applyAlignment="1">
      <alignment horizontal="center"/>
    </xf>
    <xf numFmtId="37" fontId="12" fillId="0" borderId="33" xfId="0" applyNumberFormat="1" applyFont="1" applyFill="1" applyBorder="1" applyAlignment="1">
      <alignment horizontal="center"/>
    </xf>
    <xf numFmtId="37" fontId="12" fillId="0" borderId="61" xfId="0" applyNumberFormat="1" applyFont="1" applyFill="1" applyBorder="1" applyAlignment="1">
      <alignment horizontal="center"/>
    </xf>
    <xf numFmtId="0" fontId="11" fillId="8" borderId="31" xfId="3" applyFont="1" applyFill="1" applyBorder="1" applyAlignment="1">
      <alignment horizontal="center" vertical="center" wrapText="1"/>
    </xf>
    <xf numFmtId="3" fontId="12" fillId="0" borderId="45" xfId="3" applyNumberFormat="1" applyFont="1" applyBorder="1" applyAlignment="1">
      <alignment horizontal="right"/>
    </xf>
    <xf numFmtId="37" fontId="1" fillId="7" borderId="0" xfId="0" applyNumberFormat="1" applyFont="1" applyFill="1" applyAlignment="1">
      <alignment horizontal="center"/>
    </xf>
    <xf numFmtId="0" fontId="0" fillId="7" borderId="0" xfId="0" applyFill="1" applyAlignment="1">
      <alignment wrapText="1"/>
    </xf>
    <xf numFmtId="0" fontId="1" fillId="7" borderId="15" xfId="0" applyFont="1" applyFill="1" applyBorder="1" applyAlignment="1">
      <alignment vertical="top"/>
    </xf>
    <xf numFmtId="3" fontId="0" fillId="7" borderId="14" xfId="0" applyNumberFormat="1" applyFill="1" applyBorder="1" applyAlignment="1">
      <alignment vertical="top"/>
    </xf>
    <xf numFmtId="0" fontId="17" fillId="0" borderId="0" xfId="0" applyFont="1"/>
    <xf numFmtId="0" fontId="11" fillId="8" borderId="33" xfId="3" applyFont="1" applyFill="1" applyBorder="1" applyAlignment="1">
      <alignment horizontal="center" vertical="center" wrapText="1"/>
    </xf>
    <xf numFmtId="0" fontId="11" fillId="8" borderId="34" xfId="3" applyFont="1" applyFill="1" applyBorder="1" applyAlignment="1">
      <alignment horizontal="center" vertical="center" wrapText="1"/>
    </xf>
    <xf numFmtId="0" fontId="11" fillId="8" borderId="61" xfId="3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0" fontId="0" fillId="0" borderId="38" xfId="0" applyNumberFormat="1" applyFill="1" applyBorder="1" applyAlignment="1">
      <alignment vertical="top"/>
    </xf>
    <xf numFmtId="0" fontId="4" fillId="5" borderId="17" xfId="0" applyFont="1" applyFill="1" applyBorder="1" applyAlignment="1">
      <alignment vertical="top"/>
    </xf>
    <xf numFmtId="0" fontId="4" fillId="5" borderId="47" xfId="0" applyFont="1" applyFill="1" applyBorder="1" applyAlignment="1">
      <alignment vertical="top"/>
    </xf>
    <xf numFmtId="0" fontId="0" fillId="0" borderId="66" xfId="0" applyFill="1" applyBorder="1" applyAlignment="1">
      <alignment vertical="top"/>
    </xf>
    <xf numFmtId="3" fontId="0" fillId="0" borderId="67" xfId="0" applyNumberFormat="1" applyFill="1" applyBorder="1" applyAlignment="1">
      <alignment vertical="top"/>
    </xf>
    <xf numFmtId="0" fontId="0" fillId="6" borderId="68" xfId="0" applyFill="1" applyBorder="1" applyAlignment="1">
      <alignment vertical="top"/>
    </xf>
    <xf numFmtId="3" fontId="0" fillId="6" borderId="69" xfId="0" applyNumberFormat="1" applyFill="1" applyBorder="1" applyAlignment="1">
      <alignment vertical="top"/>
    </xf>
    <xf numFmtId="0" fontId="0" fillId="0" borderId="68" xfId="0" applyFill="1" applyBorder="1" applyAlignment="1">
      <alignment vertical="top"/>
    </xf>
    <xf numFmtId="3" fontId="0" fillId="0" borderId="69" xfId="0" applyNumberFormat="1" applyFill="1" applyBorder="1" applyAlignment="1">
      <alignment vertical="top"/>
    </xf>
    <xf numFmtId="3" fontId="0" fillId="6" borderId="70" xfId="0" applyNumberFormat="1" applyFill="1" applyBorder="1" applyAlignment="1">
      <alignment vertical="top"/>
    </xf>
    <xf numFmtId="0" fontId="8" fillId="0" borderId="53" xfId="0" applyNumberFormat="1" applyFont="1" applyFill="1" applyBorder="1" applyAlignment="1">
      <alignment vertical="top"/>
    </xf>
    <xf numFmtId="0" fontId="0" fillId="0" borderId="30" xfId="0" applyFill="1" applyBorder="1" applyAlignment="1">
      <alignment vertical="top"/>
    </xf>
    <xf numFmtId="3" fontId="0" fillId="0" borderId="71" xfId="0" applyNumberFormat="1" applyFill="1" applyBorder="1" applyAlignment="1">
      <alignment vertical="top"/>
    </xf>
    <xf numFmtId="3" fontId="0" fillId="6" borderId="72" xfId="0" applyNumberFormat="1" applyFill="1" applyBorder="1" applyAlignment="1">
      <alignment vertical="top"/>
    </xf>
    <xf numFmtId="3" fontId="0" fillId="0" borderId="72" xfId="0" applyNumberFormat="1" applyFill="1" applyBorder="1" applyAlignment="1">
      <alignment vertical="top"/>
    </xf>
    <xf numFmtId="3" fontId="0" fillId="6" borderId="73" xfId="0" applyNumberFormat="1" applyFill="1" applyBorder="1" applyAlignment="1">
      <alignment vertical="top"/>
    </xf>
    <xf numFmtId="0" fontId="4" fillId="5" borderId="17" xfId="0" applyFont="1" applyFill="1" applyBorder="1" applyAlignment="1">
      <alignment horizontal="right" vertical="top"/>
    </xf>
    <xf numFmtId="3" fontId="0" fillId="7" borderId="41" xfId="0" applyNumberFormat="1" applyFill="1" applyBorder="1" applyAlignment="1">
      <alignment vertical="top"/>
    </xf>
    <xf numFmtId="0" fontId="5" fillId="0" borderId="55" xfId="0" applyFont="1" applyBorder="1"/>
    <xf numFmtId="0" fontId="0" fillId="0" borderId="2" xfId="0" applyBorder="1"/>
    <xf numFmtId="0" fontId="17" fillId="0" borderId="2" xfId="0" applyFont="1" applyBorder="1"/>
    <xf numFmtId="0" fontId="0" fillId="6" borderId="74" xfId="0" applyFill="1" applyBorder="1" applyAlignment="1">
      <alignment vertical="top"/>
    </xf>
    <xf numFmtId="0" fontId="1" fillId="6" borderId="75" xfId="0" applyFont="1" applyFill="1" applyBorder="1" applyAlignment="1">
      <alignment vertical="top"/>
    </xf>
    <xf numFmtId="0" fontId="1" fillId="6" borderId="64" xfId="0" applyFont="1" applyFill="1" applyBorder="1" applyAlignment="1">
      <alignment vertical="top"/>
    </xf>
    <xf numFmtId="3" fontId="0" fillId="6" borderId="34" xfId="0" applyNumberFormat="1" applyFill="1" applyBorder="1" applyAlignment="1">
      <alignment vertical="top"/>
    </xf>
    <xf numFmtId="3" fontId="0" fillId="7" borderId="34" xfId="0" applyNumberFormat="1" applyFill="1" applyBorder="1" applyAlignment="1">
      <alignment vertical="top"/>
    </xf>
    <xf numFmtId="3" fontId="0" fillId="6" borderId="61" xfId="0" applyNumberFormat="1" applyFill="1" applyBorder="1" applyAlignment="1">
      <alignment vertical="top"/>
    </xf>
    <xf numFmtId="0" fontId="4" fillId="5" borderId="47" xfId="0" applyFont="1" applyFill="1" applyBorder="1" applyAlignment="1">
      <alignment horizontal="right" vertical="top"/>
    </xf>
    <xf numFmtId="0" fontId="12" fillId="8" borderId="24" xfId="3" applyFont="1" applyFill="1" applyBorder="1" applyAlignment="1">
      <alignment horizontal="center"/>
    </xf>
    <xf numFmtId="3" fontId="12" fillId="8" borderId="1" xfId="3" applyNumberFormat="1" applyFont="1" applyFill="1" applyBorder="1" applyAlignment="1">
      <alignment horizontal="right"/>
    </xf>
    <xf numFmtId="0" fontId="12" fillId="8" borderId="20" xfId="3" applyFont="1" applyFill="1" applyBorder="1" applyAlignment="1">
      <alignment horizontal="center"/>
    </xf>
    <xf numFmtId="3" fontId="12" fillId="8" borderId="25" xfId="3" applyNumberFormat="1" applyFont="1" applyFill="1" applyBorder="1" applyAlignment="1">
      <alignment horizontal="right"/>
    </xf>
    <xf numFmtId="3" fontId="12" fillId="8" borderId="56" xfId="3" applyNumberFormat="1" applyFont="1" applyFill="1" applyBorder="1" applyAlignment="1">
      <alignment horizontal="center"/>
    </xf>
    <xf numFmtId="3" fontId="12" fillId="0" borderId="21" xfId="3" applyNumberFormat="1" applyFont="1" applyFill="1" applyBorder="1" applyAlignment="1">
      <alignment horizontal="right"/>
    </xf>
    <xf numFmtId="3" fontId="12" fillId="0" borderId="59" xfId="3" applyNumberFormat="1" applyFont="1" applyFill="1" applyBorder="1" applyAlignment="1">
      <alignment horizontal="right"/>
    </xf>
    <xf numFmtId="3" fontId="12" fillId="8" borderId="17" xfId="3" applyNumberFormat="1" applyFont="1" applyFill="1" applyBorder="1" applyAlignment="1">
      <alignment horizontal="right"/>
    </xf>
    <xf numFmtId="3" fontId="12" fillId="0" borderId="17" xfId="3" applyNumberFormat="1" applyFont="1" applyBorder="1" applyAlignment="1">
      <alignment horizontal="right"/>
    </xf>
    <xf numFmtId="3" fontId="12" fillId="8" borderId="32" xfId="3" applyNumberFormat="1" applyFont="1" applyFill="1" applyBorder="1" applyAlignment="1">
      <alignment horizontal="right"/>
    </xf>
    <xf numFmtId="3" fontId="12" fillId="0" borderId="47" xfId="3" applyNumberFormat="1" applyFont="1" applyFill="1" applyBorder="1" applyAlignment="1">
      <alignment horizontal="right"/>
    </xf>
    <xf numFmtId="3" fontId="12" fillId="0" borderId="45" xfId="3" applyNumberFormat="1" applyFont="1" applyFill="1" applyBorder="1" applyAlignment="1">
      <alignment horizontal="right"/>
    </xf>
    <xf numFmtId="168" fontId="0" fillId="0" borderId="0" xfId="2" applyNumberFormat="1" applyFont="1" applyAlignment="1">
      <alignment horizontal="center"/>
    </xf>
    <xf numFmtId="0" fontId="0" fillId="14" borderId="0" xfId="0" applyFill="1" applyAlignment="1">
      <alignment horizontal="center" wrapText="1"/>
    </xf>
    <xf numFmtId="0" fontId="1" fillId="14" borderId="0" xfId="0" applyFont="1" applyFill="1" applyAlignment="1">
      <alignment horizontal="center" wrapText="1"/>
    </xf>
    <xf numFmtId="169" fontId="0" fillId="14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3" applyFont="1" applyBorder="1"/>
    <xf numFmtId="3" fontId="12" fillId="0" borderId="0" xfId="3" applyNumberFormat="1" applyFont="1" applyBorder="1" applyAlignment="1">
      <alignment horizontal="center"/>
    </xf>
    <xf numFmtId="3" fontId="0" fillId="0" borderId="0" xfId="0" applyNumberFormat="1" applyFill="1" applyBorder="1"/>
    <xf numFmtId="167" fontId="0" fillId="0" borderId="0" xfId="0" applyNumberFormat="1" applyFill="1" applyBorder="1"/>
    <xf numFmtId="174" fontId="0" fillId="0" borderId="0" xfId="0" applyNumberFormat="1" applyFill="1" applyBorder="1"/>
    <xf numFmtId="174" fontId="0" fillId="0" borderId="0" xfId="0" applyNumberFormat="1"/>
    <xf numFmtId="169" fontId="16" fillId="0" borderId="0" xfId="1" applyNumberFormat="1" applyFont="1"/>
    <xf numFmtId="3" fontId="12" fillId="0" borderId="21" xfId="0" applyNumberFormat="1" applyFont="1" applyFill="1" applyBorder="1"/>
    <xf numFmtId="3" fontId="12" fillId="0" borderId="45" xfId="0" applyNumberFormat="1" applyFont="1" applyFill="1" applyBorder="1"/>
    <xf numFmtId="3" fontId="0" fillId="15" borderId="0" xfId="0" applyNumberFormat="1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0" borderId="0" xfId="0" applyAlignment="1">
      <alignment horizontal="left"/>
    </xf>
    <xf numFmtId="3" fontId="12" fillId="0" borderId="1" xfId="3" applyNumberFormat="1" applyFont="1" applyFill="1" applyBorder="1" applyAlignment="1">
      <alignment horizontal="right"/>
    </xf>
    <xf numFmtId="3" fontId="12" fillId="0" borderId="32" xfId="3" applyNumberFormat="1" applyFont="1" applyFill="1" applyBorder="1" applyAlignment="1">
      <alignment horizontal="right"/>
    </xf>
    <xf numFmtId="3" fontId="12" fillId="8" borderId="21" xfId="3" applyNumberFormat="1" applyFont="1" applyFill="1" applyBorder="1" applyAlignment="1">
      <alignment horizontal="right"/>
    </xf>
    <xf numFmtId="0" fontId="18" fillId="0" borderId="16" xfId="3" applyFont="1" applyBorder="1"/>
    <xf numFmtId="3" fontId="12" fillId="0" borderId="0" xfId="0" applyNumberFormat="1" applyFont="1"/>
    <xf numFmtId="10" fontId="12" fillId="0" borderId="1" xfId="2" applyNumberFormat="1" applyFont="1" applyBorder="1" applyAlignment="1">
      <alignment horizontal="right"/>
    </xf>
    <xf numFmtId="10" fontId="12" fillId="0" borderId="21" xfId="2" applyNumberFormat="1" applyFont="1" applyBorder="1"/>
    <xf numFmtId="10" fontId="12" fillId="0" borderId="25" xfId="2" applyNumberFormat="1" applyFont="1" applyBorder="1" applyAlignment="1">
      <alignment horizontal="right"/>
    </xf>
    <xf numFmtId="10" fontId="12" fillId="0" borderId="59" xfId="2" applyNumberFormat="1" applyFont="1" applyBorder="1"/>
    <xf numFmtId="10" fontId="12" fillId="12" borderId="1" xfId="2" applyNumberFormat="1" applyFont="1" applyFill="1" applyBorder="1" applyAlignment="1">
      <alignment horizontal="right"/>
    </xf>
    <xf numFmtId="10" fontId="12" fillId="12" borderId="21" xfId="2" applyNumberFormat="1" applyFont="1" applyFill="1" applyBorder="1" applyAlignment="1">
      <alignment horizontal="right"/>
    </xf>
    <xf numFmtId="10" fontId="12" fillId="12" borderId="32" xfId="2" applyNumberFormat="1" applyFont="1" applyFill="1" applyBorder="1" applyAlignment="1">
      <alignment horizontal="right"/>
    </xf>
    <xf numFmtId="10" fontId="12" fillId="12" borderId="45" xfId="2" applyNumberFormat="1" applyFont="1" applyFill="1" applyBorder="1" applyAlignment="1">
      <alignment horizontal="right"/>
    </xf>
    <xf numFmtId="3" fontId="12" fillId="0" borderId="33" xfId="0" applyNumberFormat="1" applyFont="1" applyFill="1" applyBorder="1" applyAlignment="1">
      <alignment horizontal="center"/>
    </xf>
    <xf numFmtId="0" fontId="12" fillId="0" borderId="20" xfId="3" applyFont="1" applyBorder="1" applyAlignment="1">
      <alignment horizontal="left" indent="1"/>
    </xf>
    <xf numFmtId="3" fontId="2" fillId="7" borderId="0" xfId="0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164" fontId="0" fillId="7" borderId="0" xfId="2" applyNumberFormat="1" applyFont="1" applyFill="1"/>
    <xf numFmtId="0" fontId="0" fillId="17" borderId="0" xfId="0" applyFill="1" applyAlignment="1">
      <alignment wrapText="1"/>
    </xf>
    <xf numFmtId="0" fontId="12" fillId="0" borderId="0" xfId="3" applyFont="1" applyBorder="1" applyAlignment="1">
      <alignment horizontal="left" indent="1"/>
    </xf>
    <xf numFmtId="3" fontId="12" fillId="0" borderId="0" xfId="3" applyNumberFormat="1" applyFont="1" applyBorder="1" applyAlignment="1">
      <alignment horizontal="right"/>
    </xf>
    <xf numFmtId="0" fontId="12" fillId="0" borderId="0" xfId="3" applyFont="1" applyBorder="1" applyAlignment="1"/>
    <xf numFmtId="3" fontId="16" fillId="0" borderId="0" xfId="0" applyNumberFormat="1" applyFont="1"/>
    <xf numFmtId="0" fontId="0" fillId="16" borderId="0" xfId="0" applyFill="1" applyAlignment="1">
      <alignment wrapText="1"/>
    </xf>
    <xf numFmtId="0" fontId="1" fillId="16" borderId="0" xfId="0" applyFont="1" applyFill="1" applyAlignment="1">
      <alignment wrapText="1"/>
    </xf>
    <xf numFmtId="169" fontId="1" fillId="0" borderId="0" xfId="3" applyNumberFormat="1"/>
    <xf numFmtId="171" fontId="0" fillId="0" borderId="0" xfId="0" applyNumberFormat="1"/>
    <xf numFmtId="0" fontId="0" fillId="0" borderId="16" xfId="0" applyBorder="1"/>
    <xf numFmtId="3" fontId="0" fillId="6" borderId="24" xfId="0" applyNumberFormat="1" applyFill="1" applyBorder="1" applyAlignment="1">
      <alignment vertical="top"/>
    </xf>
    <xf numFmtId="164" fontId="0" fillId="0" borderId="1" xfId="2" applyNumberFormat="1" applyFont="1" applyBorder="1"/>
    <xf numFmtId="3" fontId="0" fillId="6" borderId="31" xfId="0" applyNumberFormat="1" applyFill="1" applyBorder="1" applyAlignment="1">
      <alignment vertical="top"/>
    </xf>
    <xf numFmtId="164" fontId="0" fillId="0" borderId="32" xfId="2" applyNumberFormat="1" applyFont="1" applyBorder="1"/>
    <xf numFmtId="164" fontId="0" fillId="0" borderId="21" xfId="2" applyNumberFormat="1" applyFont="1" applyBorder="1"/>
    <xf numFmtId="164" fontId="0" fillId="0" borderId="45" xfId="2" applyNumberFormat="1" applyFont="1" applyBorder="1"/>
    <xf numFmtId="3" fontId="0" fillId="6" borderId="16" xfId="0" applyNumberFormat="1" applyFont="1" applyFill="1" applyBorder="1" applyAlignment="1">
      <alignment vertical="top"/>
    </xf>
    <xf numFmtId="3" fontId="0" fillId="6" borderId="17" xfId="0" applyNumberFormat="1" applyFont="1" applyFill="1" applyBorder="1" applyAlignment="1">
      <alignment vertical="top"/>
    </xf>
    <xf numFmtId="0" fontId="0" fillId="0" borderId="17" xfId="0" applyBorder="1"/>
    <xf numFmtId="171" fontId="0" fillId="0" borderId="1" xfId="1" applyNumberFormat="1" applyFont="1" applyBorder="1"/>
    <xf numFmtId="171" fontId="0" fillId="0" borderId="21" xfId="1" applyNumberFormat="1" applyFont="1" applyBorder="1"/>
    <xf numFmtId="0" fontId="0" fillId="0" borderId="32" xfId="0" applyBorder="1"/>
    <xf numFmtId="171" fontId="0" fillId="0" borderId="32" xfId="1" applyNumberFormat="1" applyFont="1" applyBorder="1"/>
    <xf numFmtId="171" fontId="0" fillId="0" borderId="45" xfId="1" applyNumberFormat="1" applyFont="1" applyBorder="1"/>
    <xf numFmtId="0" fontId="12" fillId="0" borderId="16" xfId="0" quotePrefix="1" applyFont="1" applyBorder="1" applyAlignment="1">
      <alignment horizontal="left"/>
    </xf>
    <xf numFmtId="0" fontId="0" fillId="0" borderId="47" xfId="0" applyBorder="1"/>
    <xf numFmtId="0" fontId="12" fillId="0" borderId="24" xfId="0" applyFont="1" applyBorder="1" applyAlignment="1">
      <alignment horizontal="left" indent="1"/>
    </xf>
    <xf numFmtId="3" fontId="12" fillId="0" borderId="1" xfId="0" applyNumberFormat="1" applyFont="1" applyBorder="1"/>
    <xf numFmtId="3" fontId="12" fillId="0" borderId="25" xfId="0" applyNumberFormat="1" applyFont="1" applyBorder="1"/>
    <xf numFmtId="0" fontId="12" fillId="0" borderId="20" xfId="0" applyFont="1" applyBorder="1" applyAlignment="1">
      <alignment horizontal="left" indent="1"/>
    </xf>
    <xf numFmtId="0" fontId="12" fillId="0" borderId="23" xfId="0" quotePrefix="1" applyFont="1" applyBorder="1" applyAlignment="1">
      <alignment horizontal="left"/>
    </xf>
    <xf numFmtId="3" fontId="12" fillId="0" borderId="36" xfId="0" applyNumberFormat="1" applyFont="1" applyBorder="1"/>
    <xf numFmtId="3" fontId="12" fillId="0" borderId="41" xfId="0" applyNumberFormat="1" applyFont="1" applyBorder="1"/>
    <xf numFmtId="0" fontId="12" fillId="0" borderId="56" xfId="0" applyFont="1" applyBorder="1" applyAlignment="1">
      <alignment horizontal="left" indent="1"/>
    </xf>
    <xf numFmtId="3" fontId="12" fillId="0" borderId="57" xfId="0" applyNumberFormat="1" applyFont="1" applyBorder="1"/>
    <xf numFmtId="3" fontId="12" fillId="0" borderId="58" xfId="0" applyNumberFormat="1" applyFont="1" applyBorder="1"/>
    <xf numFmtId="0" fontId="0" fillId="0" borderId="56" xfId="0" applyBorder="1"/>
    <xf numFmtId="0" fontId="0" fillId="0" borderId="57" xfId="0" applyBorder="1"/>
    <xf numFmtId="0" fontId="12" fillId="0" borderId="56" xfId="0" applyFont="1" applyFill="1" applyBorder="1" applyAlignment="1">
      <alignment horizontal="left" indent="1"/>
    </xf>
    <xf numFmtId="0" fontId="11" fillId="15" borderId="56" xfId="3" applyFont="1" applyFill="1" applyBorder="1" applyAlignment="1">
      <alignment horizontal="center" vertical="center" wrapText="1"/>
    </xf>
    <xf numFmtId="0" fontId="11" fillId="15" borderId="57" xfId="3" applyFont="1" applyFill="1" applyBorder="1" applyAlignment="1">
      <alignment horizontal="center" vertical="center" wrapText="1"/>
    </xf>
    <xf numFmtId="0" fontId="11" fillId="15" borderId="58" xfId="3" applyFont="1" applyFill="1" applyBorder="1" applyAlignment="1">
      <alignment horizontal="center" vertical="center" wrapText="1"/>
    </xf>
    <xf numFmtId="0" fontId="12" fillId="15" borderId="16" xfId="3" applyFont="1" applyFill="1" applyBorder="1"/>
    <xf numFmtId="0" fontId="12" fillId="15" borderId="17" xfId="3" applyFont="1" applyFill="1" applyBorder="1"/>
    <xf numFmtId="0" fontId="12" fillId="15" borderId="47" xfId="3" applyFont="1" applyFill="1" applyBorder="1"/>
    <xf numFmtId="0" fontId="12" fillId="15" borderId="24" xfId="3" applyFont="1" applyFill="1" applyBorder="1" applyAlignment="1">
      <alignment horizontal="left" indent="1"/>
    </xf>
    <xf numFmtId="3" fontId="12" fillId="15" borderId="1" xfId="3" applyNumberFormat="1" applyFont="1" applyFill="1" applyBorder="1" applyAlignment="1">
      <alignment horizontal="right"/>
    </xf>
    <xf numFmtId="3" fontId="12" fillId="15" borderId="21" xfId="0" applyNumberFormat="1" applyFont="1" applyFill="1" applyBorder="1"/>
    <xf numFmtId="0" fontId="12" fillId="15" borderId="31" xfId="3" applyFont="1" applyFill="1" applyBorder="1" applyAlignment="1">
      <alignment horizontal="left" indent="1"/>
    </xf>
    <xf numFmtId="3" fontId="12" fillId="15" borderId="32" xfId="3" applyNumberFormat="1" applyFont="1" applyFill="1" applyBorder="1" applyAlignment="1">
      <alignment horizontal="right"/>
    </xf>
    <xf numFmtId="3" fontId="12" fillId="15" borderId="45" xfId="0" applyNumberFormat="1" applyFont="1" applyFill="1" applyBorder="1"/>
    <xf numFmtId="0" fontId="11" fillId="8" borderId="16" xfId="3" applyFont="1" applyFill="1" applyBorder="1" applyAlignment="1">
      <alignment horizontal="center" vertical="center" wrapText="1"/>
    </xf>
    <xf numFmtId="0" fontId="11" fillId="8" borderId="17" xfId="3" applyFont="1" applyFill="1" applyBorder="1" applyAlignment="1">
      <alignment horizontal="center" vertical="center" wrapText="1"/>
    </xf>
    <xf numFmtId="0" fontId="12" fillId="0" borderId="20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3" fontId="12" fillId="13" borderId="25" xfId="3" applyNumberFormat="1" applyFont="1" applyFill="1" applyBorder="1" applyAlignment="1">
      <alignment horizontal="center"/>
    </xf>
    <xf numFmtId="3" fontId="12" fillId="13" borderId="28" xfId="3" applyNumberFormat="1" applyFont="1" applyFill="1" applyBorder="1" applyAlignment="1">
      <alignment horizontal="center"/>
    </xf>
    <xf numFmtId="3" fontId="12" fillId="13" borderId="33" xfId="3" applyNumberFormat="1" applyFont="1" applyFill="1" applyBorder="1" applyAlignment="1">
      <alignment horizontal="center"/>
    </xf>
    <xf numFmtId="0" fontId="11" fillId="8" borderId="18" xfId="3" applyFont="1" applyFill="1" applyBorder="1" applyAlignment="1">
      <alignment horizontal="center" vertical="center" wrapText="1"/>
    </xf>
    <xf numFmtId="0" fontId="11" fillId="8" borderId="19" xfId="3" applyFont="1" applyFill="1" applyBorder="1" applyAlignment="1">
      <alignment horizontal="center" vertical="center" wrapText="1"/>
    </xf>
    <xf numFmtId="3" fontId="12" fillId="13" borderId="26" xfId="3" applyNumberFormat="1" applyFont="1" applyFill="1" applyBorder="1" applyAlignment="1">
      <alignment horizontal="center"/>
    </xf>
    <xf numFmtId="3" fontId="12" fillId="13" borderId="27" xfId="3" applyNumberFormat="1" applyFont="1" applyFill="1" applyBorder="1" applyAlignment="1">
      <alignment horizontal="center"/>
    </xf>
    <xf numFmtId="3" fontId="12" fillId="13" borderId="29" xfId="3" applyNumberFormat="1" applyFont="1" applyFill="1" applyBorder="1" applyAlignment="1">
      <alignment horizontal="center"/>
    </xf>
    <xf numFmtId="3" fontId="12" fillId="13" borderId="30" xfId="3" applyNumberFormat="1" applyFont="1" applyFill="1" applyBorder="1" applyAlignment="1">
      <alignment horizontal="center"/>
    </xf>
    <xf numFmtId="3" fontId="12" fillId="13" borderId="34" xfId="3" applyNumberFormat="1" applyFont="1" applyFill="1" applyBorder="1" applyAlignment="1">
      <alignment horizontal="center"/>
    </xf>
    <xf numFmtId="3" fontId="12" fillId="13" borderId="35" xfId="3" applyNumberFormat="1" applyFont="1" applyFill="1" applyBorder="1" applyAlignment="1">
      <alignment horizontal="center"/>
    </xf>
    <xf numFmtId="0" fontId="4" fillId="9" borderId="38" xfId="0" applyFont="1" applyFill="1" applyBorder="1" applyAlignment="1">
      <alignment horizontal="center"/>
    </xf>
    <xf numFmtId="0" fontId="4" fillId="9" borderId="52" xfId="0" applyFont="1" applyFill="1" applyBorder="1" applyAlignment="1">
      <alignment horizontal="center"/>
    </xf>
    <xf numFmtId="0" fontId="4" fillId="9" borderId="51" xfId="0" applyFont="1" applyFill="1" applyBorder="1" applyAlignment="1">
      <alignment horizontal="center"/>
    </xf>
    <xf numFmtId="0" fontId="4" fillId="9" borderId="39" xfId="0" applyFont="1" applyFill="1" applyBorder="1" applyAlignment="1">
      <alignment horizontal="center"/>
    </xf>
    <xf numFmtId="0" fontId="11" fillId="8" borderId="51" xfId="3" applyFont="1" applyFill="1" applyBorder="1" applyAlignment="1">
      <alignment horizontal="center" vertical="center" wrapText="1"/>
    </xf>
    <xf numFmtId="0" fontId="11" fillId="8" borderId="38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8" borderId="39" xfId="3" applyFont="1" applyFill="1" applyBorder="1" applyAlignment="1">
      <alignment horizontal="center" vertical="center" wrapText="1"/>
    </xf>
    <xf numFmtId="0" fontId="11" fillId="8" borderId="63" xfId="3" applyFont="1" applyFill="1" applyBorder="1" applyAlignment="1">
      <alignment horizontal="center" vertical="center" wrapText="1"/>
    </xf>
    <xf numFmtId="0" fontId="11" fillId="8" borderId="60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1" fillId="8" borderId="33" xfId="3" applyFont="1" applyFill="1" applyBorder="1" applyAlignment="1">
      <alignment horizontal="center" vertical="center" wrapText="1"/>
    </xf>
    <xf numFmtId="0" fontId="11" fillId="8" borderId="28" xfId="3" applyFont="1" applyFill="1" applyBorder="1" applyAlignment="1">
      <alignment horizontal="center" vertical="center" wrapText="1"/>
    </xf>
    <xf numFmtId="0" fontId="11" fillId="8" borderId="30" xfId="3" applyFont="1" applyFill="1" applyBorder="1" applyAlignment="1">
      <alignment horizontal="center" vertical="center" wrapText="1"/>
    </xf>
    <xf numFmtId="0" fontId="11" fillId="8" borderId="35" xfId="3" applyFont="1" applyFill="1" applyBorder="1" applyAlignment="1">
      <alignment horizontal="center" vertical="center" wrapText="1"/>
    </xf>
    <xf numFmtId="0" fontId="11" fillId="8" borderId="76" xfId="3" applyFont="1" applyFill="1" applyBorder="1" applyAlignment="1">
      <alignment horizontal="center" vertical="center" wrapText="1"/>
    </xf>
    <xf numFmtId="0" fontId="11" fillId="8" borderId="78" xfId="3" applyFont="1" applyFill="1" applyBorder="1" applyAlignment="1">
      <alignment horizontal="center" vertical="center" wrapText="1"/>
    </xf>
    <xf numFmtId="0" fontId="11" fillId="8" borderId="77" xfId="3" applyFont="1" applyFill="1" applyBorder="1" applyAlignment="1">
      <alignment horizontal="center" vertical="center" wrapText="1"/>
    </xf>
    <xf numFmtId="0" fontId="11" fillId="8" borderId="79" xfId="3" applyFont="1" applyFill="1" applyBorder="1" applyAlignment="1">
      <alignment horizontal="center" vertical="center" wrapText="1"/>
    </xf>
    <xf numFmtId="0" fontId="11" fillId="8" borderId="22" xfId="3" applyFont="1" applyFill="1" applyBorder="1" applyAlignment="1">
      <alignment horizontal="center" vertical="center" wrapText="1"/>
    </xf>
    <xf numFmtId="0" fontId="11" fillId="8" borderId="18" xfId="3" applyFont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/>
    </xf>
    <xf numFmtId="0" fontId="11" fillId="8" borderId="19" xfId="3" applyFont="1" applyFill="1" applyBorder="1" applyAlignment="1">
      <alignment horizontal="center" vertical="center"/>
    </xf>
    <xf numFmtId="3" fontId="1" fillId="6" borderId="80" xfId="0" applyNumberFormat="1" applyFont="1" applyFill="1" applyBorder="1" applyAlignment="1">
      <alignment horizontal="left" vertical="top"/>
    </xf>
    <xf numFmtId="3" fontId="1" fillId="6" borderId="13" xfId="0" applyNumberFormat="1" applyFont="1" applyFill="1" applyBorder="1" applyAlignment="1">
      <alignment horizontal="left" vertical="top"/>
    </xf>
    <xf numFmtId="3" fontId="1" fillId="6" borderId="42" xfId="0" applyNumberFormat="1" applyFont="1" applyFill="1" applyBorder="1" applyAlignment="1">
      <alignment horizontal="left" vertical="top"/>
    </xf>
    <xf numFmtId="3" fontId="1" fillId="6" borderId="44" xfId="0" applyNumberFormat="1" applyFont="1" applyFill="1" applyBorder="1" applyAlignment="1">
      <alignment horizontal="left" vertical="top"/>
    </xf>
    <xf numFmtId="0" fontId="1" fillId="7" borderId="0" xfId="0" applyFont="1" applyFill="1" applyAlignment="1">
      <alignment horizontal="center" wrapText="1"/>
    </xf>
    <xf numFmtId="3" fontId="0" fillId="0" borderId="0" xfId="0" applyNumberFormat="1" applyFill="1"/>
  </cellXfs>
  <cellStyles count="12">
    <cellStyle name="Comma" xfId="1" builtinId="3"/>
    <cellStyle name="Comma 2" xfId="4"/>
    <cellStyle name="Comma 3" xfId="5"/>
    <cellStyle name="Comma0" xfId="6"/>
    <cellStyle name="Currency" xfId="11" builtinId="4"/>
    <cellStyle name="Currency0" xfId="7"/>
    <cellStyle name="Date" xfId="8"/>
    <cellStyle name="Fixed" xfId="9"/>
    <cellStyle name="Normal" xfId="0" builtinId="0"/>
    <cellStyle name="Normal 2" xfId="3"/>
    <cellStyle name="Note 2" xfId="1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54602800884022"/>
          <c:y val="5.1400554097404488E-2"/>
          <c:w val="0.8697749593712637"/>
          <c:h val="0.76084098862642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Chart!$C$6</c:f>
              <c:strCache>
                <c:ptCount val="1"/>
                <c:pt idx="0">
                  <c:v>Actual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Chart!$C$7:$C$18</c:f>
              <c:numCache>
                <c:formatCode>#,##0</c:formatCode>
                <c:ptCount val="12"/>
                <c:pt idx="0">
                  <c:v>1232724170</c:v>
                </c:pt>
                <c:pt idx="1">
                  <c:v>1178441190</c:v>
                </c:pt>
                <c:pt idx="2">
                  <c:v>1174501350</c:v>
                </c:pt>
                <c:pt idx="3">
                  <c:v>1151360440</c:v>
                </c:pt>
                <c:pt idx="4">
                  <c:v>1191153590</c:v>
                </c:pt>
                <c:pt idx="5">
                  <c:v>1158881926</c:v>
                </c:pt>
                <c:pt idx="6">
                  <c:v>1128390784.5107694</c:v>
                </c:pt>
                <c:pt idx="7">
                  <c:v>1148489331.8146157</c:v>
                </c:pt>
                <c:pt idx="8">
                  <c:v>1148632387.3953846</c:v>
                </c:pt>
                <c:pt idx="9">
                  <c:v>1136211952.670979</c:v>
                </c:pt>
                <c:pt idx="10">
                  <c:v>1130407041.6666667</c:v>
                </c:pt>
                <c:pt idx="11">
                  <c:v>1134970142.7733078</c:v>
                </c:pt>
              </c:numCache>
            </c:numRef>
          </c:val>
        </c:ser>
        <c:ser>
          <c:idx val="1"/>
          <c:order val="1"/>
          <c:tx>
            <c:strRef>
              <c:f>Chart!$D$6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Chart!$D$7:$D$18</c:f>
              <c:numCache>
                <c:formatCode>#,##0</c:formatCode>
                <c:ptCount val="12"/>
                <c:pt idx="0">
                  <c:v>1206627694.1608171</c:v>
                </c:pt>
                <c:pt idx="1">
                  <c:v>1193979451.6981936</c:v>
                </c:pt>
                <c:pt idx="2">
                  <c:v>1203979720.1338103</c:v>
                </c:pt>
                <c:pt idx="3">
                  <c:v>1167569771.1626649</c:v>
                </c:pt>
                <c:pt idx="4">
                  <c:v>1143276288.5600548</c:v>
                </c:pt>
                <c:pt idx="5">
                  <c:v>1104122225.6612682</c:v>
                </c:pt>
                <c:pt idx="6">
                  <c:v>1123059224.0894532</c:v>
                </c:pt>
                <c:pt idx="7">
                  <c:v>1129587697.9506867</c:v>
                </c:pt>
                <c:pt idx="8">
                  <c:v>1161830633.4946833</c:v>
                </c:pt>
                <c:pt idx="9">
                  <c:v>1150989222.1932878</c:v>
                </c:pt>
                <c:pt idx="10">
                  <c:v>1157767974.9881625</c:v>
                </c:pt>
                <c:pt idx="11">
                  <c:v>1171374402.7386408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148032"/>
        <c:axId val="454140976"/>
      </c:barChart>
      <c:catAx>
        <c:axId val="4541480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1860000" vert="horz" anchor="t" anchorCtr="0"/>
          <a:lstStyle/>
          <a:p>
            <a:pPr>
              <a:defRPr b="1" i="1" baseline="0"/>
            </a:pPr>
            <a:endParaRPr lang="en-US"/>
          </a:p>
        </c:txPr>
        <c:crossAx val="454140976"/>
        <c:crosses val="autoZero"/>
        <c:auto val="1"/>
        <c:lblAlgn val="ctr"/>
        <c:lblOffset val="100"/>
        <c:noMultiLvlLbl val="0"/>
      </c:catAx>
      <c:valAx>
        <c:axId val="454140976"/>
        <c:scaling>
          <c:orientation val="minMax"/>
          <c:max val="1300000000"/>
          <c:min val="90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 i="1" baseline="0"/>
            </a:pPr>
            <a:endParaRPr lang="en-US"/>
          </a:p>
        </c:txPr>
        <c:crossAx val="4541480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794457462915876E-2"/>
                <c:y val="0.34306724590460885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6700983604130601"/>
          <c:y val="0.1289265996922799"/>
          <c:w val="0.17051542041024939"/>
          <c:h val="0.12931124988686882"/>
        </c:manualLayout>
      </c:layout>
      <c:overlay val="0"/>
      <c:txPr>
        <a:bodyPr/>
        <a:lstStyle/>
        <a:p>
          <a:pPr>
            <a:defRPr sz="900" b="1" i="1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0945625546806649"/>
          <c:y val="0.17823801870305053"/>
          <c:w val="0.8268622047244093"/>
          <c:h val="0.6811310099573733"/>
        </c:manualLayout>
      </c:layout>
      <c:lineChart>
        <c:grouping val="standard"/>
        <c:varyColors val="0"/>
        <c:ser>
          <c:idx val="0"/>
          <c:order val="0"/>
          <c:tx>
            <c:strRef>
              <c:f>Trends!$B$1</c:f>
              <c:strCache>
                <c:ptCount val="1"/>
                <c:pt idx="0">
                  <c:v>Heating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Trends!$B$2:$B$18</c:f>
              <c:numCache>
                <c:formatCode>_-* #,##0_-;\-* #,##0_-;_-* "-"??_-;_-@_-</c:formatCode>
                <c:ptCount val="17"/>
                <c:pt idx="0">
                  <c:v>3992.7999999999993</c:v>
                </c:pt>
                <c:pt idx="1">
                  <c:v>3838.6999999999994</c:v>
                </c:pt>
                <c:pt idx="2">
                  <c:v>3770.6999999999994</c:v>
                </c:pt>
                <c:pt idx="3">
                  <c:v>3410.1999999999994</c:v>
                </c:pt>
                <c:pt idx="4">
                  <c:v>2890.1</c:v>
                </c:pt>
                <c:pt idx="5">
                  <c:v>2408.6999999999998</c:v>
                </c:pt>
                <c:pt idx="6">
                  <c:v>3612.7000000000003</c:v>
                </c:pt>
                <c:pt idx="7">
                  <c:v>3437.7</c:v>
                </c:pt>
                <c:pt idx="8">
                  <c:v>3649.0999999999995</c:v>
                </c:pt>
                <c:pt idx="9">
                  <c:v>3217.3999999999996</c:v>
                </c:pt>
                <c:pt idx="10">
                  <c:v>3579.1000000000004</c:v>
                </c:pt>
                <c:pt idx="11">
                  <c:v>3973.8999999999996</c:v>
                </c:pt>
                <c:pt idx="12">
                  <c:v>3427.7560606060615</c:v>
                </c:pt>
                <c:pt idx="13">
                  <c:v>3419.4480186480214</c:v>
                </c:pt>
                <c:pt idx="14">
                  <c:v>3411.1399766899776</c:v>
                </c:pt>
                <c:pt idx="15">
                  <c:v>3402.8319347319375</c:v>
                </c:pt>
                <c:pt idx="16">
                  <c:v>3394.5238927738937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48424"/>
        <c:axId val="454144896"/>
      </c:lineChart>
      <c:catAx>
        <c:axId val="4541484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454144896"/>
        <c:crosses val="autoZero"/>
        <c:auto val="1"/>
        <c:lblAlgn val="ctr"/>
        <c:lblOffset val="100"/>
        <c:noMultiLvlLbl val="0"/>
      </c:catAx>
      <c:valAx>
        <c:axId val="454144896"/>
        <c:scaling>
          <c:orientation val="minMax"/>
          <c:min val="2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454148424"/>
        <c:crossesAt val="1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7478817821569096E-2"/>
          <c:y val="0.18238525462242625"/>
          <c:w val="0.89444402337408357"/>
          <c:h val="0.65768056462373337"/>
        </c:manualLayout>
      </c:layout>
      <c:lineChart>
        <c:grouping val="standard"/>
        <c:varyColors val="0"/>
        <c:ser>
          <c:idx val="0"/>
          <c:order val="0"/>
          <c:tx>
            <c:strRef>
              <c:f>Trends!$C$1</c:f>
              <c:strCache>
                <c:ptCount val="1"/>
                <c:pt idx="0">
                  <c:v>Cooling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Trends!$C$2:$C$18</c:f>
              <c:numCache>
                <c:formatCode>_-* #,##0_-;\-* #,##0_-;_-* "-"??_-;_-@_-</c:formatCode>
                <c:ptCount val="17"/>
                <c:pt idx="0">
                  <c:v>208.7</c:v>
                </c:pt>
                <c:pt idx="1">
                  <c:v>165.2</c:v>
                </c:pt>
                <c:pt idx="2">
                  <c:v>384.5</c:v>
                </c:pt>
                <c:pt idx="3">
                  <c:v>243.79999999999998</c:v>
                </c:pt>
                <c:pt idx="4">
                  <c:v>179</c:v>
                </c:pt>
                <c:pt idx="5">
                  <c:v>130</c:v>
                </c:pt>
                <c:pt idx="6">
                  <c:v>138.60000000000002</c:v>
                </c:pt>
                <c:pt idx="7">
                  <c:v>309.10000000000002</c:v>
                </c:pt>
                <c:pt idx="8">
                  <c:v>295.99999999999994</c:v>
                </c:pt>
                <c:pt idx="9">
                  <c:v>368.59999999999997</c:v>
                </c:pt>
                <c:pt idx="10">
                  <c:v>221.79999999999995</c:v>
                </c:pt>
                <c:pt idx="11">
                  <c:v>177</c:v>
                </c:pt>
                <c:pt idx="12">
                  <c:v>251.31212121212138</c:v>
                </c:pt>
                <c:pt idx="13">
                  <c:v>253.79219114219086</c:v>
                </c:pt>
                <c:pt idx="14">
                  <c:v>256.27226107226124</c:v>
                </c:pt>
                <c:pt idx="15">
                  <c:v>258.75233100233072</c:v>
                </c:pt>
                <c:pt idx="16">
                  <c:v>261.23240093240111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40192"/>
        <c:axId val="454143720"/>
      </c:lineChart>
      <c:catAx>
        <c:axId val="454140192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454143720"/>
        <c:crosses val="autoZero"/>
        <c:auto val="1"/>
        <c:lblAlgn val="ctr"/>
        <c:lblOffset val="100"/>
        <c:noMultiLvlLbl val="0"/>
      </c:catAx>
      <c:valAx>
        <c:axId val="45414372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454140192"/>
        <c:crosses val="autoZero"/>
        <c:crossBetween val="midCat"/>
        <c:majorUnit val="25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609492563429571"/>
          <c:y val="0.22750698845571132"/>
          <c:w val="0.84820866141732287"/>
          <c:h val="0.59298849838892087"/>
        </c:manualLayout>
      </c:layout>
      <c:lineChart>
        <c:grouping val="standard"/>
        <c:varyColors val="0"/>
        <c:ser>
          <c:idx val="0"/>
          <c:order val="0"/>
          <c:tx>
            <c:strRef>
              <c:f>Trends!$D$1</c:f>
              <c:strCache>
                <c:ptCount val="1"/>
                <c:pt idx="0">
                  <c:v>Connections</c:v>
                </c:pt>
              </c:strCache>
            </c:strRef>
          </c:tx>
          <c:trendline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Trends!$D$2:$D$18</c:f>
              <c:numCache>
                <c:formatCode>0.0%</c:formatCode>
                <c:ptCount val="17"/>
                <c:pt idx="0">
                  <c:v>1.0186171336798953</c:v>
                </c:pt>
                <c:pt idx="1">
                  <c:v>1.0132849095504697</c:v>
                </c:pt>
                <c:pt idx="2">
                  <c:v>1.015051804428704</c:v>
                </c:pt>
                <c:pt idx="3">
                  <c:v>1.0211022486140118</c:v>
                </c:pt>
                <c:pt idx="4">
                  <c:v>1.0219885826933344</c:v>
                </c:pt>
                <c:pt idx="5">
                  <c:v>1.0182202504380253</c:v>
                </c:pt>
                <c:pt idx="6">
                  <c:v>1.0123688718041819</c:v>
                </c:pt>
                <c:pt idx="7">
                  <c:v>1.0119448602794412</c:v>
                </c:pt>
                <c:pt idx="8">
                  <c:v>1.0097158442999352</c:v>
                </c:pt>
                <c:pt idx="9">
                  <c:v>1.0061427405016443</c:v>
                </c:pt>
                <c:pt idx="10">
                  <c:v>1.0099655679767015</c:v>
                </c:pt>
                <c:pt idx="11">
                  <c:v>1.0130586927790459</c:v>
                </c:pt>
                <c:pt idx="12">
                  <c:v>1.0144488980396373</c:v>
                </c:pt>
                <c:pt idx="13">
                  <c:v>1.0144735809810508</c:v>
                </c:pt>
                <c:pt idx="14">
                  <c:v>1.0144982639224644</c:v>
                </c:pt>
                <c:pt idx="15">
                  <c:v>1.0145229468638779</c:v>
                </c:pt>
                <c:pt idx="16">
                  <c:v>1.0145476298052916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40584"/>
        <c:axId val="454142936"/>
      </c:lineChart>
      <c:catAx>
        <c:axId val="4541405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454142936"/>
        <c:crosses val="autoZero"/>
        <c:auto val="1"/>
        <c:lblAlgn val="ctr"/>
        <c:lblOffset val="100"/>
        <c:noMultiLvlLbl val="0"/>
      </c:catAx>
      <c:valAx>
        <c:axId val="454142936"/>
        <c:scaling>
          <c:orientation val="minMax"/>
          <c:min val="0.9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454140584"/>
        <c:crosses val="autoZero"/>
        <c:crossBetween val="midCat"/>
        <c:majorUnit val="5.0000000000000114E-3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5</xdr:row>
      <xdr:rowOff>9525</xdr:rowOff>
    </xdr:from>
    <xdr:to>
      <xdr:col>17</xdr:col>
      <xdr:colOff>219075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0.36812</cdr:x>
      <cdr:y>0.06322</cdr:y>
    </cdr:from>
    <cdr:to>
      <cdr:x>0.70945</cdr:x>
      <cdr:y>0.14943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6025" y="209550"/>
          <a:ext cx="2305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CA" sz="1000" b="1" i="1" u="sng">
              <a:latin typeface="Times New Roman" pitchFamily="18" charset="0"/>
              <a:cs typeface="Times New Roman" pitchFamily="18" charset="0"/>
            </a:rPr>
            <a:t>OPUCN Purchases</a:t>
          </a:r>
          <a:r>
            <a:rPr lang="en-CA" sz="1000" b="1" i="1" u="sng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CA" sz="1000" b="1" i="1" u="sng">
              <a:latin typeface="Times New Roman" pitchFamily="18" charset="0"/>
              <a:cs typeface="Times New Roman" pitchFamily="18" charset="0"/>
            </a:rPr>
            <a:t>(Millions of kWH)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3</xdr:row>
      <xdr:rowOff>38100</xdr:rowOff>
    </xdr:from>
    <xdr:to>
      <xdr:col>13</xdr:col>
      <xdr:colOff>466724</xdr:colOff>
      <xdr:row>21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3</xdr:row>
      <xdr:rowOff>47626</xdr:rowOff>
    </xdr:from>
    <xdr:to>
      <xdr:col>22</xdr:col>
      <xdr:colOff>476250</xdr:colOff>
      <xdr:row>21</xdr:row>
      <xdr:rowOff>123826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9524</xdr:colOff>
      <xdr:row>44</xdr:row>
      <xdr:rowOff>38100</xdr:rowOff>
    </xdr:from>
    <xdr:to>
      <xdr:col>13</xdr:col>
      <xdr:colOff>476249</xdr:colOff>
      <xdr:row>62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st%20of%20Service%20Rate%20Application\Weather%20Normalization%20Regression%20Model%202003-2010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5:H43"/>
  <sheetViews>
    <sheetView showGridLines="0" workbookViewId="0"/>
  </sheetViews>
  <sheetFormatPr defaultColWidth="9.15234375" defaultRowHeight="12.45" x14ac:dyDescent="0.3"/>
  <cols>
    <col min="1" max="1" width="45" style="110" bestFit="1" customWidth="1"/>
    <col min="2" max="2" width="7.84375" style="110" customWidth="1"/>
    <col min="3" max="3" width="19" style="110" customWidth="1"/>
    <col min="4" max="6" width="18.15234375" style="110" customWidth="1"/>
    <col min="7" max="7" width="10.69140625" style="110" customWidth="1"/>
    <col min="8" max="8" width="10.53515625" style="110" customWidth="1"/>
    <col min="9" max="16384" width="9.15234375" style="110"/>
  </cols>
  <sheetData>
    <row r="5" spans="1:6" ht="12.9" thickBot="1" x14ac:dyDescent="0.35"/>
    <row r="6" spans="1:6" x14ac:dyDescent="0.3">
      <c r="A6" s="476" t="s">
        <v>108</v>
      </c>
      <c r="B6" s="477"/>
      <c r="C6" s="132" t="s">
        <v>109</v>
      </c>
      <c r="D6" s="132" t="s">
        <v>110</v>
      </c>
      <c r="E6" s="484" t="s">
        <v>41</v>
      </c>
      <c r="F6" s="485"/>
    </row>
    <row r="7" spans="1:6" x14ac:dyDescent="0.3">
      <c r="A7" s="478" t="s">
        <v>111</v>
      </c>
      <c r="B7" s="122">
        <v>2003</v>
      </c>
      <c r="C7" s="123">
        <f>+'Purchased Power Model '!B210</f>
        <v>1232724170</v>
      </c>
      <c r="D7" s="123">
        <f>+'Purchased Power Model '!Q210</f>
        <v>1206627694.1608171</v>
      </c>
      <c r="E7" s="123">
        <f t="shared" ref="E7:E17" si="0">+D7-C7</f>
        <v>-26096475.839182854</v>
      </c>
      <c r="F7" s="124">
        <f t="shared" ref="F7:F17" si="1">+E7/C7</f>
        <v>-2.1169760822636302E-2</v>
      </c>
    </row>
    <row r="8" spans="1:6" x14ac:dyDescent="0.3">
      <c r="A8" s="479"/>
      <c r="B8" s="125">
        <v>2004</v>
      </c>
      <c r="C8" s="123">
        <f>+'Purchased Power Model '!B211</f>
        <v>1178441190</v>
      </c>
      <c r="D8" s="123">
        <f>+'Purchased Power Model '!Q211</f>
        <v>1193979451.6981936</v>
      </c>
      <c r="E8" s="123">
        <f t="shared" si="0"/>
        <v>15538261.69819355</v>
      </c>
      <c r="F8" s="124">
        <f t="shared" si="1"/>
        <v>1.3185436685383977E-2</v>
      </c>
    </row>
    <row r="9" spans="1:6" x14ac:dyDescent="0.3">
      <c r="A9" s="479"/>
      <c r="B9" s="122">
        <v>2005</v>
      </c>
      <c r="C9" s="123">
        <f>+'Purchased Power Model '!B212</f>
        <v>1174501350</v>
      </c>
      <c r="D9" s="123">
        <f>+'Purchased Power Model '!Q212</f>
        <v>1203979720.1338103</v>
      </c>
      <c r="E9" s="123">
        <f t="shared" si="0"/>
        <v>29478370.133810282</v>
      </c>
      <c r="F9" s="124">
        <f t="shared" si="1"/>
        <v>2.5098626011634879E-2</v>
      </c>
    </row>
    <row r="10" spans="1:6" x14ac:dyDescent="0.3">
      <c r="A10" s="479"/>
      <c r="B10" s="125">
        <v>2006</v>
      </c>
      <c r="C10" s="123">
        <f>+'Purchased Power Model '!B213</f>
        <v>1151360440</v>
      </c>
      <c r="D10" s="123">
        <f>+'Purchased Power Model '!Q213</f>
        <v>1167569771.1626649</v>
      </c>
      <c r="E10" s="123">
        <f t="shared" si="0"/>
        <v>16209331.16266489</v>
      </c>
      <c r="F10" s="124">
        <f t="shared" si="1"/>
        <v>1.4078415932603078E-2</v>
      </c>
    </row>
    <row r="11" spans="1:6" x14ac:dyDescent="0.3">
      <c r="A11" s="479"/>
      <c r="B11" s="122">
        <v>2007</v>
      </c>
      <c r="C11" s="123">
        <f>+'Purchased Power Model '!B214</f>
        <v>1191153590</v>
      </c>
      <c r="D11" s="123">
        <f>+'Purchased Power Model '!Q214</f>
        <v>1143276288.5600548</v>
      </c>
      <c r="E11" s="123">
        <f t="shared" si="0"/>
        <v>-47877301.439945221</v>
      </c>
      <c r="F11" s="124">
        <f t="shared" si="1"/>
        <v>-4.0194062161156917E-2</v>
      </c>
    </row>
    <row r="12" spans="1:6" x14ac:dyDescent="0.3">
      <c r="A12" s="479"/>
      <c r="B12" s="125">
        <v>2008</v>
      </c>
      <c r="C12" s="123">
        <f>+'Purchased Power Model '!B215</f>
        <v>1158881926</v>
      </c>
      <c r="D12" s="123">
        <f>+'Purchased Power Model '!Q215</f>
        <v>1104122225.6612682</v>
      </c>
      <c r="E12" s="123">
        <f t="shared" si="0"/>
        <v>-54759700.338731766</v>
      </c>
      <c r="F12" s="124">
        <f t="shared" si="1"/>
        <v>-4.7252182565087106E-2</v>
      </c>
    </row>
    <row r="13" spans="1:6" x14ac:dyDescent="0.3">
      <c r="A13" s="479"/>
      <c r="B13" s="122">
        <v>2009</v>
      </c>
      <c r="C13" s="123">
        <f>+'Purchased Power Model '!B216</f>
        <v>1128390784.5107694</v>
      </c>
      <c r="D13" s="123">
        <f>+'Purchased Power Model '!Q216</f>
        <v>1123059224.0894532</v>
      </c>
      <c r="E13" s="123">
        <f t="shared" si="0"/>
        <v>-5331560.4213161469</v>
      </c>
      <c r="F13" s="124">
        <f t="shared" si="1"/>
        <v>-4.7249237538108078E-3</v>
      </c>
    </row>
    <row r="14" spans="1:6" x14ac:dyDescent="0.3">
      <c r="A14" s="479"/>
      <c r="B14" s="125">
        <v>2010</v>
      </c>
      <c r="C14" s="123">
        <f>+'Purchased Power Model '!B217</f>
        <v>1148489331.8146157</v>
      </c>
      <c r="D14" s="123">
        <f>+'Purchased Power Model '!Q217</f>
        <v>1129587697.9506867</v>
      </c>
      <c r="E14" s="123">
        <f t="shared" si="0"/>
        <v>-18901633.863929033</v>
      </c>
      <c r="F14" s="124">
        <f t="shared" si="1"/>
        <v>-1.645782275928015E-2</v>
      </c>
    </row>
    <row r="15" spans="1:6" x14ac:dyDescent="0.3">
      <c r="A15" s="479"/>
      <c r="B15" s="125">
        <v>2011</v>
      </c>
      <c r="C15" s="123">
        <f>+'Purchased Power Model '!B218</f>
        <v>1148632387.3953846</v>
      </c>
      <c r="D15" s="123">
        <f>+'Purchased Power Model '!Q218</f>
        <v>1161830633.4946833</v>
      </c>
      <c r="E15" s="123">
        <f t="shared" si="0"/>
        <v>13198246.099298716</v>
      </c>
      <c r="F15" s="124">
        <f t="shared" si="1"/>
        <v>1.1490400448507977E-2</v>
      </c>
    </row>
    <row r="16" spans="1:6" x14ac:dyDescent="0.3">
      <c r="A16" s="479"/>
      <c r="B16" s="125">
        <v>2012</v>
      </c>
      <c r="C16" s="123">
        <f>+'Purchased Power Model '!B219</f>
        <v>1136211952.670979</v>
      </c>
      <c r="D16" s="123">
        <f>+'Purchased Power Model '!Q219</f>
        <v>1150989222.1932878</v>
      </c>
      <c r="E16" s="123">
        <f t="shared" si="0"/>
        <v>14777269.522308826</v>
      </c>
      <c r="F16" s="124">
        <f t="shared" si="1"/>
        <v>1.3005733206353608E-2</v>
      </c>
    </row>
    <row r="17" spans="1:8" x14ac:dyDescent="0.3">
      <c r="A17" s="480"/>
      <c r="B17" s="125">
        <v>2013</v>
      </c>
      <c r="C17" s="123">
        <f>+'Purchased Power Model '!B220</f>
        <v>1130407041.6666667</v>
      </c>
      <c r="D17" s="123">
        <f ca="1">+'Purchased Power Model '!Q220</f>
        <v>1157767974.9881625</v>
      </c>
      <c r="E17" s="123">
        <f t="shared" ca="1" si="0"/>
        <v>27360933.321495771</v>
      </c>
      <c r="F17" s="124">
        <f t="shared" ca="1" si="1"/>
        <v>2.4204496533527377E-2</v>
      </c>
    </row>
    <row r="18" spans="1:8" x14ac:dyDescent="0.3">
      <c r="A18" s="126" t="s">
        <v>208</v>
      </c>
      <c r="B18" s="125">
        <v>2014</v>
      </c>
      <c r="C18" s="123">
        <f>+'Purchased Power Model '!B221</f>
        <v>1134970142.7733078</v>
      </c>
      <c r="D18" s="123">
        <f>+'Purchased Power Model '!Q221</f>
        <v>1171374402.7386408</v>
      </c>
      <c r="E18" s="123">
        <f t="shared" ref="E18" si="2">+D18-C18</f>
        <v>36404259.965332985</v>
      </c>
      <c r="F18" s="124">
        <f t="shared" ref="F18" si="3">+E18/C18</f>
        <v>3.2075081619661737E-2</v>
      </c>
    </row>
    <row r="19" spans="1:8" x14ac:dyDescent="0.3">
      <c r="A19" s="126" t="s">
        <v>209</v>
      </c>
      <c r="B19" s="125">
        <v>2015</v>
      </c>
      <c r="C19" s="481"/>
      <c r="D19" s="123">
        <f ca="1">+'Purchased Power Model '!Q222</f>
        <v>1155695984.2165191</v>
      </c>
      <c r="E19" s="486"/>
      <c r="F19" s="487"/>
    </row>
    <row r="20" spans="1:8" x14ac:dyDescent="0.3">
      <c r="A20" s="126" t="s">
        <v>210</v>
      </c>
      <c r="B20" s="125">
        <v>2016</v>
      </c>
      <c r="C20" s="482"/>
      <c r="D20" s="123">
        <f ca="1">+'Purchased Power Model '!Q223</f>
        <v>1159527660.9021561</v>
      </c>
      <c r="E20" s="488"/>
      <c r="F20" s="489"/>
    </row>
    <row r="21" spans="1:8" x14ac:dyDescent="0.3">
      <c r="A21" s="126" t="s">
        <v>211</v>
      </c>
      <c r="B21" s="125">
        <v>2017</v>
      </c>
      <c r="C21" s="482"/>
      <c r="D21" s="123">
        <f ca="1">+'Purchased Power Model '!Q224</f>
        <v>1161962823.0962443</v>
      </c>
      <c r="E21" s="488"/>
      <c r="F21" s="489"/>
    </row>
    <row r="22" spans="1:8" x14ac:dyDescent="0.3">
      <c r="A22" s="126" t="s">
        <v>212</v>
      </c>
      <c r="B22" s="125">
        <v>2018</v>
      </c>
      <c r="C22" s="482"/>
      <c r="D22" s="123">
        <f ca="1">+'Purchased Power Model '!Q225</f>
        <v>1165591120.8811669</v>
      </c>
      <c r="E22" s="488"/>
      <c r="F22" s="489"/>
    </row>
    <row r="23" spans="1:8" ht="12.9" thickBot="1" x14ac:dyDescent="0.35">
      <c r="A23" s="127" t="s">
        <v>213</v>
      </c>
      <c r="B23" s="128">
        <v>2019</v>
      </c>
      <c r="C23" s="483"/>
      <c r="D23" s="129">
        <f ca="1">+'Purchased Power Model '!Q226</f>
        <v>1170084152.9105246</v>
      </c>
      <c r="E23" s="490"/>
      <c r="F23" s="491"/>
    </row>
    <row r="24" spans="1:8" ht="12.9" thickBot="1" x14ac:dyDescent="0.35">
      <c r="B24" s="130"/>
      <c r="C24" s="131"/>
      <c r="D24" s="131"/>
      <c r="E24" s="131"/>
      <c r="F24" s="131"/>
      <c r="G24" s="130"/>
      <c r="H24" s="130"/>
    </row>
    <row r="25" spans="1:8" ht="23.15" x14ac:dyDescent="0.3">
      <c r="A25" s="476" t="s">
        <v>108</v>
      </c>
      <c r="B25" s="477"/>
      <c r="C25" s="180" t="s">
        <v>109</v>
      </c>
      <c r="D25" s="180" t="s">
        <v>215</v>
      </c>
      <c r="E25" s="181" t="s">
        <v>214</v>
      </c>
      <c r="F25" s="208" t="s">
        <v>216</v>
      </c>
      <c r="G25"/>
      <c r="H25"/>
    </row>
    <row r="26" spans="1:8" x14ac:dyDescent="0.3">
      <c r="A26" s="478" t="s">
        <v>111</v>
      </c>
      <c r="B26" s="122">
        <v>2003</v>
      </c>
      <c r="C26" s="123">
        <f>+C7</f>
        <v>1232724170</v>
      </c>
      <c r="D26" s="123">
        <f t="shared" ref="D26:D42" si="4">+D7</f>
        <v>1206627694.1608171</v>
      </c>
      <c r="E26" s="123">
        <f>+'10 Year Average'!Q210</f>
        <v>1206627694.1608171</v>
      </c>
      <c r="F26" s="209">
        <f>+'20 Year Trend'!Q210</f>
        <v>1206627694.1608171</v>
      </c>
      <c r="G26"/>
      <c r="H26"/>
    </row>
    <row r="27" spans="1:8" x14ac:dyDescent="0.3">
      <c r="A27" s="479"/>
      <c r="B27" s="125">
        <v>2004</v>
      </c>
      <c r="C27" s="123">
        <f t="shared" ref="C27:C37" si="5">+C8</f>
        <v>1178441190</v>
      </c>
      <c r="D27" s="123">
        <f t="shared" si="4"/>
        <v>1193979451.6981936</v>
      </c>
      <c r="E27" s="123">
        <f>+'10 Year Average'!Q211</f>
        <v>1193979451.6981936</v>
      </c>
      <c r="F27" s="209">
        <f>+'20 Year Trend'!Q211</f>
        <v>1193979451.6981936</v>
      </c>
      <c r="G27"/>
      <c r="H27"/>
    </row>
    <row r="28" spans="1:8" x14ac:dyDescent="0.3">
      <c r="A28" s="479"/>
      <c r="B28" s="122">
        <v>2005</v>
      </c>
      <c r="C28" s="123">
        <f t="shared" si="5"/>
        <v>1174501350</v>
      </c>
      <c r="D28" s="123">
        <f t="shared" si="4"/>
        <v>1203979720.1338103</v>
      </c>
      <c r="E28" s="123">
        <f>+'10 Year Average'!Q212</f>
        <v>1203979720.1338103</v>
      </c>
      <c r="F28" s="209">
        <f>+'20 Year Trend'!Q212</f>
        <v>1203979720.1338103</v>
      </c>
      <c r="G28"/>
      <c r="H28"/>
    </row>
    <row r="29" spans="1:8" x14ac:dyDescent="0.3">
      <c r="A29" s="479"/>
      <c r="B29" s="125">
        <v>2006</v>
      </c>
      <c r="C29" s="123">
        <f t="shared" si="5"/>
        <v>1151360440</v>
      </c>
      <c r="D29" s="123">
        <f t="shared" si="4"/>
        <v>1167569771.1626649</v>
      </c>
      <c r="E29" s="123">
        <f>+'10 Year Average'!Q213</f>
        <v>1167569771.1626649</v>
      </c>
      <c r="F29" s="209">
        <f>+'20 Year Trend'!Q213</f>
        <v>1167569771.1626649</v>
      </c>
      <c r="G29"/>
      <c r="H29"/>
    </row>
    <row r="30" spans="1:8" x14ac:dyDescent="0.3">
      <c r="A30" s="479"/>
      <c r="B30" s="122">
        <v>2007</v>
      </c>
      <c r="C30" s="123">
        <f t="shared" si="5"/>
        <v>1191153590</v>
      </c>
      <c r="D30" s="123">
        <f t="shared" si="4"/>
        <v>1143276288.5600548</v>
      </c>
      <c r="E30" s="123">
        <f>+'10 Year Average'!Q214</f>
        <v>1143276288.5600548</v>
      </c>
      <c r="F30" s="209">
        <f>+'20 Year Trend'!Q214</f>
        <v>1143276288.5600548</v>
      </c>
      <c r="G30"/>
      <c r="H30"/>
    </row>
    <row r="31" spans="1:8" x14ac:dyDescent="0.3">
      <c r="A31" s="479"/>
      <c r="B31" s="125">
        <v>2008</v>
      </c>
      <c r="C31" s="123">
        <f t="shared" si="5"/>
        <v>1158881926</v>
      </c>
      <c r="D31" s="123">
        <f t="shared" si="4"/>
        <v>1104122225.6612682</v>
      </c>
      <c r="E31" s="123">
        <f>+'10 Year Average'!Q215</f>
        <v>1104122225.6612682</v>
      </c>
      <c r="F31" s="209">
        <f>+'20 Year Trend'!Q215</f>
        <v>1104122225.6612682</v>
      </c>
      <c r="G31"/>
      <c r="H31"/>
    </row>
    <row r="32" spans="1:8" x14ac:dyDescent="0.3">
      <c r="A32" s="479"/>
      <c r="B32" s="122">
        <v>2009</v>
      </c>
      <c r="C32" s="123">
        <f t="shared" si="5"/>
        <v>1128390784.5107694</v>
      </c>
      <c r="D32" s="123">
        <f t="shared" si="4"/>
        <v>1123059224.0894532</v>
      </c>
      <c r="E32" s="123">
        <f>+'10 Year Average'!Q216</f>
        <v>1123059224.0894532</v>
      </c>
      <c r="F32" s="209">
        <f>+'20 Year Trend'!Q216</f>
        <v>1123059224.0894532</v>
      </c>
      <c r="G32"/>
      <c r="H32"/>
    </row>
    <row r="33" spans="1:8" x14ac:dyDescent="0.3">
      <c r="A33" s="479"/>
      <c r="B33" s="125">
        <v>2010</v>
      </c>
      <c r="C33" s="123">
        <f t="shared" si="5"/>
        <v>1148489331.8146157</v>
      </c>
      <c r="D33" s="123">
        <f t="shared" si="4"/>
        <v>1129587697.9506867</v>
      </c>
      <c r="E33" s="123">
        <f>+'10 Year Average'!Q217</f>
        <v>1129587697.9506867</v>
      </c>
      <c r="F33" s="209">
        <f>+'20 Year Trend'!Q217</f>
        <v>1129587697.9506867</v>
      </c>
      <c r="G33"/>
      <c r="H33"/>
    </row>
    <row r="34" spans="1:8" x14ac:dyDescent="0.3">
      <c r="A34" s="479"/>
      <c r="B34" s="125">
        <v>2011</v>
      </c>
      <c r="C34" s="123">
        <f t="shared" si="5"/>
        <v>1148632387.3953846</v>
      </c>
      <c r="D34" s="123">
        <f t="shared" si="4"/>
        <v>1161830633.4946833</v>
      </c>
      <c r="E34" s="123">
        <f>+'10 Year Average'!Q218</f>
        <v>1161830633.4946833</v>
      </c>
      <c r="F34" s="209">
        <f>+'20 Year Trend'!Q218</f>
        <v>1161830633.4946833</v>
      </c>
      <c r="G34"/>
      <c r="H34"/>
    </row>
    <row r="35" spans="1:8" x14ac:dyDescent="0.3">
      <c r="A35" s="479"/>
      <c r="B35" s="125">
        <v>2012</v>
      </c>
      <c r="C35" s="123">
        <f t="shared" si="5"/>
        <v>1136211952.670979</v>
      </c>
      <c r="D35" s="123">
        <f t="shared" si="4"/>
        <v>1150989222.1932878</v>
      </c>
      <c r="E35" s="123">
        <f>+'10 Year Average'!Q219</f>
        <v>1150989222.1932878</v>
      </c>
      <c r="F35" s="209">
        <f>+'20 Year Trend'!Q219</f>
        <v>1150989222.1932878</v>
      </c>
      <c r="G35"/>
      <c r="H35"/>
    </row>
    <row r="36" spans="1:8" x14ac:dyDescent="0.3">
      <c r="A36" s="480"/>
      <c r="B36" s="125">
        <v>2013</v>
      </c>
      <c r="C36" s="123">
        <f t="shared" si="5"/>
        <v>1130407041.6666667</v>
      </c>
      <c r="D36" s="123">
        <f t="shared" ca="1" si="4"/>
        <v>1157767974.9881625</v>
      </c>
      <c r="E36" s="123">
        <f ca="1">+'10 Year Average'!Q220</f>
        <v>1157767974.9881625</v>
      </c>
      <c r="F36" s="209">
        <f ca="1">+'20 Year Trend'!Q220</f>
        <v>1157767974.9881625</v>
      </c>
      <c r="G36"/>
      <c r="H36"/>
    </row>
    <row r="37" spans="1:8" x14ac:dyDescent="0.3">
      <c r="A37" s="126" t="s">
        <v>208</v>
      </c>
      <c r="B37" s="125">
        <v>2014</v>
      </c>
      <c r="C37" s="123">
        <f t="shared" si="5"/>
        <v>1134970142.7733078</v>
      </c>
      <c r="D37" s="123">
        <f t="shared" si="4"/>
        <v>1171374402.7386408</v>
      </c>
      <c r="E37" s="123">
        <f>+'10 Year Average'!Q221</f>
        <v>1171374402.7386408</v>
      </c>
      <c r="F37" s="209">
        <f>+'20 Year Trend'!Q221</f>
        <v>1171374402.7386408</v>
      </c>
      <c r="G37"/>
      <c r="H37"/>
    </row>
    <row r="38" spans="1:8" x14ac:dyDescent="0.3">
      <c r="A38" s="126" t="s">
        <v>209</v>
      </c>
      <c r="B38" s="125">
        <v>2015</v>
      </c>
      <c r="C38" s="481"/>
      <c r="D38" s="123">
        <f t="shared" ca="1" si="4"/>
        <v>1155695984.2165191</v>
      </c>
      <c r="E38" s="123">
        <f ca="1">+'10 Year Average'!Q222</f>
        <v>1162588739.2073035</v>
      </c>
      <c r="F38" s="209">
        <f ca="1">+'20 Year Trend'!Q222</f>
        <v>1152032630.0210137</v>
      </c>
      <c r="G38"/>
      <c r="H38"/>
    </row>
    <row r="39" spans="1:8" x14ac:dyDescent="0.3">
      <c r="A39" s="126" t="s">
        <v>210</v>
      </c>
      <c r="B39" s="125">
        <v>2016</v>
      </c>
      <c r="C39" s="482"/>
      <c r="D39" s="123">
        <f t="shared" ca="1" si="4"/>
        <v>1159527660.9021561</v>
      </c>
      <c r="E39" s="123">
        <f ca="1">+'10 Year Average'!Q223</f>
        <v>1166400598.7539237</v>
      </c>
      <c r="F39" s="209">
        <f ca="1">+'20 Year Trend'!Q223</f>
        <v>1155844489.5676341</v>
      </c>
      <c r="G39"/>
      <c r="H39"/>
    </row>
    <row r="40" spans="1:8" x14ac:dyDescent="0.3">
      <c r="A40" s="126" t="s">
        <v>211</v>
      </c>
      <c r="B40" s="125">
        <v>2017</v>
      </c>
      <c r="C40" s="482"/>
      <c r="D40" s="123">
        <f t="shared" ca="1" si="4"/>
        <v>1161962823.0962443</v>
      </c>
      <c r="E40" s="123">
        <f ca="1">+'10 Year Average'!Q224</f>
        <v>1168815943.8089955</v>
      </c>
      <c r="F40" s="209">
        <f ca="1">+'20 Year Trend'!Q224</f>
        <v>1158259834.6227059</v>
      </c>
      <c r="G40"/>
      <c r="H40"/>
    </row>
    <row r="41" spans="1:8" x14ac:dyDescent="0.3">
      <c r="A41" s="126" t="s">
        <v>212</v>
      </c>
      <c r="B41" s="125">
        <v>2018</v>
      </c>
      <c r="C41" s="482"/>
      <c r="D41" s="123">
        <f t="shared" ca="1" si="4"/>
        <v>1165591120.8811669</v>
      </c>
      <c r="E41" s="123">
        <f ca="1">+'10 Year Average'!Q225</f>
        <v>1172424424.4549019</v>
      </c>
      <c r="F41" s="209">
        <f ca="1">+'20 Year Trend'!Q225</f>
        <v>1161868315.2686121</v>
      </c>
      <c r="G41"/>
      <c r="H41"/>
    </row>
    <row r="42" spans="1:8" ht="12.9" thickBot="1" x14ac:dyDescent="0.35">
      <c r="A42" s="127" t="s">
        <v>213</v>
      </c>
      <c r="B42" s="128">
        <v>2019</v>
      </c>
      <c r="C42" s="483"/>
      <c r="D42" s="129">
        <f t="shared" ca="1" si="4"/>
        <v>1170084152.9105246</v>
      </c>
      <c r="E42" s="129">
        <f ca="1">+'10 Year Average'!Q226</f>
        <v>1176897639.3452432</v>
      </c>
      <c r="F42" s="210">
        <f ca="1">+'20 Year Trend'!Q226</f>
        <v>1166341530.1589537</v>
      </c>
      <c r="G42"/>
      <c r="H42"/>
    </row>
    <row r="43" spans="1:8" x14ac:dyDescent="0.3">
      <c r="A43" s="394"/>
      <c r="B43" s="394"/>
      <c r="C43"/>
      <c r="D43" s="395"/>
      <c r="E43" s="395"/>
      <c r="F43" s="395"/>
      <c r="G43"/>
      <c r="H43"/>
    </row>
  </sheetData>
  <mergeCells count="8">
    <mergeCell ref="A25:B25"/>
    <mergeCell ref="A26:A36"/>
    <mergeCell ref="C38:C42"/>
    <mergeCell ref="A6:B6"/>
    <mergeCell ref="E6:F6"/>
    <mergeCell ref="A7:A17"/>
    <mergeCell ref="C19:C23"/>
    <mergeCell ref="E19:F2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J386"/>
  <sheetViews>
    <sheetView workbookViewId="0">
      <pane xSplit="1" ySplit="2" topLeftCell="G198" activePane="bottomRight" state="frozen"/>
      <selection pane="topRight"/>
      <selection pane="bottomLeft"/>
      <selection pane="bottomRight" activeCell="Q226" sqref="Q226"/>
    </sheetView>
  </sheetViews>
  <sheetFormatPr defaultRowHeight="12.45" x14ac:dyDescent="0.3"/>
  <cols>
    <col min="1" max="1" width="11.84375" customWidth="1"/>
    <col min="2" max="2" width="18" style="6" customWidth="1"/>
    <col min="3" max="3" width="11.69140625" style="1" customWidth="1"/>
    <col min="4" max="4" width="13.3828125" style="1" customWidth="1"/>
    <col min="5" max="5" width="13.84375" style="34" customWidth="1"/>
    <col min="6" max="6" width="13.53515625" style="1" customWidth="1"/>
    <col min="7" max="7" width="12.3828125" style="1" customWidth="1"/>
    <col min="8" max="8" width="17.53515625" style="1" bestFit="1" customWidth="1"/>
    <col min="9" max="9" width="17" style="1" customWidth="1"/>
    <col min="10" max="10" width="13" style="1" customWidth="1"/>
    <col min="11" max="11" width="2.53515625" customWidth="1"/>
    <col min="12" max="12" width="30.3828125" bestFit="1" customWidth="1"/>
    <col min="13" max="13" width="15.53515625" bestFit="1" customWidth="1"/>
    <col min="14" max="14" width="25" bestFit="1" customWidth="1"/>
    <col min="15" max="15" width="24" bestFit="1" customWidth="1"/>
    <col min="16" max="16" width="15.84375" bestFit="1" customWidth="1"/>
    <col min="17" max="17" width="24" bestFit="1" customWidth="1"/>
    <col min="18" max="18" width="16.53515625" bestFit="1" customWidth="1"/>
    <col min="19" max="19" width="15.69140625" bestFit="1" customWidth="1"/>
    <col min="20" max="20" width="14" style="6" bestFit="1" customWidth="1"/>
    <col min="21" max="21" width="11.3046875" bestFit="1" customWidth="1"/>
  </cols>
  <sheetData>
    <row r="2" spans="1:20" ht="42" customHeight="1" x14ac:dyDescent="0.3">
      <c r="B2" s="7" t="s">
        <v>0</v>
      </c>
      <c r="C2" s="12" t="s">
        <v>3</v>
      </c>
      <c r="D2" s="12" t="s">
        <v>4</v>
      </c>
      <c r="E2" s="32" t="s">
        <v>218</v>
      </c>
      <c r="F2" s="12" t="s">
        <v>5</v>
      </c>
      <c r="G2" s="12" t="s">
        <v>17</v>
      </c>
      <c r="H2" s="12" t="s">
        <v>10</v>
      </c>
      <c r="I2" s="12" t="s">
        <v>11</v>
      </c>
      <c r="L2" t="s">
        <v>18</v>
      </c>
      <c r="T2"/>
    </row>
    <row r="3" spans="1:20" ht="12.9" thickBot="1" x14ac:dyDescent="0.35">
      <c r="A3" s="3">
        <v>37622</v>
      </c>
      <c r="B3" s="41">
        <v>126011890</v>
      </c>
      <c r="C3" s="96">
        <v>786</v>
      </c>
      <c r="D3" s="96">
        <v>0</v>
      </c>
      <c r="E3" s="103">
        <f>+'Economic Indices'!P15</f>
        <v>5.2000000000000005E-2</v>
      </c>
      <c r="F3" s="10">
        <v>31</v>
      </c>
      <c r="G3" s="10">
        <v>0</v>
      </c>
      <c r="H3" s="10">
        <f t="shared" ref="H3:H66" si="0">$M$18+C3*$M$19+D3*$M$20+E3*$M$21+F3*$M$22+G3*$M$23</f>
        <v>121608461.13549522</v>
      </c>
      <c r="I3" s="36">
        <f t="shared" ref="I3:I34" si="1">H3-B3</f>
        <v>-4403428.8645047843</v>
      </c>
      <c r="J3" s="5">
        <f t="shared" ref="J3:J29" si="2">I3/B3</f>
        <v>-3.4944550585700958E-2</v>
      </c>
      <c r="T3"/>
    </row>
    <row r="4" spans="1:20" ht="12.9" x14ac:dyDescent="0.35">
      <c r="A4" s="3">
        <v>37653</v>
      </c>
      <c r="B4" s="41">
        <v>112581000</v>
      </c>
      <c r="C4" s="96">
        <v>686.5</v>
      </c>
      <c r="D4" s="96">
        <v>0</v>
      </c>
      <c r="E4" s="103">
        <f>+E3</f>
        <v>5.2000000000000005E-2</v>
      </c>
      <c r="F4" s="10">
        <v>28</v>
      </c>
      <c r="G4" s="10">
        <v>0</v>
      </c>
      <c r="H4" s="10">
        <f t="shared" si="0"/>
        <v>109132496.12756082</v>
      </c>
      <c r="I4" s="36">
        <f t="shared" si="1"/>
        <v>-3448503.8724391758</v>
      </c>
      <c r="J4" s="5">
        <f t="shared" si="2"/>
        <v>-3.0631313209504053E-2</v>
      </c>
      <c r="L4" s="53" t="s">
        <v>19</v>
      </c>
      <c r="M4" s="53"/>
      <c r="T4"/>
    </row>
    <row r="5" spans="1:20" x14ac:dyDescent="0.3">
      <c r="A5" s="3">
        <v>37681</v>
      </c>
      <c r="B5" s="41">
        <v>110536430</v>
      </c>
      <c r="C5" s="96">
        <v>572.5</v>
      </c>
      <c r="D5" s="96">
        <v>0</v>
      </c>
      <c r="E5" s="103">
        <f>+E4</f>
        <v>5.2000000000000005E-2</v>
      </c>
      <c r="F5" s="10">
        <v>31</v>
      </c>
      <c r="G5" s="10">
        <v>1</v>
      </c>
      <c r="H5" s="10">
        <f t="shared" si="0"/>
        <v>105879506.48495534</v>
      </c>
      <c r="I5" s="36">
        <f t="shared" si="1"/>
        <v>-4656923.5150446594</v>
      </c>
      <c r="J5" s="5">
        <f t="shared" si="2"/>
        <v>-4.2130214582148703E-2</v>
      </c>
      <c r="L5" s="35" t="s">
        <v>20</v>
      </c>
      <c r="M5" s="95">
        <v>0.93108949266954033</v>
      </c>
      <c r="T5"/>
    </row>
    <row r="6" spans="1:20" x14ac:dyDescent="0.3">
      <c r="A6" s="3">
        <v>37712</v>
      </c>
      <c r="B6" s="41">
        <v>97712940</v>
      </c>
      <c r="C6" s="96">
        <v>403.9</v>
      </c>
      <c r="D6" s="96">
        <v>0</v>
      </c>
      <c r="E6" s="103">
        <f>+'Economic Indices'!P16</f>
        <v>5.5999999999999994E-2</v>
      </c>
      <c r="F6" s="10">
        <v>30</v>
      </c>
      <c r="G6" s="10">
        <v>1</v>
      </c>
      <c r="H6" s="10">
        <f t="shared" si="0"/>
        <v>95727068.133391276</v>
      </c>
      <c r="I6" s="36">
        <f t="shared" si="1"/>
        <v>-1985871.866608724</v>
      </c>
      <c r="J6" s="5">
        <f t="shared" si="2"/>
        <v>-2.0323529991101732E-2</v>
      </c>
      <c r="L6" s="35" t="s">
        <v>21</v>
      </c>
      <c r="M6" s="95">
        <v>0.86692764335962202</v>
      </c>
      <c r="T6"/>
    </row>
    <row r="7" spans="1:20" x14ac:dyDescent="0.3">
      <c r="A7" s="3">
        <v>37742</v>
      </c>
      <c r="B7" s="41">
        <v>90261150</v>
      </c>
      <c r="C7" s="96">
        <v>192</v>
      </c>
      <c r="D7" s="96">
        <v>0</v>
      </c>
      <c r="E7" s="103">
        <f>+E6</f>
        <v>5.5999999999999994E-2</v>
      </c>
      <c r="F7" s="10">
        <v>31</v>
      </c>
      <c r="G7" s="10">
        <v>1</v>
      </c>
      <c r="H7" s="10">
        <f t="shared" si="0"/>
        <v>89920096.43658556</v>
      </c>
      <c r="I7" s="36">
        <f t="shared" si="1"/>
        <v>-341053.56341443956</v>
      </c>
      <c r="J7" s="5">
        <f t="shared" si="2"/>
        <v>-3.7785200323111278E-3</v>
      </c>
      <c r="L7" s="35" t="s">
        <v>22</v>
      </c>
      <c r="M7" s="95">
        <v>0.86210618116250692</v>
      </c>
      <c r="T7"/>
    </row>
    <row r="8" spans="1:20" x14ac:dyDescent="0.3">
      <c r="A8" s="3">
        <v>37773</v>
      </c>
      <c r="B8" s="41">
        <v>92476040</v>
      </c>
      <c r="C8" s="96">
        <v>55.1</v>
      </c>
      <c r="D8" s="96">
        <v>31</v>
      </c>
      <c r="E8" s="103">
        <f>+E7</f>
        <v>5.5999999999999994E-2</v>
      </c>
      <c r="F8" s="10">
        <v>30</v>
      </c>
      <c r="G8" s="10">
        <v>0</v>
      </c>
      <c r="H8" s="10">
        <f t="shared" si="0"/>
        <v>93060780.436009645</v>
      </c>
      <c r="I8" s="36">
        <f t="shared" si="1"/>
        <v>584740.43600964546</v>
      </c>
      <c r="J8" s="5">
        <f t="shared" si="2"/>
        <v>6.323156095456136E-3</v>
      </c>
      <c r="L8" s="35" t="s">
        <v>23</v>
      </c>
      <c r="M8" s="67">
        <v>3874064.0358141405</v>
      </c>
      <c r="T8"/>
    </row>
    <row r="9" spans="1:20" ht="12.9" thickBot="1" x14ac:dyDescent="0.35">
      <c r="A9" s="3">
        <v>37803</v>
      </c>
      <c r="B9" s="41">
        <v>100371630</v>
      </c>
      <c r="C9" s="96">
        <v>5.7</v>
      </c>
      <c r="D9" s="96">
        <v>59.1</v>
      </c>
      <c r="E9" s="103">
        <f>+'Economic Indices'!P17</f>
        <v>5.0999999999999997E-2</v>
      </c>
      <c r="F9" s="10">
        <v>31</v>
      </c>
      <c r="G9" s="10">
        <v>0</v>
      </c>
      <c r="H9" s="10">
        <f t="shared" si="0"/>
        <v>98522297.294301718</v>
      </c>
      <c r="I9" s="36">
        <f t="shared" si="1"/>
        <v>-1849332.7056982815</v>
      </c>
      <c r="J9" s="5">
        <f t="shared" si="2"/>
        <v>-1.8424854769204021E-2</v>
      </c>
      <c r="L9" s="51" t="s">
        <v>24</v>
      </c>
      <c r="M9" s="68">
        <v>144</v>
      </c>
      <c r="T9"/>
    </row>
    <row r="10" spans="1:20" x14ac:dyDescent="0.3">
      <c r="A10" s="3">
        <v>37834</v>
      </c>
      <c r="B10" s="41">
        <v>101507680</v>
      </c>
      <c r="C10" s="96">
        <v>10.4</v>
      </c>
      <c r="D10" s="96">
        <v>106.5</v>
      </c>
      <c r="E10" s="103">
        <f>+E9</f>
        <v>5.0999999999999997E-2</v>
      </c>
      <c r="F10" s="10">
        <v>31</v>
      </c>
      <c r="G10" s="10">
        <v>0</v>
      </c>
      <c r="H10" s="10">
        <f t="shared" si="0"/>
        <v>105549214.85777354</v>
      </c>
      <c r="I10" s="36">
        <f t="shared" si="1"/>
        <v>4041534.8577735424</v>
      </c>
      <c r="J10" s="5">
        <f t="shared" si="2"/>
        <v>3.9815064808628689E-2</v>
      </c>
      <c r="T10"/>
    </row>
    <row r="11" spans="1:20" ht="12.9" thickBot="1" x14ac:dyDescent="0.35">
      <c r="A11" s="3">
        <v>37865</v>
      </c>
      <c r="B11" s="41">
        <v>91341000</v>
      </c>
      <c r="C11" s="96">
        <v>55.2</v>
      </c>
      <c r="D11" s="96">
        <v>12.1</v>
      </c>
      <c r="E11" s="103">
        <f>+E10</f>
        <v>5.0999999999999997E-2</v>
      </c>
      <c r="F11" s="10">
        <v>30</v>
      </c>
      <c r="G11" s="10">
        <v>1</v>
      </c>
      <c r="H11" s="10">
        <f t="shared" si="0"/>
        <v>83900187.669904038</v>
      </c>
      <c r="I11" s="36">
        <f t="shared" si="1"/>
        <v>-7440812.3300959617</v>
      </c>
      <c r="J11" s="5">
        <f t="shared" si="2"/>
        <v>-8.1461910096188583E-2</v>
      </c>
      <c r="L11" t="s">
        <v>25</v>
      </c>
      <c r="T11"/>
    </row>
    <row r="12" spans="1:20" ht="12.9" x14ac:dyDescent="0.35">
      <c r="A12" s="3">
        <v>37895</v>
      </c>
      <c r="B12" s="41">
        <v>95672250</v>
      </c>
      <c r="C12" s="96">
        <v>289.7</v>
      </c>
      <c r="D12" s="96">
        <v>0</v>
      </c>
      <c r="E12" s="103">
        <f>+'Economic Indices'!P18</f>
        <v>4.8000000000000001E-2</v>
      </c>
      <c r="F12" s="10">
        <v>31</v>
      </c>
      <c r="G12" s="10">
        <v>1</v>
      </c>
      <c r="H12" s="10">
        <f t="shared" si="0"/>
        <v>94865847.206289545</v>
      </c>
      <c r="I12" s="36">
        <f t="shared" si="1"/>
        <v>-806402.7937104553</v>
      </c>
      <c r="J12" s="5">
        <f t="shared" si="2"/>
        <v>-8.4288055701674768E-3</v>
      </c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T12"/>
    </row>
    <row r="13" spans="1:20" x14ac:dyDescent="0.3">
      <c r="A13" s="3">
        <v>37926</v>
      </c>
      <c r="B13" s="41">
        <v>101404920</v>
      </c>
      <c r="C13" s="96">
        <v>387.6</v>
      </c>
      <c r="D13" s="96">
        <v>0</v>
      </c>
      <c r="E13" s="103">
        <f>+E12</f>
        <v>4.8000000000000001E-2</v>
      </c>
      <c r="F13" s="10">
        <v>30</v>
      </c>
      <c r="G13" s="10">
        <v>1</v>
      </c>
      <c r="H13" s="10">
        <f t="shared" si="0"/>
        <v>96037013.229520619</v>
      </c>
      <c r="I13" s="36">
        <f t="shared" si="1"/>
        <v>-5367906.7704793811</v>
      </c>
      <c r="J13" s="5">
        <f t="shared" si="2"/>
        <v>-5.2935368130849876E-2</v>
      </c>
      <c r="L13" s="35" t="s">
        <v>26</v>
      </c>
      <c r="M13" s="67">
        <v>5</v>
      </c>
      <c r="N13" s="67">
        <v>1.3492973884104858E+16</v>
      </c>
      <c r="O13" s="67">
        <v>2698594776820971.5</v>
      </c>
      <c r="P13" s="67">
        <v>179.80596091333791</v>
      </c>
      <c r="Q13" s="67">
        <v>1.3085487673335761E-58</v>
      </c>
      <c r="T13"/>
    </row>
    <row r="14" spans="1:20" x14ac:dyDescent="0.3">
      <c r="A14" s="3">
        <v>37956</v>
      </c>
      <c r="B14" s="41">
        <v>112847240</v>
      </c>
      <c r="C14" s="96">
        <v>548.20000000000005</v>
      </c>
      <c r="D14" s="96">
        <v>0</v>
      </c>
      <c r="E14" s="103">
        <f>+E13</f>
        <v>4.8000000000000001E-2</v>
      </c>
      <c r="F14" s="10">
        <v>31</v>
      </c>
      <c r="G14" s="10">
        <v>0</v>
      </c>
      <c r="H14" s="10">
        <f t="shared" si="0"/>
        <v>112424725.14902994</v>
      </c>
      <c r="I14" s="36">
        <f t="shared" si="1"/>
        <v>-422514.85097005963</v>
      </c>
      <c r="J14" s="5">
        <f t="shared" si="2"/>
        <v>-3.7441310125977353E-3</v>
      </c>
      <c r="L14" s="35" t="s">
        <v>27</v>
      </c>
      <c r="M14" s="67">
        <v>138</v>
      </c>
      <c r="N14" s="67">
        <v>2071155357195219.5</v>
      </c>
      <c r="O14" s="67">
        <v>15008372153588.547</v>
      </c>
      <c r="P14" s="67"/>
      <c r="Q14" s="67"/>
      <c r="T14"/>
    </row>
    <row r="15" spans="1:20" ht="12.9" thickBot="1" x14ac:dyDescent="0.35">
      <c r="A15" s="3">
        <v>37987</v>
      </c>
      <c r="B15" s="41">
        <v>127196340</v>
      </c>
      <c r="C15" s="96">
        <v>828.8</v>
      </c>
      <c r="D15" s="96">
        <v>0</v>
      </c>
      <c r="E15" s="103">
        <f>+'Economic Indices'!P19</f>
        <v>5.0999999999999997E-2</v>
      </c>
      <c r="F15" s="10">
        <v>31</v>
      </c>
      <c r="G15" s="10">
        <v>0</v>
      </c>
      <c r="H15" s="10">
        <f t="shared" si="0"/>
        <v>123470519.50837895</v>
      </c>
      <c r="I15" s="36">
        <f t="shared" si="1"/>
        <v>-3725820.4916210473</v>
      </c>
      <c r="J15" s="5">
        <f t="shared" si="2"/>
        <v>-2.9291884433318184E-2</v>
      </c>
      <c r="L15" s="51" t="s">
        <v>9</v>
      </c>
      <c r="M15" s="68">
        <v>143</v>
      </c>
      <c r="N15" s="68">
        <v>1.5564129241300078E+16</v>
      </c>
      <c r="O15" s="68"/>
      <c r="P15" s="68"/>
      <c r="Q15" s="68"/>
      <c r="T15"/>
    </row>
    <row r="16" spans="1:20" ht="12.9" thickBot="1" x14ac:dyDescent="0.35">
      <c r="A16" s="3">
        <v>38018</v>
      </c>
      <c r="B16" s="41">
        <v>108928270</v>
      </c>
      <c r="C16" s="96">
        <v>615.6</v>
      </c>
      <c r="D16" s="96">
        <v>0</v>
      </c>
      <c r="E16" s="103">
        <f>+E15</f>
        <v>5.0999999999999997E-2</v>
      </c>
      <c r="F16" s="10">
        <v>29</v>
      </c>
      <c r="G16" s="10">
        <v>0</v>
      </c>
      <c r="H16" s="10">
        <f t="shared" si="0"/>
        <v>109180882.07684086</v>
      </c>
      <c r="I16" s="36">
        <f t="shared" si="1"/>
        <v>252612.07684086263</v>
      </c>
      <c r="J16" s="5">
        <f t="shared" si="2"/>
        <v>2.3190681063865481E-3</v>
      </c>
      <c r="T16"/>
    </row>
    <row r="17" spans="1:20" ht="12.9" x14ac:dyDescent="0.35">
      <c r="A17" s="3">
        <v>38047</v>
      </c>
      <c r="B17" s="41">
        <v>105064150</v>
      </c>
      <c r="C17" s="96">
        <v>487.1</v>
      </c>
      <c r="D17" s="96">
        <v>0</v>
      </c>
      <c r="E17" s="103">
        <f>+E16</f>
        <v>5.0999999999999997E-2</v>
      </c>
      <c r="F17" s="10">
        <v>31</v>
      </c>
      <c r="G17" s="10">
        <v>1</v>
      </c>
      <c r="H17" s="10">
        <f t="shared" si="0"/>
        <v>102528316.72317006</v>
      </c>
      <c r="I17" s="36">
        <f t="shared" si="1"/>
        <v>-2535833.2768299431</v>
      </c>
      <c r="J17" s="5">
        <f t="shared" si="2"/>
        <v>-2.4136047137200873E-2</v>
      </c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</row>
    <row r="18" spans="1:20" x14ac:dyDescent="0.3">
      <c r="A18" s="3">
        <v>38078</v>
      </c>
      <c r="B18" s="41">
        <v>91322380</v>
      </c>
      <c r="C18" s="96">
        <v>345</v>
      </c>
      <c r="D18" s="96">
        <v>0</v>
      </c>
      <c r="E18" s="103">
        <f>+'Economic Indices'!P20</f>
        <v>5.2999999999999999E-2</v>
      </c>
      <c r="F18" s="10">
        <v>30</v>
      </c>
      <c r="G18" s="10">
        <v>1</v>
      </c>
      <c r="H18" s="10">
        <f t="shared" si="0"/>
        <v>93696695.860283449</v>
      </c>
      <c r="I18" s="36">
        <f t="shared" si="1"/>
        <v>2374315.8602834493</v>
      </c>
      <c r="J18" s="5">
        <f t="shared" si="2"/>
        <v>2.5999277069689262E-2</v>
      </c>
      <c r="L18" s="35" t="s">
        <v>28</v>
      </c>
      <c r="M18" s="67">
        <v>8860950.216936864</v>
      </c>
      <c r="N18" s="67">
        <v>12653679.844812186</v>
      </c>
      <c r="O18" s="67">
        <v>0.70026666753147837</v>
      </c>
      <c r="P18" s="67">
        <v>0.48493968415084332</v>
      </c>
      <c r="Q18" s="67">
        <v>-16159215.759894215</v>
      </c>
      <c r="R18" s="67">
        <v>33881116.193767942</v>
      </c>
      <c r="S18" s="67">
        <v>-16159215.759894215</v>
      </c>
      <c r="T18" s="67">
        <v>33881116.193767942</v>
      </c>
    </row>
    <row r="19" spans="1:20" x14ac:dyDescent="0.3">
      <c r="A19" s="3">
        <v>38108</v>
      </c>
      <c r="B19" s="41">
        <v>86885250</v>
      </c>
      <c r="C19" s="96">
        <v>177.5</v>
      </c>
      <c r="D19" s="96">
        <v>0</v>
      </c>
      <c r="E19" s="103">
        <f>+E18</f>
        <v>5.2999999999999999E-2</v>
      </c>
      <c r="F19" s="10">
        <v>31</v>
      </c>
      <c r="G19" s="10">
        <v>1</v>
      </c>
      <c r="H19" s="10">
        <f t="shared" si="0"/>
        <v>89695248.478448913</v>
      </c>
      <c r="I19" s="36">
        <f t="shared" si="1"/>
        <v>2809998.4784489125</v>
      </c>
      <c r="J19" s="5">
        <f t="shared" si="2"/>
        <v>3.2341490396228502E-2</v>
      </c>
      <c r="L19" s="35" t="s">
        <v>3</v>
      </c>
      <c r="M19" s="67">
        <v>40664.962048900314</v>
      </c>
      <c r="N19" s="67">
        <v>1974.5590070506544</v>
      </c>
      <c r="O19" s="67">
        <v>20.594452687256215</v>
      </c>
      <c r="P19" s="67">
        <v>6.3711837372287355E-44</v>
      </c>
      <c r="Q19" s="67">
        <v>36760.659530316443</v>
      </c>
      <c r="R19" s="67">
        <v>44569.264567484184</v>
      </c>
      <c r="S19" s="67">
        <v>36760.659530316443</v>
      </c>
      <c r="T19" s="67">
        <v>44569.264567484184</v>
      </c>
    </row>
    <row r="20" spans="1:20" x14ac:dyDescent="0.3">
      <c r="A20" s="3">
        <v>38139</v>
      </c>
      <c r="B20" s="41">
        <v>86876500</v>
      </c>
      <c r="C20" s="96">
        <v>73.2</v>
      </c>
      <c r="D20" s="96">
        <v>15.6</v>
      </c>
      <c r="E20" s="103">
        <f>+E19</f>
        <v>5.2999999999999999E-2</v>
      </c>
      <c r="F20" s="10">
        <v>30</v>
      </c>
      <c r="G20" s="10">
        <v>0</v>
      </c>
      <c r="H20" s="10">
        <f t="shared" si="0"/>
        <v>91940698.837199494</v>
      </c>
      <c r="I20" s="36">
        <f t="shared" si="1"/>
        <v>5064198.8371994942</v>
      </c>
      <c r="J20" s="5">
        <f t="shared" si="2"/>
        <v>5.8291929776170703E-2</v>
      </c>
      <c r="L20" s="35" t="s">
        <v>4</v>
      </c>
      <c r="M20" s="67">
        <v>144215.02619919807</v>
      </c>
      <c r="N20" s="67">
        <v>15275.223181131068</v>
      </c>
      <c r="O20" s="67">
        <v>9.4411076348358485</v>
      </c>
      <c r="P20" s="67">
        <v>1.2524911828936526E-16</v>
      </c>
      <c r="Q20" s="67">
        <v>114011.27329788466</v>
      </c>
      <c r="R20" s="67">
        <v>174418.77910051146</v>
      </c>
      <c r="S20" s="67">
        <v>114011.27329788466</v>
      </c>
      <c r="T20" s="67">
        <v>174418.77910051146</v>
      </c>
    </row>
    <row r="21" spans="1:20" x14ac:dyDescent="0.3">
      <c r="A21" s="3">
        <v>38169</v>
      </c>
      <c r="B21" s="41">
        <v>92903530</v>
      </c>
      <c r="C21" s="96">
        <v>2</v>
      </c>
      <c r="D21" s="96">
        <v>69.3</v>
      </c>
      <c r="E21" s="103">
        <f>+'Economic Indices'!P21</f>
        <v>5.2999999999999999E-2</v>
      </c>
      <c r="F21" s="10">
        <v>31</v>
      </c>
      <c r="G21" s="10">
        <v>0</v>
      </c>
      <c r="H21" s="10">
        <f t="shared" si="0"/>
        <v>99599634.207571</v>
      </c>
      <c r="I21" s="36">
        <f t="shared" si="1"/>
        <v>6696104.2075709999</v>
      </c>
      <c r="J21" s="5">
        <f t="shared" si="2"/>
        <v>7.2075885680242716E-2</v>
      </c>
      <c r="L21" s="35" t="s">
        <v>218</v>
      </c>
      <c r="M21" s="67">
        <v>-121597997.19080326</v>
      </c>
      <c r="N21" s="67">
        <v>21684816.545596559</v>
      </c>
      <c r="O21" s="67">
        <v>-5.6075179116742691</v>
      </c>
      <c r="P21" s="67">
        <v>1.0791074287329415E-7</v>
      </c>
      <c r="Q21" s="67">
        <v>-164475461.75463122</v>
      </c>
      <c r="R21" s="67">
        <v>-78720532.626975298</v>
      </c>
      <c r="S21" s="67">
        <v>-164475461.75463122</v>
      </c>
      <c r="T21" s="67">
        <v>-78720532.626975298</v>
      </c>
    </row>
    <row r="22" spans="1:20" x14ac:dyDescent="0.3">
      <c r="A22" s="3">
        <v>38200</v>
      </c>
      <c r="B22" s="41">
        <v>94121760</v>
      </c>
      <c r="C22" s="96">
        <v>19.600000000000001</v>
      </c>
      <c r="D22" s="96">
        <v>53.6</v>
      </c>
      <c r="E22" s="103">
        <f>+E21</f>
        <v>5.2999999999999999E-2</v>
      </c>
      <c r="F22" s="10">
        <v>31</v>
      </c>
      <c r="G22" s="10">
        <v>0</v>
      </c>
      <c r="H22" s="10">
        <f t="shared" si="0"/>
        <v>98051161.628304228</v>
      </c>
      <c r="I22" s="36">
        <f t="shared" si="1"/>
        <v>3929401.6283042282</v>
      </c>
      <c r="J22" s="5">
        <f t="shared" si="2"/>
        <v>4.1748067910164749E-2</v>
      </c>
      <c r="L22" s="35" t="s">
        <v>5</v>
      </c>
      <c r="M22" s="67">
        <v>2809933.7613562737</v>
      </c>
      <c r="N22" s="67">
        <v>413889.83860015869</v>
      </c>
      <c r="O22" s="67">
        <v>6.7890861270233573</v>
      </c>
      <c r="P22" s="67">
        <v>3.0716683705617651E-10</v>
      </c>
      <c r="Q22" s="67">
        <v>1991547.9174829256</v>
      </c>
      <c r="R22" s="67">
        <v>3628319.6052296218</v>
      </c>
      <c r="S22" s="67">
        <v>1991547.9174829256</v>
      </c>
      <c r="T22" s="67">
        <v>3628319.6052296218</v>
      </c>
    </row>
    <row r="23" spans="1:20" ht="12.9" thickBot="1" x14ac:dyDescent="0.35">
      <c r="A23" s="3">
        <v>38231</v>
      </c>
      <c r="B23" s="41">
        <v>88536700</v>
      </c>
      <c r="C23" s="96">
        <v>41.7</v>
      </c>
      <c r="D23" s="96">
        <v>26.7</v>
      </c>
      <c r="E23" s="103">
        <f>+E22</f>
        <v>5.2999999999999999E-2</v>
      </c>
      <c r="F23" s="10">
        <v>30</v>
      </c>
      <c r="G23" s="10">
        <v>1</v>
      </c>
      <c r="H23" s="10">
        <f t="shared" si="0"/>
        <v>85213554.07037057</v>
      </c>
      <c r="I23" s="36">
        <f t="shared" si="1"/>
        <v>-3323145.9296294302</v>
      </c>
      <c r="J23" s="5">
        <f t="shared" si="2"/>
        <v>-3.7534106530166929E-2</v>
      </c>
      <c r="L23" s="51" t="s">
        <v>17</v>
      </c>
      <c r="M23" s="68">
        <v>-7046985.2530996641</v>
      </c>
      <c r="N23" s="68">
        <v>834637.93948855624</v>
      </c>
      <c r="O23" s="68">
        <v>-8.4431642987830955</v>
      </c>
      <c r="P23" s="68">
        <v>3.7993072229728816E-14</v>
      </c>
      <c r="Q23" s="68">
        <v>-8697317.8071610499</v>
      </c>
      <c r="R23" s="68">
        <v>-5396652.6990382783</v>
      </c>
      <c r="S23" s="68">
        <v>-8697317.8071610499</v>
      </c>
      <c r="T23" s="68">
        <v>-5396652.6990382783</v>
      </c>
    </row>
    <row r="24" spans="1:20" x14ac:dyDescent="0.3">
      <c r="A24" s="3">
        <v>38261</v>
      </c>
      <c r="B24" s="41">
        <v>88377710</v>
      </c>
      <c r="C24" s="96">
        <v>235</v>
      </c>
      <c r="D24" s="96">
        <v>0</v>
      </c>
      <c r="E24" s="103">
        <f>+'Economic Indices'!P22</f>
        <v>5.7999999999999996E-2</v>
      </c>
      <c r="F24" s="10">
        <v>31</v>
      </c>
      <c r="G24" s="10">
        <v>1</v>
      </c>
      <c r="H24" s="10">
        <f t="shared" si="0"/>
        <v>91425493.810306668</v>
      </c>
      <c r="I24" s="36">
        <f t="shared" si="1"/>
        <v>3047783.8103066683</v>
      </c>
      <c r="J24" s="5">
        <f t="shared" si="2"/>
        <v>3.4485888017540489E-2</v>
      </c>
      <c r="T24"/>
    </row>
    <row r="25" spans="1:20" x14ac:dyDescent="0.3">
      <c r="A25" s="3">
        <v>38292</v>
      </c>
      <c r="B25" s="41">
        <v>94905100</v>
      </c>
      <c r="C25" s="96">
        <v>385.7</v>
      </c>
      <c r="D25" s="96">
        <v>0</v>
      </c>
      <c r="E25" s="103">
        <f>+E24</f>
        <v>5.7999999999999996E-2</v>
      </c>
      <c r="F25" s="10">
        <v>30</v>
      </c>
      <c r="G25" s="10">
        <v>1</v>
      </c>
      <c r="H25" s="10">
        <f t="shared" si="0"/>
        <v>94743769.829719678</v>
      </c>
      <c r="I25" s="36">
        <f t="shared" si="1"/>
        <v>-161330.17028032243</v>
      </c>
      <c r="J25" s="5">
        <f t="shared" si="2"/>
        <v>-1.6999104398006265E-3</v>
      </c>
      <c r="T25"/>
    </row>
    <row r="26" spans="1:20" x14ac:dyDescent="0.3">
      <c r="A26" s="3">
        <v>38322</v>
      </c>
      <c r="B26" s="41">
        <v>113323500</v>
      </c>
      <c r="C26" s="96">
        <v>627.5</v>
      </c>
      <c r="D26" s="96">
        <v>0</v>
      </c>
      <c r="E26" s="103">
        <f>+E25</f>
        <v>5.7999999999999996E-2</v>
      </c>
      <c r="F26" s="10">
        <v>31</v>
      </c>
      <c r="G26" s="10">
        <v>0</v>
      </c>
      <c r="H26" s="10">
        <f t="shared" si="0"/>
        <v>114433476.66759969</v>
      </c>
      <c r="I26" s="36">
        <f t="shared" si="1"/>
        <v>1109976.6675996929</v>
      </c>
      <c r="J26" s="5">
        <f t="shared" si="2"/>
        <v>9.7947616125489672E-3</v>
      </c>
      <c r="T26"/>
    </row>
    <row r="27" spans="1:20" x14ac:dyDescent="0.3">
      <c r="A27" s="3">
        <v>38353</v>
      </c>
      <c r="B27" s="41">
        <v>118166820</v>
      </c>
      <c r="C27" s="96">
        <v>745.5</v>
      </c>
      <c r="D27" s="96">
        <v>0</v>
      </c>
      <c r="E27" s="103">
        <f>+'Economic Indices'!P23</f>
        <v>7.2000000000000008E-2</v>
      </c>
      <c r="F27" s="10">
        <v>31</v>
      </c>
      <c r="G27" s="10">
        <v>0</v>
      </c>
      <c r="H27" s="10">
        <f t="shared" si="0"/>
        <v>117529570.22869869</v>
      </c>
      <c r="I27" s="36">
        <f t="shared" si="1"/>
        <v>-637249.77130131423</v>
      </c>
      <c r="J27" s="5">
        <f t="shared" si="2"/>
        <v>-5.3927978370012343E-3</v>
      </c>
      <c r="T27"/>
    </row>
    <row r="28" spans="1:20" x14ac:dyDescent="0.3">
      <c r="A28" s="3">
        <v>38384</v>
      </c>
      <c r="B28" s="41">
        <v>100566840</v>
      </c>
      <c r="C28" s="96">
        <v>589.5</v>
      </c>
      <c r="D28" s="96">
        <v>0</v>
      </c>
      <c r="E28" s="103">
        <f>+E27</f>
        <v>7.2000000000000008E-2</v>
      </c>
      <c r="F28" s="10">
        <v>28</v>
      </c>
      <c r="G28" s="10">
        <v>0</v>
      </c>
      <c r="H28" s="10">
        <f t="shared" si="0"/>
        <v>102756034.86500144</v>
      </c>
      <c r="I28" s="36">
        <f t="shared" si="1"/>
        <v>2189194.86500144</v>
      </c>
      <c r="J28" s="5">
        <f t="shared" si="2"/>
        <v>2.1768555768496255E-2</v>
      </c>
      <c r="T28"/>
    </row>
    <row r="29" spans="1:20" x14ac:dyDescent="0.3">
      <c r="A29" s="3">
        <v>38412</v>
      </c>
      <c r="B29" s="41">
        <v>104158730</v>
      </c>
      <c r="C29" s="96">
        <v>578.29999999999995</v>
      </c>
      <c r="D29" s="96">
        <v>0</v>
      </c>
      <c r="E29" s="103">
        <f>+E28</f>
        <v>7.2000000000000008E-2</v>
      </c>
      <c r="F29" s="10">
        <v>31</v>
      </c>
      <c r="G29" s="10">
        <v>1</v>
      </c>
      <c r="H29" s="10">
        <f t="shared" si="0"/>
        <v>103683403.32102288</v>
      </c>
      <c r="I29" s="36">
        <f t="shared" si="1"/>
        <v>-475326.67897711694</v>
      </c>
      <c r="J29" s="5">
        <f t="shared" si="2"/>
        <v>-4.5634838191394708E-3</v>
      </c>
      <c r="T29"/>
    </row>
    <row r="30" spans="1:20" x14ac:dyDescent="0.3">
      <c r="A30" s="3">
        <v>38443</v>
      </c>
      <c r="B30" s="41">
        <v>84434840</v>
      </c>
      <c r="C30" s="96">
        <v>325.3</v>
      </c>
      <c r="D30" s="96">
        <v>0</v>
      </c>
      <c r="E30" s="103">
        <f>+'Economic Indices'!P24</f>
        <v>6.3E-2</v>
      </c>
      <c r="F30" s="10">
        <v>30</v>
      </c>
      <c r="G30" s="10">
        <v>1</v>
      </c>
      <c r="H30" s="10">
        <f t="shared" si="0"/>
        <v>91679616.136012077</v>
      </c>
      <c r="I30" s="36">
        <f t="shared" si="1"/>
        <v>7244776.1360120773</v>
      </c>
      <c r="J30" s="5">
        <f t="shared" ref="J30:J61" si="3">I30/B30</f>
        <v>8.5803160591197636E-2</v>
      </c>
      <c r="T30"/>
    </row>
    <row r="31" spans="1:20" x14ac:dyDescent="0.3">
      <c r="A31" s="3">
        <v>38473</v>
      </c>
      <c r="B31" s="41">
        <v>81831370</v>
      </c>
      <c r="C31" s="96">
        <v>216.1</v>
      </c>
      <c r="D31" s="96">
        <v>0.3</v>
      </c>
      <c r="E31" s="103">
        <f>+E30</f>
        <v>6.3E-2</v>
      </c>
      <c r="F31" s="10">
        <v>31</v>
      </c>
      <c r="G31" s="10">
        <v>1</v>
      </c>
      <c r="H31" s="10">
        <f t="shared" si="0"/>
        <v>90092200.549488187</v>
      </c>
      <c r="I31" s="36">
        <f t="shared" si="1"/>
        <v>8260830.5494881868</v>
      </c>
      <c r="J31" s="5">
        <f t="shared" si="3"/>
        <v>0.10094943478873918</v>
      </c>
      <c r="T31"/>
    </row>
    <row r="32" spans="1:20" x14ac:dyDescent="0.3">
      <c r="A32" s="3">
        <v>38504</v>
      </c>
      <c r="B32" s="41">
        <v>98362500</v>
      </c>
      <c r="C32" s="96">
        <v>13.7</v>
      </c>
      <c r="D32" s="96">
        <v>89.9</v>
      </c>
      <c r="E32" s="103">
        <f>+E31</f>
        <v>6.3E-2</v>
      </c>
      <c r="F32" s="10">
        <v>30</v>
      </c>
      <c r="G32" s="10">
        <v>0</v>
      </c>
      <c r="H32" s="10">
        <f t="shared" si="0"/>
        <v>99020330.06998232</v>
      </c>
      <c r="I32" s="36">
        <f t="shared" si="1"/>
        <v>657830.06998232007</v>
      </c>
      <c r="J32" s="5">
        <f t="shared" si="3"/>
        <v>6.6878136483143483E-3</v>
      </c>
      <c r="T32"/>
    </row>
    <row r="33" spans="1:20" x14ac:dyDescent="0.3">
      <c r="A33" s="3">
        <v>38534</v>
      </c>
      <c r="B33" s="41">
        <v>103745750</v>
      </c>
      <c r="C33" s="96">
        <v>2.2000000000000002</v>
      </c>
      <c r="D33" s="96">
        <v>153</v>
      </c>
      <c r="E33" s="103">
        <f>+'Economic Indices'!P25</f>
        <v>5.7000000000000002E-2</v>
      </c>
      <c r="F33" s="10">
        <v>31</v>
      </c>
      <c r="G33" s="10">
        <v>0</v>
      </c>
      <c r="H33" s="10">
        <f t="shared" si="0"/>
        <v>111192172.90409043</v>
      </c>
      <c r="I33" s="36">
        <f t="shared" si="1"/>
        <v>7446422.9040904343</v>
      </c>
      <c r="J33" s="5">
        <f t="shared" si="3"/>
        <v>7.1775691091832045E-2</v>
      </c>
      <c r="T33"/>
    </row>
    <row r="34" spans="1:20" x14ac:dyDescent="0.3">
      <c r="A34" s="3">
        <v>38565</v>
      </c>
      <c r="B34" s="41">
        <v>101425330</v>
      </c>
      <c r="C34" s="96">
        <v>0</v>
      </c>
      <c r="D34" s="96">
        <v>108</v>
      </c>
      <c r="E34" s="103">
        <f>+E33</f>
        <v>5.7000000000000002E-2</v>
      </c>
      <c r="F34" s="10">
        <v>31</v>
      </c>
      <c r="G34" s="10">
        <v>0</v>
      </c>
      <c r="H34" s="10">
        <f t="shared" si="0"/>
        <v>104613033.80861895</v>
      </c>
      <c r="I34" s="36">
        <f t="shared" si="1"/>
        <v>3187703.8086189479</v>
      </c>
      <c r="J34" s="5">
        <f t="shared" si="3"/>
        <v>3.1429070121033353E-2</v>
      </c>
      <c r="T34"/>
    </row>
    <row r="35" spans="1:20" x14ac:dyDescent="0.3">
      <c r="A35" s="3">
        <v>38596</v>
      </c>
      <c r="B35" s="41">
        <v>87813850</v>
      </c>
      <c r="C35" s="96">
        <v>36.700000000000003</v>
      </c>
      <c r="D35" s="96">
        <v>32.799999999999997</v>
      </c>
      <c r="E35" s="103">
        <f>+E34</f>
        <v>5.7000000000000002E-2</v>
      </c>
      <c r="F35" s="10">
        <v>30</v>
      </c>
      <c r="G35" s="10">
        <v>1</v>
      </c>
      <c r="H35" s="10">
        <f t="shared" si="0"/>
        <v>85403548.931177959</v>
      </c>
      <c r="I35" s="36">
        <f t="shared" ref="I35:I66" si="4">H35-B35</f>
        <v>-2410301.0688220412</v>
      </c>
      <c r="J35" s="5">
        <f t="shared" si="3"/>
        <v>-2.7447846425387806E-2</v>
      </c>
      <c r="T35"/>
    </row>
    <row r="36" spans="1:20" x14ac:dyDescent="0.3">
      <c r="A36" s="3">
        <v>38626</v>
      </c>
      <c r="B36" s="41">
        <v>87350690</v>
      </c>
      <c r="C36" s="96">
        <v>223.8</v>
      </c>
      <c r="D36" s="96">
        <v>0.5</v>
      </c>
      <c r="E36" s="103">
        <f>+'Economic Indices'!P26</f>
        <v>6.7000000000000004E-2</v>
      </c>
      <c r="F36" s="10">
        <v>31</v>
      </c>
      <c r="G36" s="10">
        <v>1</v>
      </c>
      <c r="H36" s="10">
        <f t="shared" si="0"/>
        <v>89947771.77374135</v>
      </c>
      <c r="I36" s="36">
        <f t="shared" si="4"/>
        <v>2597081.7737413496</v>
      </c>
      <c r="J36" s="5">
        <f t="shared" si="3"/>
        <v>2.9731668676473529E-2</v>
      </c>
      <c r="T36"/>
    </row>
    <row r="37" spans="1:20" x14ac:dyDescent="0.3">
      <c r="A37" s="3">
        <v>38657</v>
      </c>
      <c r="B37" s="41">
        <v>94515140</v>
      </c>
      <c r="C37" s="96">
        <v>398.5</v>
      </c>
      <c r="D37" s="96">
        <v>0</v>
      </c>
      <c r="E37" s="103">
        <f>+E36</f>
        <v>6.7000000000000004E-2</v>
      </c>
      <c r="F37" s="10">
        <v>30</v>
      </c>
      <c r="G37" s="10">
        <v>1</v>
      </c>
      <c r="H37" s="10">
        <f t="shared" si="0"/>
        <v>94169899.369228378</v>
      </c>
      <c r="I37" s="36">
        <f t="shared" si="4"/>
        <v>-345240.63077162206</v>
      </c>
      <c r="J37" s="5">
        <f t="shared" si="3"/>
        <v>-3.6527547943284227E-3</v>
      </c>
      <c r="T37"/>
    </row>
    <row r="38" spans="1:20" x14ac:dyDescent="0.3">
      <c r="A38" s="3">
        <v>38687</v>
      </c>
      <c r="B38" s="41">
        <v>112129490</v>
      </c>
      <c r="C38" s="96">
        <v>641.1</v>
      </c>
      <c r="D38" s="96">
        <v>0</v>
      </c>
      <c r="E38" s="103">
        <f>+E37</f>
        <v>6.7000000000000004E-2</v>
      </c>
      <c r="F38" s="10">
        <v>31</v>
      </c>
      <c r="G38" s="10">
        <v>0</v>
      </c>
      <c r="H38" s="10">
        <f t="shared" si="0"/>
        <v>113892138.17674752</v>
      </c>
      <c r="I38" s="36">
        <f t="shared" si="4"/>
        <v>1762648.1767475158</v>
      </c>
      <c r="J38" s="5">
        <f t="shared" si="3"/>
        <v>1.5719755585685048E-2</v>
      </c>
      <c r="T38"/>
    </row>
    <row r="39" spans="1:20" x14ac:dyDescent="0.3">
      <c r="A39" s="3">
        <v>38718</v>
      </c>
      <c r="B39" s="38">
        <v>108586490</v>
      </c>
      <c r="C39" s="96">
        <v>558.20000000000005</v>
      </c>
      <c r="D39" s="96">
        <v>0</v>
      </c>
      <c r="E39" s="103">
        <f>+'Economic Indices'!P27</f>
        <v>6.7000000000000004E-2</v>
      </c>
      <c r="F39" s="10">
        <v>31</v>
      </c>
      <c r="G39" s="10">
        <v>0</v>
      </c>
      <c r="H39" s="10">
        <f t="shared" si="0"/>
        <v>110521012.82289368</v>
      </c>
      <c r="I39" s="36">
        <f t="shared" si="4"/>
        <v>1934522.8228936791</v>
      </c>
      <c r="J39" s="5">
        <f t="shared" si="3"/>
        <v>1.7815501936692853E-2</v>
      </c>
      <c r="T39"/>
    </row>
    <row r="40" spans="1:20" x14ac:dyDescent="0.3">
      <c r="A40" s="3">
        <v>38749</v>
      </c>
      <c r="B40" s="38">
        <v>101769990</v>
      </c>
      <c r="C40" s="96">
        <v>608.79999999999995</v>
      </c>
      <c r="D40" s="96">
        <v>0</v>
      </c>
      <c r="E40" s="103">
        <f>+E39</f>
        <v>6.7000000000000004E-2</v>
      </c>
      <c r="F40" s="10">
        <v>28</v>
      </c>
      <c r="G40" s="10">
        <v>0</v>
      </c>
      <c r="H40" s="10">
        <f t="shared" si="0"/>
        <v>104148858.61849922</v>
      </c>
      <c r="I40" s="36">
        <f t="shared" si="4"/>
        <v>2378868.6184992194</v>
      </c>
      <c r="J40" s="5">
        <f t="shared" si="3"/>
        <v>2.3374951874312058E-2</v>
      </c>
      <c r="T40"/>
    </row>
    <row r="41" spans="1:20" x14ac:dyDescent="0.3">
      <c r="A41" s="3">
        <v>38777</v>
      </c>
      <c r="B41" s="38">
        <v>102729300</v>
      </c>
      <c r="C41" s="96">
        <v>534</v>
      </c>
      <c r="D41" s="96">
        <v>0</v>
      </c>
      <c r="E41" s="103">
        <f>+E40</f>
        <v>6.7000000000000004E-2</v>
      </c>
      <c r="F41" s="10">
        <v>31</v>
      </c>
      <c r="G41" s="10">
        <v>1</v>
      </c>
      <c r="H41" s="10">
        <f t="shared" si="0"/>
        <v>102489935.48821063</v>
      </c>
      <c r="I41" s="36">
        <f t="shared" si="4"/>
        <v>-239364.5117893666</v>
      </c>
      <c r="J41" s="5">
        <f t="shared" si="3"/>
        <v>-2.330051034995533E-3</v>
      </c>
      <c r="T41"/>
    </row>
    <row r="42" spans="1:20" x14ac:dyDescent="0.3">
      <c r="A42" s="3">
        <v>38808</v>
      </c>
      <c r="B42" s="38">
        <v>85245280</v>
      </c>
      <c r="C42" s="96">
        <v>323.60000000000002</v>
      </c>
      <c r="D42" s="96">
        <v>0</v>
      </c>
      <c r="E42" s="103">
        <f>+'Economic Indices'!P28</f>
        <v>6.3E-2</v>
      </c>
      <c r="F42" s="10">
        <v>30</v>
      </c>
      <c r="G42" s="10">
        <v>1</v>
      </c>
      <c r="H42" s="10">
        <f t="shared" si="0"/>
        <v>91610485.700528949</v>
      </c>
      <c r="I42" s="36">
        <f t="shared" si="4"/>
        <v>6365205.7005289495</v>
      </c>
      <c r="J42" s="5">
        <f t="shared" si="3"/>
        <v>7.4669303690819588E-2</v>
      </c>
      <c r="T42"/>
    </row>
    <row r="43" spans="1:20" x14ac:dyDescent="0.3">
      <c r="A43" s="3">
        <v>38838</v>
      </c>
      <c r="B43" s="38">
        <v>85191000</v>
      </c>
      <c r="C43" s="96">
        <v>172.6</v>
      </c>
      <c r="D43" s="96">
        <v>12.8</v>
      </c>
      <c r="E43" s="103">
        <f>+E42</f>
        <v>6.3E-2</v>
      </c>
      <c r="F43" s="10">
        <v>31</v>
      </c>
      <c r="G43" s="10">
        <v>1</v>
      </c>
      <c r="H43" s="10">
        <f t="shared" si="0"/>
        <v>90125962.527851</v>
      </c>
      <c r="I43" s="36">
        <f t="shared" si="4"/>
        <v>4934962.5278510004</v>
      </c>
      <c r="J43" s="5">
        <f t="shared" si="3"/>
        <v>5.7928214574908155E-2</v>
      </c>
      <c r="T43"/>
    </row>
    <row r="44" spans="1:20" x14ac:dyDescent="0.3">
      <c r="A44" s="3">
        <v>38869</v>
      </c>
      <c r="B44" s="38">
        <v>91808310</v>
      </c>
      <c r="C44" s="96">
        <v>22.6</v>
      </c>
      <c r="D44" s="96">
        <v>36.200000000000003</v>
      </c>
      <c r="E44" s="103">
        <f>+E43</f>
        <v>6.3E-2</v>
      </c>
      <c r="F44" s="10">
        <v>30</v>
      </c>
      <c r="G44" s="10">
        <v>0</v>
      </c>
      <c r="H44" s="10">
        <f t="shared" si="0"/>
        <v>91637901.325320587</v>
      </c>
      <c r="I44" s="36">
        <f t="shared" si="4"/>
        <v>-170408.67467941344</v>
      </c>
      <c r="J44" s="5">
        <f t="shared" si="3"/>
        <v>-1.8561356230107431E-3</v>
      </c>
      <c r="T44"/>
    </row>
    <row r="45" spans="1:20" x14ac:dyDescent="0.3">
      <c r="A45" s="3">
        <v>38899</v>
      </c>
      <c r="B45" s="38">
        <v>103610940</v>
      </c>
      <c r="C45" s="96">
        <v>1.7</v>
      </c>
      <c r="D45" s="96">
        <v>107.6</v>
      </c>
      <c r="E45" s="103">
        <f>+'Economic Indices'!P29</f>
        <v>6.6000000000000003E-2</v>
      </c>
      <c r="F45" s="10">
        <v>31</v>
      </c>
      <c r="G45" s="10">
        <v>0</v>
      </c>
      <c r="H45" s="10">
        <f t="shared" si="0"/>
        <v>103530096.25890517</v>
      </c>
      <c r="I45" s="36">
        <f t="shared" si="4"/>
        <v>-80843.741094827652</v>
      </c>
      <c r="J45" s="5">
        <f t="shared" si="3"/>
        <v>-7.8026259673763846E-4</v>
      </c>
      <c r="T45"/>
    </row>
    <row r="46" spans="1:20" x14ac:dyDescent="0.3">
      <c r="A46" s="3">
        <v>38930</v>
      </c>
      <c r="B46" s="38">
        <v>98252830</v>
      </c>
      <c r="C46" s="96">
        <v>4.4000000000000004</v>
      </c>
      <c r="D46" s="96">
        <v>82.1</v>
      </c>
      <c r="E46" s="103">
        <f>+E45</f>
        <v>6.6000000000000003E-2</v>
      </c>
      <c r="F46" s="10">
        <v>31</v>
      </c>
      <c r="G46" s="10">
        <v>0</v>
      </c>
      <c r="H46" s="10">
        <f t="shared" si="0"/>
        <v>99962408.488357648</v>
      </c>
      <c r="I46" s="36">
        <f t="shared" si="4"/>
        <v>1709578.4883576483</v>
      </c>
      <c r="J46" s="5">
        <f t="shared" si="3"/>
        <v>1.7399788773083159E-2</v>
      </c>
      <c r="T46"/>
    </row>
    <row r="47" spans="1:20" x14ac:dyDescent="0.3">
      <c r="A47" s="3">
        <v>38961</v>
      </c>
      <c r="B47" s="38">
        <v>83090470</v>
      </c>
      <c r="C47" s="96">
        <v>70.7</v>
      </c>
      <c r="D47" s="96">
        <v>5.0999999999999996</v>
      </c>
      <c r="E47" s="103">
        <f>+E46</f>
        <v>6.6000000000000003E-2</v>
      </c>
      <c r="F47" s="10">
        <v>30</v>
      </c>
      <c r="G47" s="10">
        <v>1</v>
      </c>
      <c r="H47" s="10">
        <f t="shared" si="0"/>
        <v>81697019.440405563</v>
      </c>
      <c r="I47" s="36">
        <f t="shared" si="4"/>
        <v>-1393450.5595944375</v>
      </c>
      <c r="J47" s="5">
        <f t="shared" si="3"/>
        <v>-1.6770281352295125E-2</v>
      </c>
      <c r="T47"/>
    </row>
    <row r="48" spans="1:20" x14ac:dyDescent="0.3">
      <c r="A48" s="3">
        <v>38991</v>
      </c>
      <c r="B48" s="38">
        <v>90859410</v>
      </c>
      <c r="C48" s="96">
        <v>274.60000000000002</v>
      </c>
      <c r="D48" s="96">
        <v>0</v>
      </c>
      <c r="E48" s="103">
        <f>+'Economic Indices'!P30</f>
        <v>6.7000000000000004E-2</v>
      </c>
      <c r="F48" s="10">
        <v>31</v>
      </c>
      <c r="G48" s="10">
        <v>1</v>
      </c>
      <c r="H48" s="10">
        <f t="shared" si="0"/>
        <v>91941444.332725883</v>
      </c>
      <c r="I48" s="36">
        <f t="shared" si="4"/>
        <v>1082034.3327258825</v>
      </c>
      <c r="J48" s="5">
        <f t="shared" si="3"/>
        <v>1.1908885746956562E-2</v>
      </c>
      <c r="T48"/>
    </row>
    <row r="49" spans="1:20" x14ac:dyDescent="0.3">
      <c r="A49" s="3">
        <v>39022</v>
      </c>
      <c r="B49" s="38">
        <v>95117460</v>
      </c>
      <c r="C49" s="96">
        <v>367.5</v>
      </c>
      <c r="D49" s="96">
        <v>0</v>
      </c>
      <c r="E49" s="103">
        <f>+E48</f>
        <v>6.7000000000000004E-2</v>
      </c>
      <c r="F49" s="10">
        <v>30</v>
      </c>
      <c r="G49" s="10">
        <v>1</v>
      </c>
      <c r="H49" s="10">
        <f t="shared" si="0"/>
        <v>92909285.545712456</v>
      </c>
      <c r="I49" s="36">
        <f t="shared" si="4"/>
        <v>-2208174.4542875439</v>
      </c>
      <c r="J49" s="5">
        <f t="shared" si="3"/>
        <v>-2.3215237815302721E-2</v>
      </c>
      <c r="T49"/>
    </row>
    <row r="50" spans="1:20" x14ac:dyDescent="0.3">
      <c r="A50" s="3">
        <v>39052</v>
      </c>
      <c r="B50" s="38">
        <v>105098960</v>
      </c>
      <c r="C50" s="96">
        <v>471.5</v>
      </c>
      <c r="D50" s="96">
        <v>0</v>
      </c>
      <c r="E50" s="103">
        <f>+E49</f>
        <v>6.7000000000000004E-2</v>
      </c>
      <c r="F50" s="10">
        <v>31</v>
      </c>
      <c r="G50" s="10">
        <v>0</v>
      </c>
      <c r="H50" s="10">
        <f t="shared" si="0"/>
        <v>106995360.61325401</v>
      </c>
      <c r="I50" s="36">
        <f t="shared" si="4"/>
        <v>1896400.6132540107</v>
      </c>
      <c r="J50" s="5">
        <f t="shared" si="3"/>
        <v>1.8043952226111569E-2</v>
      </c>
      <c r="T50"/>
    </row>
    <row r="51" spans="1:20" x14ac:dyDescent="0.3">
      <c r="A51" s="3">
        <v>39083</v>
      </c>
      <c r="B51" s="38">
        <v>112093789.99999999</v>
      </c>
      <c r="C51" s="96">
        <v>573.1</v>
      </c>
      <c r="D51" s="96">
        <v>0</v>
      </c>
      <c r="E51" s="103">
        <f>+'Economic Indices'!P31</f>
        <v>6.2E-2</v>
      </c>
      <c r="F51" s="10">
        <v>31</v>
      </c>
      <c r="G51" s="10">
        <v>0</v>
      </c>
      <c r="H51" s="10">
        <f t="shared" si="0"/>
        <v>111734910.74337631</v>
      </c>
      <c r="I51" s="36">
        <f t="shared" si="4"/>
        <v>-358879.25662367046</v>
      </c>
      <c r="J51" s="5">
        <f t="shared" si="3"/>
        <v>-3.2015980245084989E-3</v>
      </c>
      <c r="T51"/>
    </row>
    <row r="52" spans="1:20" x14ac:dyDescent="0.3">
      <c r="A52" s="3">
        <v>39114</v>
      </c>
      <c r="B52" s="38">
        <v>109302770</v>
      </c>
      <c r="C52" s="96">
        <v>693.5</v>
      </c>
      <c r="D52" s="96">
        <v>0</v>
      </c>
      <c r="E52" s="103">
        <f>+E51</f>
        <v>6.2E-2</v>
      </c>
      <c r="F52" s="10">
        <v>28</v>
      </c>
      <c r="G52" s="10">
        <v>0</v>
      </c>
      <c r="H52" s="10">
        <f t="shared" si="0"/>
        <v>108201170.8899951</v>
      </c>
      <c r="I52" s="36">
        <f t="shared" si="4"/>
        <v>-1101599.1100049019</v>
      </c>
      <c r="J52" s="5">
        <f t="shared" si="3"/>
        <v>-1.00784189641754E-2</v>
      </c>
      <c r="T52"/>
    </row>
    <row r="53" spans="1:20" x14ac:dyDescent="0.3">
      <c r="A53" s="3">
        <v>39142</v>
      </c>
      <c r="B53" s="38">
        <v>106781890</v>
      </c>
      <c r="C53" s="96">
        <v>477.9</v>
      </c>
      <c r="D53" s="96">
        <v>0</v>
      </c>
      <c r="E53" s="103">
        <f>+E52</f>
        <v>6.2E-2</v>
      </c>
      <c r="F53" s="10">
        <v>31</v>
      </c>
      <c r="G53" s="10">
        <v>1</v>
      </c>
      <c r="H53" s="10">
        <f t="shared" si="0"/>
        <v>100816621.10322134</v>
      </c>
      <c r="I53" s="36">
        <f t="shared" si="4"/>
        <v>-5965268.896778658</v>
      </c>
      <c r="J53" s="5">
        <f t="shared" si="3"/>
        <v>-5.5864050512485386E-2</v>
      </c>
      <c r="T53"/>
    </row>
    <row r="54" spans="1:20" x14ac:dyDescent="0.3">
      <c r="A54" s="3">
        <v>39173</v>
      </c>
      <c r="B54" s="38">
        <v>92267850</v>
      </c>
      <c r="C54" s="96">
        <v>280.39999999999998</v>
      </c>
      <c r="D54" s="96">
        <v>0</v>
      </c>
      <c r="E54" s="103">
        <f>+'Economic Indices'!P32</f>
        <v>5.9000000000000004E-2</v>
      </c>
      <c r="F54" s="10">
        <v>30</v>
      </c>
      <c r="G54" s="10">
        <v>1</v>
      </c>
      <c r="H54" s="10">
        <f t="shared" si="0"/>
        <v>90340151.328779668</v>
      </c>
      <c r="I54" s="36">
        <f t="shared" si="4"/>
        <v>-1927698.6712203324</v>
      </c>
      <c r="J54" s="5">
        <f t="shared" si="3"/>
        <v>-2.0892419962319837E-2</v>
      </c>
      <c r="T54"/>
    </row>
    <row r="55" spans="1:20" x14ac:dyDescent="0.3">
      <c r="A55" s="3">
        <v>39203</v>
      </c>
      <c r="B55" s="38">
        <v>86029130</v>
      </c>
      <c r="C55" s="96">
        <v>72.8</v>
      </c>
      <c r="D55" s="96">
        <v>4.5</v>
      </c>
      <c r="E55" s="103">
        <f>+E54</f>
        <v>5.9000000000000004E-2</v>
      </c>
      <c r="F55" s="10">
        <v>31</v>
      </c>
      <c r="G55" s="10">
        <v>1</v>
      </c>
      <c r="H55" s="10">
        <f t="shared" si="0"/>
        <v>85357006.586680621</v>
      </c>
      <c r="I55" s="36">
        <f t="shared" si="4"/>
        <v>-672123.41331937909</v>
      </c>
      <c r="J55" s="5">
        <f t="shared" si="3"/>
        <v>-7.8127421876680505E-3</v>
      </c>
      <c r="T55"/>
    </row>
    <row r="56" spans="1:20" x14ac:dyDescent="0.3">
      <c r="A56" s="3">
        <v>39234</v>
      </c>
      <c r="B56" s="38">
        <v>96829929.999999985</v>
      </c>
      <c r="C56" s="96">
        <v>6.2</v>
      </c>
      <c r="D56" s="96">
        <v>32.799999999999997</v>
      </c>
      <c r="E56" s="103">
        <f>+E55</f>
        <v>5.9000000000000004E-2</v>
      </c>
      <c r="F56" s="10">
        <v>30</v>
      </c>
      <c r="G56" s="10">
        <v>0</v>
      </c>
      <c r="H56" s="10">
        <f t="shared" si="0"/>
        <v>90967056.847404569</v>
      </c>
      <c r="I56" s="36">
        <f t="shared" si="4"/>
        <v>-5862873.1525954157</v>
      </c>
      <c r="J56" s="5">
        <f t="shared" si="3"/>
        <v>-6.054815027332372E-2</v>
      </c>
      <c r="T56"/>
    </row>
    <row r="57" spans="1:20" x14ac:dyDescent="0.3">
      <c r="A57" s="3">
        <v>39264</v>
      </c>
      <c r="B57" s="38">
        <v>96919610</v>
      </c>
      <c r="C57" s="96">
        <v>8.6999999999999993</v>
      </c>
      <c r="D57" s="96">
        <v>41.6</v>
      </c>
      <c r="E57" s="103">
        <f>+'Economic Indices'!P33</f>
        <v>6.4000000000000001E-2</v>
      </c>
      <c r="F57" s="10">
        <v>31</v>
      </c>
      <c r="G57" s="10">
        <v>0</v>
      </c>
      <c r="H57" s="10">
        <f t="shared" si="0"/>
        <v>94539755.258482009</v>
      </c>
      <c r="I57" s="36">
        <f t="shared" si="4"/>
        <v>-2379854.7415179908</v>
      </c>
      <c r="J57" s="5">
        <f t="shared" si="3"/>
        <v>-2.4554935183065542E-2</v>
      </c>
      <c r="T57"/>
    </row>
    <row r="58" spans="1:20" x14ac:dyDescent="0.3">
      <c r="A58" s="3">
        <v>39295</v>
      </c>
      <c r="B58" s="38">
        <v>103644560</v>
      </c>
      <c r="C58" s="96">
        <v>4</v>
      </c>
      <c r="D58" s="96">
        <v>87.8</v>
      </c>
      <c r="E58" s="103">
        <f>+E57</f>
        <v>6.4000000000000001E-2</v>
      </c>
      <c r="F58" s="10">
        <v>31</v>
      </c>
      <c r="G58" s="10">
        <v>0</v>
      </c>
      <c r="H58" s="10">
        <f t="shared" si="0"/>
        <v>101011364.14725512</v>
      </c>
      <c r="I58" s="36">
        <f t="shared" si="4"/>
        <v>-2633195.8527448773</v>
      </c>
      <c r="J58" s="5">
        <f t="shared" si="3"/>
        <v>-2.5406020853818833E-2</v>
      </c>
      <c r="T58"/>
    </row>
    <row r="59" spans="1:20" x14ac:dyDescent="0.3">
      <c r="A59" s="3">
        <v>39326</v>
      </c>
      <c r="B59" s="38">
        <v>87760000</v>
      </c>
      <c r="C59" s="96">
        <v>20.100000000000001</v>
      </c>
      <c r="D59" s="96">
        <v>12.3</v>
      </c>
      <c r="E59" s="103">
        <f>+E58</f>
        <v>6.4000000000000001E-2</v>
      </c>
      <c r="F59" s="10">
        <v>30</v>
      </c>
      <c r="G59" s="10">
        <v>1</v>
      </c>
      <c r="H59" s="10">
        <f t="shared" si="0"/>
        <v>80920916.543747038</v>
      </c>
      <c r="I59" s="36">
        <f t="shared" si="4"/>
        <v>-6839083.4562529624</v>
      </c>
      <c r="J59" s="5">
        <f t="shared" si="3"/>
        <v>-7.7929392163319997E-2</v>
      </c>
      <c r="T59"/>
    </row>
    <row r="60" spans="1:20" x14ac:dyDescent="0.3">
      <c r="A60" s="3">
        <v>39356</v>
      </c>
      <c r="B60" s="38">
        <v>88883380</v>
      </c>
      <c r="C60" s="96">
        <v>101.5</v>
      </c>
      <c r="D60" s="96">
        <v>0</v>
      </c>
      <c r="E60" s="103">
        <f>+'Economic Indices'!P34</f>
        <v>6.0999999999999999E-2</v>
      </c>
      <c r="F60" s="10">
        <v>31</v>
      </c>
      <c r="G60" s="10">
        <v>1</v>
      </c>
      <c r="H60" s="10">
        <f t="shared" si="0"/>
        <v>85631927.385206059</v>
      </c>
      <c r="I60" s="36">
        <f t="shared" si="4"/>
        <v>-3251452.6147939414</v>
      </c>
      <c r="J60" s="5">
        <f t="shared" si="3"/>
        <v>-3.6581109030664014E-2</v>
      </c>
      <c r="T60"/>
    </row>
    <row r="61" spans="1:20" x14ac:dyDescent="0.3">
      <c r="A61" s="3">
        <v>39387</v>
      </c>
      <c r="B61" s="38">
        <v>97788230</v>
      </c>
      <c r="C61" s="96">
        <v>314.10000000000002</v>
      </c>
      <c r="D61" s="96">
        <v>0</v>
      </c>
      <c r="E61" s="103">
        <f>+E60</f>
        <v>6.0999999999999999E-2</v>
      </c>
      <c r="F61" s="10">
        <v>30</v>
      </c>
      <c r="G61" s="10">
        <v>1</v>
      </c>
      <c r="H61" s="10">
        <f t="shared" si="0"/>
        <v>91467364.555445999</v>
      </c>
      <c r="I61" s="36">
        <f t="shared" si="4"/>
        <v>-6320865.4445540011</v>
      </c>
      <c r="J61" s="5">
        <f t="shared" si="3"/>
        <v>-6.463830508593929E-2</v>
      </c>
      <c r="T61"/>
    </row>
    <row r="62" spans="1:20" x14ac:dyDescent="0.3">
      <c r="A62" s="3">
        <v>39417</v>
      </c>
      <c r="B62" s="38">
        <v>112852450</v>
      </c>
      <c r="C62" s="96">
        <v>337.8</v>
      </c>
      <c r="D62" s="96">
        <v>0</v>
      </c>
      <c r="E62" s="103">
        <f>+E61</f>
        <v>6.0999999999999999E-2</v>
      </c>
      <c r="F62" s="10">
        <v>31</v>
      </c>
      <c r="G62" s="10">
        <v>0</v>
      </c>
      <c r="H62" s="10">
        <f t="shared" si="0"/>
        <v>102288043.17046086</v>
      </c>
      <c r="I62" s="36">
        <f t="shared" si="4"/>
        <v>-10564406.829539135</v>
      </c>
      <c r="J62" s="5">
        <f t="shared" ref="J62:J93" si="5">I62/B62</f>
        <v>-9.3612560733410177E-2</v>
      </c>
      <c r="T62"/>
    </row>
    <row r="63" spans="1:20" x14ac:dyDescent="0.3">
      <c r="A63" s="3">
        <v>39448</v>
      </c>
      <c r="B63" s="42">
        <v>111423480</v>
      </c>
      <c r="C63" s="97">
        <v>432.8</v>
      </c>
      <c r="D63" s="97">
        <v>0</v>
      </c>
      <c r="E63" s="103">
        <f>+'Economic Indices'!P35</f>
        <v>6.6000000000000003E-2</v>
      </c>
      <c r="F63" s="10">
        <v>31</v>
      </c>
      <c r="G63" s="10">
        <v>0</v>
      </c>
      <c r="H63" s="10">
        <f t="shared" si="0"/>
        <v>105543224.57915238</v>
      </c>
      <c r="I63" s="36">
        <f t="shared" si="4"/>
        <v>-5880255.4208476245</v>
      </c>
      <c r="J63" s="5">
        <f t="shared" si="5"/>
        <v>-5.2773934370454273E-2</v>
      </c>
      <c r="T63"/>
    </row>
    <row r="64" spans="1:20" x14ac:dyDescent="0.3">
      <c r="A64" s="3">
        <v>39479</v>
      </c>
      <c r="B64" s="42">
        <v>106527560</v>
      </c>
      <c r="C64" s="97">
        <v>317.60000000000002</v>
      </c>
      <c r="D64" s="97">
        <v>0</v>
      </c>
      <c r="E64" s="103">
        <f>+E63</f>
        <v>6.6000000000000003E-2</v>
      </c>
      <c r="F64" s="10">
        <v>29</v>
      </c>
      <c r="G64" s="10">
        <v>0</v>
      </c>
      <c r="H64" s="10">
        <f t="shared" si="0"/>
        <v>95238753.428406522</v>
      </c>
      <c r="I64" s="36">
        <f t="shared" si="4"/>
        <v>-11288806.571593478</v>
      </c>
      <c r="J64" s="5">
        <f t="shared" si="5"/>
        <v>-0.10597076072702198</v>
      </c>
      <c r="T64"/>
    </row>
    <row r="65" spans="1:36" x14ac:dyDescent="0.3">
      <c r="A65" s="3">
        <v>39508</v>
      </c>
      <c r="B65" s="42">
        <v>105633899.99999999</v>
      </c>
      <c r="C65" s="97">
        <v>430</v>
      </c>
      <c r="D65" s="97">
        <v>0</v>
      </c>
      <c r="E65" s="103">
        <f>+E64</f>
        <v>6.6000000000000003E-2</v>
      </c>
      <c r="F65" s="10">
        <v>31</v>
      </c>
      <c r="G65" s="10">
        <v>1</v>
      </c>
      <c r="H65" s="10">
        <f t="shared" si="0"/>
        <v>98382377.432315797</v>
      </c>
      <c r="I65" s="36">
        <f t="shared" si="4"/>
        <v>-7251522.5676841885</v>
      </c>
      <c r="J65" s="5">
        <f t="shared" si="5"/>
        <v>-6.8647683818207877E-2</v>
      </c>
      <c r="T65"/>
    </row>
    <row r="66" spans="1:36" x14ac:dyDescent="0.3">
      <c r="A66" s="3">
        <v>39539</v>
      </c>
      <c r="B66" s="42">
        <v>86147429.999999985</v>
      </c>
      <c r="C66" s="97">
        <v>144.6</v>
      </c>
      <c r="D66" s="97">
        <v>0</v>
      </c>
      <c r="E66" s="103">
        <f>+'Economic Indices'!P36</f>
        <v>7.400000000000001E-2</v>
      </c>
      <c r="F66" s="10">
        <v>30</v>
      </c>
      <c r="G66" s="10">
        <v>1</v>
      </c>
      <c r="H66" s="10">
        <f t="shared" si="0"/>
        <v>82993879.524676964</v>
      </c>
      <c r="I66" s="36">
        <f t="shared" si="4"/>
        <v>-3153550.4753230214</v>
      </c>
      <c r="J66" s="5">
        <f t="shared" si="5"/>
        <v>-3.6606437073317476E-2</v>
      </c>
      <c r="T66"/>
    </row>
    <row r="67" spans="1:36" x14ac:dyDescent="0.3">
      <c r="A67" s="3">
        <v>39569</v>
      </c>
      <c r="B67" s="42">
        <v>82776310</v>
      </c>
      <c r="C67" s="97">
        <v>151</v>
      </c>
      <c r="D67" s="97">
        <v>0</v>
      </c>
      <c r="E67" s="103">
        <f>+E66</f>
        <v>7.400000000000001E-2</v>
      </c>
      <c r="F67" s="10">
        <v>31</v>
      </c>
      <c r="G67" s="10">
        <v>1</v>
      </c>
      <c r="H67" s="10">
        <f t="shared" ref="H67:H130" si="6">$M$18+C67*$M$19+D67*$M$20+E67*$M$21+F67*$M$22+G67*$M$23</f>
        <v>86064069.043146178</v>
      </c>
      <c r="I67" s="36">
        <f t="shared" ref="I67:I98" si="7">H67-B67</f>
        <v>3287759.0431461781</v>
      </c>
      <c r="J67" s="5">
        <f t="shared" si="5"/>
        <v>3.9718598753027023E-2</v>
      </c>
      <c r="T67"/>
    </row>
    <row r="68" spans="1:36" x14ac:dyDescent="0.3">
      <c r="A68" s="3">
        <v>39600</v>
      </c>
      <c r="B68" s="42">
        <v>90692793</v>
      </c>
      <c r="C68" s="97">
        <v>15.5</v>
      </c>
      <c r="D68" s="97">
        <v>23.6</v>
      </c>
      <c r="E68" s="103">
        <f>+E67</f>
        <v>7.400000000000001E-2</v>
      </c>
      <c r="F68" s="10">
        <v>30</v>
      </c>
      <c r="G68" s="10">
        <v>0</v>
      </c>
      <c r="H68" s="10">
        <f t="shared" si="6"/>
        <v>88194492.795564666</v>
      </c>
      <c r="I68" s="36">
        <f t="shared" si="7"/>
        <v>-2498300.2044353336</v>
      </c>
      <c r="J68" s="5">
        <f t="shared" si="5"/>
        <v>-2.7546843820713887E-2</v>
      </c>
      <c r="T68"/>
    </row>
    <row r="69" spans="1:36" x14ac:dyDescent="0.3">
      <c r="A69" s="3">
        <v>39630</v>
      </c>
      <c r="B69" s="42">
        <v>98868440</v>
      </c>
      <c r="C69" s="97">
        <v>1</v>
      </c>
      <c r="D69" s="97">
        <v>61.4</v>
      </c>
      <c r="E69" s="103">
        <f>+'Economic Indices'!P37</f>
        <v>6.8000000000000005E-2</v>
      </c>
      <c r="F69" s="10">
        <v>31</v>
      </c>
      <c r="G69" s="10">
        <v>0</v>
      </c>
      <c r="H69" s="10">
        <f t="shared" si="6"/>
        <v>96595700.580686375</v>
      </c>
      <c r="I69" s="36">
        <f t="shared" si="7"/>
        <v>-2272739.4193136245</v>
      </c>
      <c r="J69" s="5">
        <f t="shared" si="5"/>
        <v>-2.2987511680305914E-2</v>
      </c>
      <c r="T69"/>
    </row>
    <row r="70" spans="1:36" x14ac:dyDescent="0.3">
      <c r="A70" s="3">
        <v>39661</v>
      </c>
      <c r="B70" s="42">
        <v>93432320</v>
      </c>
      <c r="C70" s="97">
        <v>13.8</v>
      </c>
      <c r="D70" s="97">
        <v>29.9</v>
      </c>
      <c r="E70" s="103">
        <f>+E69</f>
        <v>6.8000000000000005E-2</v>
      </c>
      <c r="F70" s="10">
        <v>31</v>
      </c>
      <c r="G70" s="10">
        <v>0</v>
      </c>
      <c r="H70" s="10">
        <f t="shared" si="6"/>
        <v>92573438.76963757</v>
      </c>
      <c r="I70" s="36">
        <f t="shared" si="7"/>
        <v>-858881.23036243021</v>
      </c>
      <c r="J70" s="5">
        <f t="shared" si="5"/>
        <v>-9.1925495413410496E-3</v>
      </c>
      <c r="T70"/>
    </row>
    <row r="71" spans="1:36" x14ac:dyDescent="0.3">
      <c r="A71" s="3">
        <v>39692</v>
      </c>
      <c r="B71" s="42">
        <v>86855072</v>
      </c>
      <c r="C71" s="97">
        <v>51.6</v>
      </c>
      <c r="D71" s="97">
        <v>15.1</v>
      </c>
      <c r="E71" s="103">
        <f>+E70</f>
        <v>6.8000000000000005E-2</v>
      </c>
      <c r="F71" s="10">
        <v>30</v>
      </c>
      <c r="G71" s="10">
        <v>1</v>
      </c>
      <c r="H71" s="10">
        <f t="shared" si="6"/>
        <v>82119272.932881936</v>
      </c>
      <c r="I71" s="36">
        <f t="shared" si="7"/>
        <v>-4735799.0671180636</v>
      </c>
      <c r="J71" s="5">
        <f t="shared" si="5"/>
        <v>-5.45253024154774E-2</v>
      </c>
      <c r="T71"/>
    </row>
    <row r="72" spans="1:36" x14ac:dyDescent="0.3">
      <c r="A72" s="3">
        <v>39722</v>
      </c>
      <c r="B72" s="42">
        <v>88294618</v>
      </c>
      <c r="C72" s="97">
        <v>203.1</v>
      </c>
      <c r="D72" s="97">
        <v>0</v>
      </c>
      <c r="E72" s="103">
        <f>+'Economic Indices'!P38</f>
        <v>0.08</v>
      </c>
      <c r="F72" s="10">
        <v>31</v>
      </c>
      <c r="G72" s="10">
        <v>1</v>
      </c>
      <c r="H72" s="10">
        <f t="shared" si="6"/>
        <v>87453125.582749069</v>
      </c>
      <c r="I72" s="36">
        <f t="shared" si="7"/>
        <v>-841492.41725093126</v>
      </c>
      <c r="J72" s="5">
        <f t="shared" si="5"/>
        <v>-9.5305063469545929E-3</v>
      </c>
      <c r="T72"/>
    </row>
    <row r="73" spans="1:36" x14ac:dyDescent="0.3">
      <c r="A73" s="3">
        <v>39753</v>
      </c>
      <c r="B73" s="42">
        <v>95870835</v>
      </c>
      <c r="C73" s="97">
        <v>268.8</v>
      </c>
      <c r="D73" s="97">
        <v>0</v>
      </c>
      <c r="E73" s="103">
        <f>+E72</f>
        <v>0.08</v>
      </c>
      <c r="F73" s="10">
        <v>30</v>
      </c>
      <c r="G73" s="10">
        <v>1</v>
      </c>
      <c r="H73" s="10">
        <f t="shared" si="6"/>
        <v>87314879.828005552</v>
      </c>
      <c r="I73" s="36">
        <f t="shared" si="7"/>
        <v>-8555955.1719944477</v>
      </c>
      <c r="J73" s="5">
        <f t="shared" si="5"/>
        <v>-8.9244608873954703E-2</v>
      </c>
      <c r="T73"/>
    </row>
    <row r="74" spans="1:36" x14ac:dyDescent="0.3">
      <c r="A74" s="3">
        <v>39783</v>
      </c>
      <c r="B74" s="42">
        <v>112359168</v>
      </c>
      <c r="C74" s="97">
        <v>378.9</v>
      </c>
      <c r="D74" s="97">
        <v>0</v>
      </c>
      <c r="E74" s="103">
        <f>+E73</f>
        <v>0.08</v>
      </c>
      <c r="F74" s="10">
        <v>31</v>
      </c>
      <c r="G74" s="10">
        <v>0</v>
      </c>
      <c r="H74" s="10">
        <f t="shared" si="6"/>
        <v>101649011.16404541</v>
      </c>
      <c r="I74" s="36">
        <f t="shared" si="7"/>
        <v>-10710156.835954592</v>
      </c>
      <c r="J74" s="5">
        <f t="shared" si="5"/>
        <v>-9.5320720387984642E-2</v>
      </c>
      <c r="T74"/>
    </row>
    <row r="75" spans="1:36" s="14" customFormat="1" x14ac:dyDescent="0.3">
      <c r="A75" s="3">
        <v>39814</v>
      </c>
      <c r="B75" s="38">
        <v>119321706</v>
      </c>
      <c r="C75" s="97">
        <v>684.3</v>
      </c>
      <c r="D75" s="97">
        <v>0</v>
      </c>
      <c r="E75" s="103">
        <f>+'Economic Indices'!P39</f>
        <v>8.3000000000000004E-2</v>
      </c>
      <c r="F75" s="10">
        <v>31</v>
      </c>
      <c r="G75" s="10">
        <v>0</v>
      </c>
      <c r="H75" s="10">
        <f t="shared" si="6"/>
        <v>113703296.58220714</v>
      </c>
      <c r="I75" s="36">
        <f t="shared" si="7"/>
        <v>-5618409.4177928567</v>
      </c>
      <c r="J75" s="5">
        <f t="shared" si="5"/>
        <v>-4.7086231048296082E-2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x14ac:dyDescent="0.3">
      <c r="A76" s="3">
        <v>39845</v>
      </c>
      <c r="B76" s="38">
        <v>99385016</v>
      </c>
      <c r="C76" s="97">
        <v>595.29999999999995</v>
      </c>
      <c r="D76" s="97">
        <v>0</v>
      </c>
      <c r="E76" s="103">
        <f>+E75</f>
        <v>8.3000000000000004E-2</v>
      </c>
      <c r="F76" s="10">
        <v>28</v>
      </c>
      <c r="G76" s="10">
        <v>0</v>
      </c>
      <c r="H76" s="10">
        <f t="shared" si="6"/>
        <v>101654313.67578623</v>
      </c>
      <c r="I76" s="36">
        <f t="shared" si="7"/>
        <v>2269297.675786227</v>
      </c>
      <c r="J76" s="5">
        <f t="shared" si="5"/>
        <v>2.2833398505326265E-2</v>
      </c>
      <c r="T76"/>
    </row>
    <row r="77" spans="1:36" x14ac:dyDescent="0.3">
      <c r="A77" s="3">
        <v>39873</v>
      </c>
      <c r="B77" s="38">
        <v>100852310</v>
      </c>
      <c r="C77" s="97">
        <v>442.2</v>
      </c>
      <c r="D77" s="97">
        <v>0</v>
      </c>
      <c r="E77" s="103">
        <f>+E76</f>
        <v>8.3000000000000004E-2</v>
      </c>
      <c r="F77" s="10">
        <v>31</v>
      </c>
      <c r="G77" s="10">
        <v>1</v>
      </c>
      <c r="H77" s="10">
        <f t="shared" si="6"/>
        <v>96811324.017068729</v>
      </c>
      <c r="I77" s="36">
        <f t="shared" si="7"/>
        <v>-4040985.9829312712</v>
      </c>
      <c r="J77" s="5">
        <f t="shared" si="5"/>
        <v>-4.0068353247746838E-2</v>
      </c>
      <c r="T77"/>
    </row>
    <row r="78" spans="1:36" x14ac:dyDescent="0.3">
      <c r="A78" s="3">
        <v>39904</v>
      </c>
      <c r="B78" s="38">
        <v>86741668</v>
      </c>
      <c r="C78" s="97">
        <v>313.8</v>
      </c>
      <c r="D78" s="97">
        <v>0</v>
      </c>
      <c r="E78" s="103">
        <f>+'Economic Indices'!P40</f>
        <v>8.8000000000000009E-2</v>
      </c>
      <c r="F78" s="10">
        <v>30</v>
      </c>
      <c r="G78" s="10">
        <v>1</v>
      </c>
      <c r="H78" s="10">
        <f t="shared" si="6"/>
        <v>88172019.142679647</v>
      </c>
      <c r="I78" s="36">
        <f t="shared" si="7"/>
        <v>1430351.1426796466</v>
      </c>
      <c r="J78" s="5">
        <f t="shared" si="5"/>
        <v>1.6489781389489151E-2</v>
      </c>
      <c r="T78"/>
    </row>
    <row r="79" spans="1:36" x14ac:dyDescent="0.3">
      <c r="A79" s="3">
        <v>39934</v>
      </c>
      <c r="B79" s="38">
        <v>80591893.384615391</v>
      </c>
      <c r="C79" s="97">
        <v>170.1</v>
      </c>
      <c r="D79" s="97">
        <v>0</v>
      </c>
      <c r="E79" s="103">
        <f>+E78</f>
        <v>8.8000000000000009E-2</v>
      </c>
      <c r="F79" s="10">
        <v>31</v>
      </c>
      <c r="G79" s="10">
        <v>1</v>
      </c>
      <c r="H79" s="10">
        <f t="shared" si="6"/>
        <v>85138397.857608929</v>
      </c>
      <c r="I79" s="36">
        <f t="shared" si="7"/>
        <v>4546504.4729935378</v>
      </c>
      <c r="J79" s="5">
        <f t="shared" si="5"/>
        <v>5.6413918100867495E-2</v>
      </c>
      <c r="T79"/>
    </row>
    <row r="80" spans="1:36" x14ac:dyDescent="0.3">
      <c r="A80" s="3">
        <v>39965</v>
      </c>
      <c r="B80" s="38">
        <v>84198050.923076928</v>
      </c>
      <c r="C80" s="97">
        <v>57.9</v>
      </c>
      <c r="D80" s="97">
        <v>26.3</v>
      </c>
      <c r="E80" s="103">
        <f>+E79</f>
        <v>8.8000000000000009E-2</v>
      </c>
      <c r="F80" s="10">
        <v>30</v>
      </c>
      <c r="G80" s="10">
        <v>0</v>
      </c>
      <c r="H80" s="10">
        <f t="shared" si="6"/>
        <v>88605695.796504632</v>
      </c>
      <c r="I80" s="36">
        <f t="shared" si="7"/>
        <v>4407644.873427704</v>
      </c>
      <c r="J80" s="5">
        <f t="shared" si="5"/>
        <v>5.2348538061225601E-2</v>
      </c>
      <c r="T80"/>
    </row>
    <row r="81" spans="1:20" x14ac:dyDescent="0.3">
      <c r="A81" s="3">
        <v>39995</v>
      </c>
      <c r="B81" s="38">
        <v>87831701.059230775</v>
      </c>
      <c r="C81" s="97">
        <v>16.8</v>
      </c>
      <c r="D81" s="97">
        <v>25.6</v>
      </c>
      <c r="E81" s="103">
        <f>+'Economic Indices'!P41</f>
        <v>9.5000000000000001E-2</v>
      </c>
      <c r="F81" s="10">
        <v>31</v>
      </c>
      <c r="G81" s="10">
        <v>0</v>
      </c>
      <c r="H81" s="10">
        <f t="shared" si="6"/>
        <v>88792163.118976027</v>
      </c>
      <c r="I81" s="36">
        <f t="shared" si="7"/>
        <v>960462.05974525213</v>
      </c>
      <c r="J81" s="5">
        <f t="shared" si="5"/>
        <v>1.0935255131829321E-2</v>
      </c>
      <c r="T81"/>
    </row>
    <row r="82" spans="1:20" x14ac:dyDescent="0.3">
      <c r="A82" s="3">
        <v>40026</v>
      </c>
      <c r="B82" s="38">
        <v>97879755</v>
      </c>
      <c r="C82" s="97">
        <v>13.1</v>
      </c>
      <c r="D82" s="97">
        <v>77.7</v>
      </c>
      <c r="E82" s="103">
        <f>+E81</f>
        <v>9.5000000000000001E-2</v>
      </c>
      <c r="F82" s="10">
        <v>31</v>
      </c>
      <c r="G82" s="10">
        <v>0</v>
      </c>
      <c r="H82" s="10">
        <f t="shared" si="6"/>
        <v>96155305.624373317</v>
      </c>
      <c r="I82" s="36">
        <f t="shared" si="7"/>
        <v>-1724449.3756266832</v>
      </c>
      <c r="J82" s="5">
        <f t="shared" si="5"/>
        <v>-1.7618039354784686E-2</v>
      </c>
      <c r="T82"/>
    </row>
    <row r="83" spans="1:20" x14ac:dyDescent="0.3">
      <c r="A83" s="3">
        <v>40057</v>
      </c>
      <c r="B83" s="38">
        <v>83907661.687692314</v>
      </c>
      <c r="C83" s="97">
        <v>64.8</v>
      </c>
      <c r="D83" s="97">
        <v>9</v>
      </c>
      <c r="E83" s="103">
        <f>+E82</f>
        <v>9.5000000000000001E-2</v>
      </c>
      <c r="F83" s="10">
        <v>30</v>
      </c>
      <c r="G83" s="10">
        <v>1</v>
      </c>
      <c r="H83" s="10">
        <f t="shared" si="6"/>
        <v>78493192.847960621</v>
      </c>
      <c r="I83" s="36">
        <f t="shared" si="7"/>
        <v>-5414468.8397316933</v>
      </c>
      <c r="J83" s="5">
        <f t="shared" si="5"/>
        <v>-6.4528896775655167E-2</v>
      </c>
      <c r="T83"/>
    </row>
    <row r="84" spans="1:20" x14ac:dyDescent="0.3">
      <c r="A84" s="3">
        <v>40087</v>
      </c>
      <c r="B84" s="38">
        <v>88097164.336923078</v>
      </c>
      <c r="C84" s="97">
        <v>287.89999999999998</v>
      </c>
      <c r="D84" s="97">
        <v>0</v>
      </c>
      <c r="E84" s="103">
        <f>+'Economic Indices'!P42</f>
        <v>0.1</v>
      </c>
      <c r="F84" s="10">
        <v>31</v>
      </c>
      <c r="G84" s="10">
        <v>1</v>
      </c>
      <c r="H84" s="10">
        <f t="shared" si="6"/>
        <v>88469554.420679748</v>
      </c>
      <c r="I84" s="36">
        <f t="shared" si="7"/>
        <v>372390.08375667036</v>
      </c>
      <c r="J84" s="5">
        <f t="shared" si="5"/>
        <v>4.2270382544037808E-3</v>
      </c>
      <c r="T84"/>
    </row>
    <row r="85" spans="1:20" x14ac:dyDescent="0.3">
      <c r="A85" s="3">
        <v>40118</v>
      </c>
      <c r="B85" s="38">
        <v>89873866.688461557</v>
      </c>
      <c r="C85" s="97">
        <v>347.4</v>
      </c>
      <c r="D85" s="97">
        <v>0</v>
      </c>
      <c r="E85" s="103">
        <f>+E84</f>
        <v>0.1</v>
      </c>
      <c r="F85" s="10">
        <v>30</v>
      </c>
      <c r="G85" s="10">
        <v>1</v>
      </c>
      <c r="H85" s="10">
        <f t="shared" si="6"/>
        <v>88079185.901233047</v>
      </c>
      <c r="I85" s="36">
        <f t="shared" si="7"/>
        <v>-1794680.7872285098</v>
      </c>
      <c r="J85" s="5">
        <f t="shared" si="5"/>
        <v>-1.9968883651680244E-2</v>
      </c>
      <c r="T85"/>
    </row>
    <row r="86" spans="1:20" s="31" customFormat="1" x14ac:dyDescent="0.3">
      <c r="A86" s="3">
        <v>40148</v>
      </c>
      <c r="B86" s="38">
        <v>109709991.43076923</v>
      </c>
      <c r="C86" s="97">
        <v>619.1</v>
      </c>
      <c r="D86" s="97">
        <v>0</v>
      </c>
      <c r="E86" s="103">
        <f>+E85</f>
        <v>0.1</v>
      </c>
      <c r="F86" s="10">
        <v>31</v>
      </c>
      <c r="G86" s="10">
        <v>0</v>
      </c>
      <c r="H86" s="10">
        <f t="shared" si="6"/>
        <v>108984775.1043752</v>
      </c>
      <c r="I86" s="36">
        <f t="shared" si="7"/>
        <v>-725216.32639403641</v>
      </c>
      <c r="J86" s="5">
        <f t="shared" si="5"/>
        <v>-6.6103033728853473E-3</v>
      </c>
      <c r="K86"/>
      <c r="L86"/>
      <c r="M86"/>
      <c r="N86"/>
      <c r="O86"/>
      <c r="P86"/>
      <c r="Q86"/>
      <c r="R86"/>
      <c r="S86"/>
      <c r="T86"/>
    </row>
    <row r="87" spans="1:20" x14ac:dyDescent="0.3">
      <c r="A87" s="3">
        <v>40179</v>
      </c>
      <c r="B87" s="38">
        <v>114148404.02769232</v>
      </c>
      <c r="C87" s="97">
        <v>699.9</v>
      </c>
      <c r="D87" s="97">
        <v>0</v>
      </c>
      <c r="E87" s="103">
        <f>+'Economic Indices'!P43</f>
        <v>0.10300000000000001</v>
      </c>
      <c r="F87" s="10">
        <v>31</v>
      </c>
      <c r="G87" s="10">
        <v>0</v>
      </c>
      <c r="H87" s="10">
        <f t="shared" si="6"/>
        <v>111905710.04635394</v>
      </c>
      <c r="I87" s="36">
        <f t="shared" si="7"/>
        <v>-2242693.9813383818</v>
      </c>
      <c r="J87" s="5">
        <f t="shared" si="5"/>
        <v>-1.9647177728339557E-2</v>
      </c>
      <c r="T87"/>
    </row>
    <row r="88" spans="1:20" x14ac:dyDescent="0.3">
      <c r="A88" s="3">
        <v>40210</v>
      </c>
      <c r="B88" s="38">
        <v>100280891.65769231</v>
      </c>
      <c r="C88" s="97">
        <v>583.79999999999995</v>
      </c>
      <c r="D88" s="97">
        <v>0</v>
      </c>
      <c r="E88" s="103">
        <f>+E87</f>
        <v>0.10300000000000001</v>
      </c>
      <c r="F88" s="10">
        <v>28</v>
      </c>
      <c r="G88" s="10">
        <v>0</v>
      </c>
      <c r="H88" s="10">
        <f t="shared" si="6"/>
        <v>98754706.668407798</v>
      </c>
      <c r="I88" s="36">
        <f t="shared" si="7"/>
        <v>-1526184.9892845154</v>
      </c>
      <c r="J88" s="5">
        <f t="shared" si="5"/>
        <v>-1.5219100708578964E-2</v>
      </c>
      <c r="T88"/>
    </row>
    <row r="89" spans="1:20" x14ac:dyDescent="0.3">
      <c r="A89" s="3">
        <v>40238</v>
      </c>
      <c r="B89" s="38">
        <v>95443611.384615391</v>
      </c>
      <c r="C89" s="97">
        <v>411</v>
      </c>
      <c r="D89" s="97">
        <v>0</v>
      </c>
      <c r="E89" s="103">
        <f>+E88</f>
        <v>0.10300000000000001</v>
      </c>
      <c r="F89" s="10">
        <v>31</v>
      </c>
      <c r="G89" s="10">
        <v>1</v>
      </c>
      <c r="H89" s="10">
        <f t="shared" si="6"/>
        <v>93110617.257326975</v>
      </c>
      <c r="I89" s="36">
        <f t="shared" si="7"/>
        <v>-2332994.127288416</v>
      </c>
      <c r="J89" s="5">
        <f t="shared" si="5"/>
        <v>-2.4443690818518972E-2</v>
      </c>
      <c r="T89"/>
    </row>
    <row r="90" spans="1:20" x14ac:dyDescent="0.3">
      <c r="A90" s="3">
        <v>40269</v>
      </c>
      <c r="B90" s="38">
        <v>80941805.90538463</v>
      </c>
      <c r="C90" s="97">
        <v>244</v>
      </c>
      <c r="D90" s="97">
        <v>0</v>
      </c>
      <c r="E90" s="103">
        <f>+'Economic Indices'!P44</f>
        <v>9.9000000000000005E-2</v>
      </c>
      <c r="F90" s="10">
        <v>30</v>
      </c>
      <c r="G90" s="10">
        <v>1</v>
      </c>
      <c r="H90" s="10">
        <f t="shared" si="6"/>
        <v>83996026.822567567</v>
      </c>
      <c r="I90" s="36">
        <f t="shared" si="7"/>
        <v>3054220.9171829373</v>
      </c>
      <c r="J90" s="5">
        <f t="shared" si="5"/>
        <v>3.7733540573002662E-2</v>
      </c>
      <c r="T90"/>
    </row>
    <row r="91" spans="1:20" x14ac:dyDescent="0.3">
      <c r="A91" s="3">
        <v>40299</v>
      </c>
      <c r="B91" s="38">
        <v>87418768.25846155</v>
      </c>
      <c r="C91" s="97">
        <v>121.7</v>
      </c>
      <c r="D91" s="97">
        <v>23.2</v>
      </c>
      <c r="E91" s="103">
        <f>+E90</f>
        <v>9.9000000000000005E-2</v>
      </c>
      <c r="F91" s="10">
        <v>31</v>
      </c>
      <c r="G91" s="10">
        <v>1</v>
      </c>
      <c r="H91" s="10">
        <f t="shared" si="6"/>
        <v>85178424.333164722</v>
      </c>
      <c r="I91" s="36">
        <f t="shared" si="7"/>
        <v>-2240343.9252968282</v>
      </c>
      <c r="J91" s="5">
        <f t="shared" si="5"/>
        <v>-2.562772239793001E-2</v>
      </c>
      <c r="T91"/>
    </row>
    <row r="92" spans="1:20" x14ac:dyDescent="0.3">
      <c r="A92" s="3">
        <v>40330</v>
      </c>
      <c r="B92" s="38">
        <v>89087288.937692314</v>
      </c>
      <c r="C92" s="97">
        <v>19.399999999999999</v>
      </c>
      <c r="D92" s="97">
        <v>46.6</v>
      </c>
      <c r="E92" s="103">
        <f>+E91</f>
        <v>9.9000000000000005E-2</v>
      </c>
      <c r="F92" s="10">
        <v>30</v>
      </c>
      <c r="G92" s="10">
        <v>0</v>
      </c>
      <c r="H92" s="10">
        <f t="shared" si="6"/>
        <v>88630081.820366845</v>
      </c>
      <c r="I92" s="36">
        <f t="shared" si="7"/>
        <v>-457207.11732546985</v>
      </c>
      <c r="J92" s="5">
        <f t="shared" si="5"/>
        <v>-5.1321251637283594E-3</v>
      </c>
      <c r="T92"/>
    </row>
    <row r="93" spans="1:20" x14ac:dyDescent="0.3">
      <c r="A93" s="3">
        <v>40360</v>
      </c>
      <c r="B93" s="38">
        <v>107904059.08</v>
      </c>
      <c r="C93" s="97">
        <v>3.5</v>
      </c>
      <c r="D93" s="97">
        <v>124</v>
      </c>
      <c r="E93" s="103">
        <f>+'Economic Indices'!P45</f>
        <v>0.10099999999999999</v>
      </c>
      <c r="F93" s="10">
        <v>31</v>
      </c>
      <c r="G93" s="10">
        <v>0</v>
      </c>
      <c r="H93" s="10">
        <f t="shared" si="6"/>
        <v>101712489.71858193</v>
      </c>
      <c r="I93" s="36">
        <f t="shared" si="7"/>
        <v>-6191569.3614180684</v>
      </c>
      <c r="J93" s="5">
        <f t="shared" si="5"/>
        <v>-5.7380319278143584E-2</v>
      </c>
      <c r="T93"/>
    </row>
    <row r="94" spans="1:20" x14ac:dyDescent="0.3">
      <c r="A94" s="3">
        <v>40391</v>
      </c>
      <c r="B94" s="38">
        <v>102274426.19461538</v>
      </c>
      <c r="C94" s="97">
        <v>3.2</v>
      </c>
      <c r="D94" s="97">
        <v>96.8</v>
      </c>
      <c r="E94" s="103">
        <f>+E93</f>
        <v>0.10099999999999999</v>
      </c>
      <c r="F94" s="10">
        <v>31</v>
      </c>
      <c r="G94" s="10">
        <v>0</v>
      </c>
      <c r="H94" s="10">
        <f t="shared" si="6"/>
        <v>97777641.517349064</v>
      </c>
      <c r="I94" s="36">
        <f t="shared" si="7"/>
        <v>-4496784.6772663146</v>
      </c>
      <c r="J94" s="5">
        <f t="shared" ref="J94:J125" si="8">I94/B94</f>
        <v>-4.3967830909258765E-2</v>
      </c>
      <c r="T94"/>
    </row>
    <row r="95" spans="1:20" x14ac:dyDescent="0.3">
      <c r="A95" s="3">
        <v>40422</v>
      </c>
      <c r="B95" s="38">
        <v>83491002.500769228</v>
      </c>
      <c r="C95" s="97">
        <v>85.5</v>
      </c>
      <c r="D95" s="97">
        <v>18.5</v>
      </c>
      <c r="E95" s="103">
        <f>+E94</f>
        <v>0.10099999999999999</v>
      </c>
      <c r="F95" s="10">
        <v>30</v>
      </c>
      <c r="G95" s="10">
        <v>1</v>
      </c>
      <c r="H95" s="10">
        <f t="shared" si="6"/>
        <v>79975412.328120425</v>
      </c>
      <c r="I95" s="36">
        <f t="shared" si="7"/>
        <v>-3515590.1726488024</v>
      </c>
      <c r="J95" s="5">
        <f t="shared" si="8"/>
        <v>-4.2107413581678008E-2</v>
      </c>
      <c r="T95"/>
    </row>
    <row r="96" spans="1:20" x14ac:dyDescent="0.3">
      <c r="A96" s="3">
        <v>40452</v>
      </c>
      <c r="B96" s="38">
        <v>84900189.230769232</v>
      </c>
      <c r="C96" s="97">
        <v>247.8</v>
      </c>
      <c r="D96" s="97">
        <v>0</v>
      </c>
      <c r="E96" s="103">
        <f>+'Economic Indices'!P46</f>
        <v>9.3000000000000013E-2</v>
      </c>
      <c r="F96" s="10">
        <v>31</v>
      </c>
      <c r="G96" s="10">
        <v>1</v>
      </c>
      <c r="H96" s="10">
        <f t="shared" si="6"/>
        <v>87690075.422854468</v>
      </c>
      <c r="I96" s="36">
        <f t="shared" si="7"/>
        <v>2789886.1920852363</v>
      </c>
      <c r="J96" s="5">
        <f t="shared" si="8"/>
        <v>3.2860777076738665E-2</v>
      </c>
      <c r="T96"/>
    </row>
    <row r="97" spans="1:20" x14ac:dyDescent="0.3">
      <c r="A97" s="3">
        <v>40483</v>
      </c>
      <c r="B97" s="38">
        <v>91736751.63692309</v>
      </c>
      <c r="C97" s="97">
        <v>389.2</v>
      </c>
      <c r="D97" s="97">
        <v>0</v>
      </c>
      <c r="E97" s="103">
        <f>+E96</f>
        <v>9.3000000000000013E-2</v>
      </c>
      <c r="F97" s="10">
        <v>30</v>
      </c>
      <c r="G97" s="10">
        <v>1</v>
      </c>
      <c r="H97" s="10">
        <f t="shared" si="6"/>
        <v>90630167.295212716</v>
      </c>
      <c r="I97" s="36">
        <f t="shared" si="7"/>
        <v>-1106584.3417103738</v>
      </c>
      <c r="J97" s="5">
        <f t="shared" si="8"/>
        <v>-1.2062606555876621E-2</v>
      </c>
      <c r="T97"/>
    </row>
    <row r="98" spans="1:20" x14ac:dyDescent="0.3">
      <c r="A98" s="3">
        <v>40513</v>
      </c>
      <c r="B98" s="38">
        <v>110862133</v>
      </c>
      <c r="C98" s="97">
        <v>628.70000000000005</v>
      </c>
      <c r="D98" s="97">
        <v>0</v>
      </c>
      <c r="E98" s="103">
        <f>+E97</f>
        <v>9.3000000000000013E-2</v>
      </c>
      <c r="F98" s="10">
        <v>31</v>
      </c>
      <c r="G98" s="10">
        <v>0</v>
      </c>
      <c r="H98" s="10">
        <f t="shared" si="6"/>
        <v>110226344.72038026</v>
      </c>
      <c r="I98" s="36">
        <f t="shared" si="7"/>
        <v>-635788.27961973846</v>
      </c>
      <c r="J98" s="5">
        <f t="shared" si="8"/>
        <v>-5.7349453994335331E-3</v>
      </c>
      <c r="T98"/>
    </row>
    <row r="99" spans="1:20" x14ac:dyDescent="0.3">
      <c r="A99" s="3">
        <v>40544</v>
      </c>
      <c r="B99" s="105">
        <v>113644387.32076925</v>
      </c>
      <c r="C99" s="175">
        <v>760.9</v>
      </c>
      <c r="D99" s="175">
        <v>0</v>
      </c>
      <c r="E99" s="103">
        <f>+'Economic Indices'!P47</f>
        <v>8.8000000000000009E-2</v>
      </c>
      <c r="F99" s="47">
        <v>31</v>
      </c>
      <c r="G99" s="10">
        <v>0</v>
      </c>
      <c r="H99" s="10">
        <f t="shared" si="6"/>
        <v>116210242.6891989</v>
      </c>
      <c r="I99" s="36">
        <f t="shared" ref="I99:I130" si="9">H99-B99</f>
        <v>2565855.3684296459</v>
      </c>
      <c r="J99" s="5">
        <f t="shared" si="8"/>
        <v>2.2577933049938836E-2</v>
      </c>
      <c r="T99"/>
    </row>
    <row r="100" spans="1:20" x14ac:dyDescent="0.3">
      <c r="A100" s="3">
        <v>40575</v>
      </c>
      <c r="B100" s="105">
        <v>100561048.38461539</v>
      </c>
      <c r="C100" s="175">
        <v>634.19999999999993</v>
      </c>
      <c r="D100" s="175">
        <v>0</v>
      </c>
      <c r="E100" s="103">
        <f>+E99</f>
        <v>8.8000000000000009E-2</v>
      </c>
      <c r="F100" s="47">
        <v>28</v>
      </c>
      <c r="G100" s="10">
        <v>0</v>
      </c>
      <c r="H100" s="10">
        <f t="shared" si="6"/>
        <v>102628190.71353441</v>
      </c>
      <c r="I100" s="36">
        <f t="shared" si="9"/>
        <v>2067142.3289190233</v>
      </c>
      <c r="J100" s="5">
        <f t="shared" si="8"/>
        <v>2.0556093657783214E-2</v>
      </c>
      <c r="T100"/>
    </row>
    <row r="101" spans="1:20" x14ac:dyDescent="0.3">
      <c r="A101" s="3">
        <v>40603</v>
      </c>
      <c r="B101" s="105">
        <v>102613396.81846155</v>
      </c>
      <c r="C101" s="175">
        <v>559.80000000000007</v>
      </c>
      <c r="D101" s="175">
        <v>0</v>
      </c>
      <c r="E101" s="103">
        <f>+E100</f>
        <v>8.8000000000000009E-2</v>
      </c>
      <c r="F101" s="47">
        <v>31</v>
      </c>
      <c r="G101" s="10">
        <v>1</v>
      </c>
      <c r="H101" s="10">
        <f t="shared" si="6"/>
        <v>100985533.56806539</v>
      </c>
      <c r="I101" s="36">
        <f t="shared" si="9"/>
        <v>-1627863.2503961623</v>
      </c>
      <c r="J101" s="5">
        <f t="shared" si="8"/>
        <v>-1.5864042131614606E-2</v>
      </c>
      <c r="T101"/>
    </row>
    <row r="102" spans="1:20" x14ac:dyDescent="0.3">
      <c r="A102" s="3">
        <v>40634</v>
      </c>
      <c r="B102" s="105">
        <v>87015565.163076922</v>
      </c>
      <c r="C102" s="175">
        <v>350.79999999999995</v>
      </c>
      <c r="D102" s="175">
        <v>0</v>
      </c>
      <c r="E102" s="103">
        <f>+'Economic Indices'!P48</f>
        <v>9.0999999999999998E-2</v>
      </c>
      <c r="F102" s="47">
        <v>30</v>
      </c>
      <c r="G102" s="10">
        <v>1</v>
      </c>
      <c r="H102" s="10">
        <f t="shared" si="6"/>
        <v>89311828.746916547</v>
      </c>
      <c r="I102" s="36">
        <f t="shared" si="9"/>
        <v>2296263.5838396251</v>
      </c>
      <c r="J102" s="5">
        <f t="shared" si="8"/>
        <v>2.6389113022896187E-2</v>
      </c>
      <c r="T102"/>
    </row>
    <row r="103" spans="1:20" x14ac:dyDescent="0.3">
      <c r="A103" s="3">
        <v>40664</v>
      </c>
      <c r="B103" s="105">
        <v>82921009.75</v>
      </c>
      <c r="C103" s="175">
        <v>157.69999999999996</v>
      </c>
      <c r="D103" s="175">
        <v>2.8</v>
      </c>
      <c r="E103" s="103">
        <f>+E102</f>
        <v>9.0999999999999998E-2</v>
      </c>
      <c r="F103" s="47">
        <v>31</v>
      </c>
      <c r="G103" s="10">
        <v>1</v>
      </c>
      <c r="H103" s="10">
        <f t="shared" si="6"/>
        <v>84673160.409987912</v>
      </c>
      <c r="I103" s="36">
        <f t="shared" si="9"/>
        <v>1752150.6599879116</v>
      </c>
      <c r="J103" s="5">
        <f t="shared" si="8"/>
        <v>2.1130358461269361E-2</v>
      </c>
      <c r="T103"/>
    </row>
    <row r="104" spans="1:20" x14ac:dyDescent="0.3">
      <c r="A104" s="3">
        <v>40695</v>
      </c>
      <c r="B104" s="105">
        <v>88149132.009230778</v>
      </c>
      <c r="C104" s="175">
        <v>26.699999999999996</v>
      </c>
      <c r="D104" s="175">
        <v>36.900000000000006</v>
      </c>
      <c r="E104" s="103">
        <f>+E103</f>
        <v>9.0999999999999998E-2</v>
      </c>
      <c r="F104" s="47">
        <v>30</v>
      </c>
      <c r="G104" s="10">
        <v>0</v>
      </c>
      <c r="H104" s="10">
        <f t="shared" si="6"/>
        <v>88500834.26671803</v>
      </c>
      <c r="I104" s="36">
        <f t="shared" si="9"/>
        <v>351702.25748725235</v>
      </c>
      <c r="J104" s="5">
        <f t="shared" si="8"/>
        <v>3.9898550271649062E-3</v>
      </c>
      <c r="T104"/>
    </row>
    <row r="105" spans="1:20" x14ac:dyDescent="0.3">
      <c r="A105" s="3">
        <v>40725</v>
      </c>
      <c r="B105" s="105">
        <v>108927664.71923079</v>
      </c>
      <c r="C105" s="175">
        <v>0.2</v>
      </c>
      <c r="D105" s="175">
        <v>141.19999999999999</v>
      </c>
      <c r="E105" s="103">
        <f>+'Economic Indices'!P49</f>
        <v>7.2999999999999995E-2</v>
      </c>
      <c r="F105" s="47">
        <v>31</v>
      </c>
      <c r="G105" s="10">
        <v>0</v>
      </c>
      <c r="H105" s="10">
        <f t="shared" si="6"/>
        <v>107463537.71578926</v>
      </c>
      <c r="I105" s="36">
        <f t="shared" si="9"/>
        <v>-1464127.0034415275</v>
      </c>
      <c r="J105" s="5">
        <f t="shared" si="8"/>
        <v>-1.3441277816938648E-2</v>
      </c>
      <c r="T105"/>
    </row>
    <row r="106" spans="1:20" x14ac:dyDescent="0.3">
      <c r="A106" s="3">
        <v>40756</v>
      </c>
      <c r="B106" s="105">
        <v>100307973.92692308</v>
      </c>
      <c r="C106" s="175">
        <v>3.7</v>
      </c>
      <c r="D106" s="175">
        <v>80.499999999999957</v>
      </c>
      <c r="E106" s="103">
        <f>+E105</f>
        <v>7.2999999999999995E-2</v>
      </c>
      <c r="F106" s="47">
        <v>31</v>
      </c>
      <c r="G106" s="10">
        <v>0</v>
      </c>
      <c r="H106" s="10">
        <f t="shared" si="6"/>
        <v>98852012.992669076</v>
      </c>
      <c r="I106" s="36">
        <f t="shared" si="9"/>
        <v>-1455960.9342540056</v>
      </c>
      <c r="J106" s="5">
        <f t="shared" si="8"/>
        <v>-1.4514907212807531E-2</v>
      </c>
      <c r="T106"/>
    </row>
    <row r="107" spans="1:20" x14ac:dyDescent="0.3">
      <c r="A107" s="3">
        <v>40787</v>
      </c>
      <c r="B107" s="105">
        <v>85805170.040769234</v>
      </c>
      <c r="C107" s="175">
        <v>48.900000000000006</v>
      </c>
      <c r="D107" s="175">
        <v>34.6</v>
      </c>
      <c r="E107" s="103">
        <f>+E106</f>
        <v>7.2999999999999995E-2</v>
      </c>
      <c r="F107" s="47">
        <v>30</v>
      </c>
      <c r="G107" s="10">
        <v>1</v>
      </c>
      <c r="H107" s="10">
        <f t="shared" si="6"/>
        <v>84213680.560280249</v>
      </c>
      <c r="I107" s="36">
        <f t="shared" si="9"/>
        <v>-1591489.4804889858</v>
      </c>
      <c r="J107" s="5">
        <f t="shared" si="8"/>
        <v>-1.8547710816642048E-2</v>
      </c>
      <c r="T107"/>
    </row>
    <row r="108" spans="1:20" x14ac:dyDescent="0.3">
      <c r="A108" s="3">
        <v>40817</v>
      </c>
      <c r="B108" s="105">
        <v>85767949.723076925</v>
      </c>
      <c r="C108" s="175">
        <v>225.29999999999998</v>
      </c>
      <c r="D108" s="175">
        <v>0</v>
      </c>
      <c r="E108" s="103">
        <f>+'Economic Indices'!P50</f>
        <v>7.400000000000001E-2</v>
      </c>
      <c r="F108" s="47">
        <v>31</v>
      </c>
      <c r="G108" s="10">
        <v>1</v>
      </c>
      <c r="H108" s="10">
        <f t="shared" si="6"/>
        <v>89085475.723379478</v>
      </c>
      <c r="I108" s="36">
        <f t="shared" si="9"/>
        <v>3317526.0003025532</v>
      </c>
      <c r="J108" s="5">
        <f t="shared" si="8"/>
        <v>3.868025306672257E-2</v>
      </c>
      <c r="T108"/>
    </row>
    <row r="109" spans="1:20" x14ac:dyDescent="0.3">
      <c r="A109" s="3">
        <v>40848</v>
      </c>
      <c r="B109" s="105">
        <v>89407468.154615387</v>
      </c>
      <c r="C109" s="175">
        <v>349.69999999999993</v>
      </c>
      <c r="D109" s="175">
        <v>0</v>
      </c>
      <c r="E109" s="103">
        <f>+E108</f>
        <v>7.400000000000001E-2</v>
      </c>
      <c r="F109" s="47">
        <v>30</v>
      </c>
      <c r="G109" s="10">
        <v>1</v>
      </c>
      <c r="H109" s="10">
        <f t="shared" si="6"/>
        <v>91334263.240906402</v>
      </c>
      <c r="I109" s="36">
        <f t="shared" si="9"/>
        <v>1926795.0862910151</v>
      </c>
      <c r="J109" s="5">
        <f t="shared" si="8"/>
        <v>2.1550717474282378E-2</v>
      </c>
      <c r="T109"/>
    </row>
    <row r="110" spans="1:20" x14ac:dyDescent="0.3">
      <c r="A110" s="3">
        <v>40878</v>
      </c>
      <c r="B110" s="105">
        <v>103511621.38461539</v>
      </c>
      <c r="C110" s="175">
        <v>531.20000000000005</v>
      </c>
      <c r="D110" s="175">
        <v>0</v>
      </c>
      <c r="E110" s="103">
        <f>+E109</f>
        <v>7.400000000000001E-2</v>
      </c>
      <c r="F110" s="47">
        <v>31</v>
      </c>
      <c r="G110" s="10">
        <v>0</v>
      </c>
      <c r="H110" s="10">
        <f t="shared" si="6"/>
        <v>108571872.86723775</v>
      </c>
      <c r="I110" s="36">
        <f t="shared" si="9"/>
        <v>5060251.4826223552</v>
      </c>
      <c r="J110" s="5">
        <f t="shared" si="8"/>
        <v>4.8885829580623735E-2</v>
      </c>
      <c r="T110"/>
    </row>
    <row r="111" spans="1:20" x14ac:dyDescent="0.3">
      <c r="A111" s="3">
        <v>40909</v>
      </c>
      <c r="B111" s="105">
        <v>107982172.33461541</v>
      </c>
      <c r="C111" s="175">
        <v>611</v>
      </c>
      <c r="D111" s="175">
        <v>0</v>
      </c>
      <c r="E111" s="103">
        <f>+'Economic Indices'!P51</f>
        <v>7.9000000000000001E-2</v>
      </c>
      <c r="F111" s="10">
        <v>31</v>
      </c>
      <c r="G111" s="10">
        <v>0</v>
      </c>
      <c r="H111" s="10">
        <f t="shared" si="6"/>
        <v>111208946.85278597</v>
      </c>
      <c r="I111" s="36">
        <f t="shared" si="9"/>
        <v>3226774.5181705654</v>
      </c>
      <c r="J111" s="5">
        <f t="shared" si="8"/>
        <v>2.9882474564147766E-2</v>
      </c>
      <c r="T111"/>
    </row>
    <row r="112" spans="1:20" x14ac:dyDescent="0.3">
      <c r="A112" s="3">
        <v>40940</v>
      </c>
      <c r="B112" s="105">
        <v>97310518.529230773</v>
      </c>
      <c r="C112" s="175">
        <v>536.20000000000005</v>
      </c>
      <c r="D112" s="175">
        <v>0</v>
      </c>
      <c r="E112" s="103">
        <f>+E111</f>
        <v>7.9000000000000001E-2</v>
      </c>
      <c r="F112" s="10">
        <v>29</v>
      </c>
      <c r="G112" s="10">
        <v>0</v>
      </c>
      <c r="H112" s="10">
        <f t="shared" si="6"/>
        <v>102547340.16881569</v>
      </c>
      <c r="I112" s="36">
        <f t="shared" si="9"/>
        <v>5236821.6395849138</v>
      </c>
      <c r="J112" s="5">
        <f t="shared" si="8"/>
        <v>5.3815576350174754E-2</v>
      </c>
      <c r="T112"/>
    </row>
    <row r="113" spans="1:20" x14ac:dyDescent="0.3">
      <c r="A113" s="3">
        <v>40969</v>
      </c>
      <c r="B113" s="105">
        <v>92940593.720769227</v>
      </c>
      <c r="C113" s="175">
        <v>399.39999999999992</v>
      </c>
      <c r="D113" s="175">
        <v>0</v>
      </c>
      <c r="E113" s="103">
        <f>+E112</f>
        <v>7.9000000000000001E-2</v>
      </c>
      <c r="F113" s="10">
        <v>31</v>
      </c>
      <c r="G113" s="10">
        <v>1</v>
      </c>
      <c r="H113" s="10">
        <f t="shared" si="6"/>
        <v>95557255.630139008</v>
      </c>
      <c r="I113" s="36">
        <f t="shared" si="9"/>
        <v>2616661.9093697816</v>
      </c>
      <c r="J113" s="5">
        <f t="shared" si="8"/>
        <v>2.8154133781749687E-2</v>
      </c>
      <c r="T113"/>
    </row>
    <row r="114" spans="1:20" x14ac:dyDescent="0.3">
      <c r="A114" s="3">
        <v>41000</v>
      </c>
      <c r="B114" s="105">
        <v>84061512.170000002</v>
      </c>
      <c r="C114" s="175">
        <v>336.89999999999992</v>
      </c>
      <c r="D114" s="175">
        <v>0</v>
      </c>
      <c r="E114" s="103">
        <f>+'Economic Indices'!P52</f>
        <v>8.4000000000000005E-2</v>
      </c>
      <c r="F114" s="10">
        <v>30</v>
      </c>
      <c r="G114" s="10">
        <v>1</v>
      </c>
      <c r="H114" s="10">
        <f t="shared" si="6"/>
        <v>89597771.754772455</v>
      </c>
      <c r="I114" s="36">
        <f t="shared" si="9"/>
        <v>5536259.5847724527</v>
      </c>
      <c r="J114" s="5">
        <f t="shared" si="8"/>
        <v>6.5859624004577941E-2</v>
      </c>
      <c r="T114"/>
    </row>
    <row r="115" spans="1:20" x14ac:dyDescent="0.3">
      <c r="A115" s="3">
        <v>41030</v>
      </c>
      <c r="B115" s="105">
        <v>84298340.921818167</v>
      </c>
      <c r="C115" s="175">
        <v>109.30000000000001</v>
      </c>
      <c r="D115" s="175">
        <v>21.8</v>
      </c>
      <c r="E115" s="103">
        <f>+E114</f>
        <v>8.4000000000000005E-2</v>
      </c>
      <c r="F115" s="10">
        <v>31</v>
      </c>
      <c r="G115" s="10">
        <v>1</v>
      </c>
      <c r="H115" s="10">
        <f t="shared" si="6"/>
        <v>86296247.724941522</v>
      </c>
      <c r="I115" s="36">
        <f t="shared" si="9"/>
        <v>1997906.8031233549</v>
      </c>
      <c r="J115" s="5">
        <f t="shared" si="8"/>
        <v>2.3700428517048726E-2</v>
      </c>
      <c r="T115"/>
    </row>
    <row r="116" spans="1:20" x14ac:dyDescent="0.3">
      <c r="A116" s="3">
        <v>41061</v>
      </c>
      <c r="B116" s="105">
        <v>93187121.853636354</v>
      </c>
      <c r="C116" s="175">
        <v>28.2</v>
      </c>
      <c r="D116" s="175">
        <v>64.3</v>
      </c>
      <c r="E116" s="103">
        <f>+E115</f>
        <v>8.4000000000000005E-2</v>
      </c>
      <c r="F116" s="10">
        <v>30</v>
      </c>
      <c r="G116" s="10">
        <v>0</v>
      </c>
      <c r="H116" s="10">
        <f t="shared" si="6"/>
        <v>93364509.407985032</v>
      </c>
      <c r="I116" s="36">
        <f t="shared" si="9"/>
        <v>177387.5543486774</v>
      </c>
      <c r="J116" s="5">
        <f t="shared" si="8"/>
        <v>1.9035629690043417E-3</v>
      </c>
      <c r="T116"/>
    </row>
    <row r="117" spans="1:20" x14ac:dyDescent="0.3">
      <c r="A117" s="3">
        <v>41091</v>
      </c>
      <c r="B117" s="105">
        <v>110767074.55090907</v>
      </c>
      <c r="C117" s="175">
        <v>0</v>
      </c>
      <c r="D117" s="175">
        <v>155.30000000000001</v>
      </c>
      <c r="E117" s="103">
        <f>+'Economic Indices'!P53</f>
        <v>8.900000000000001E-2</v>
      </c>
      <c r="F117" s="10">
        <v>31</v>
      </c>
      <c r="G117" s="10">
        <v>0</v>
      </c>
      <c r="H117" s="10">
        <f t="shared" si="6"/>
        <v>107543268.63773531</v>
      </c>
      <c r="I117" s="36">
        <f t="shared" si="9"/>
        <v>-3223805.9131737649</v>
      </c>
      <c r="J117" s="5">
        <f t="shared" si="8"/>
        <v>-2.9104369924404645E-2</v>
      </c>
      <c r="K117" s="178"/>
      <c r="T117"/>
    </row>
    <row r="118" spans="1:20" x14ac:dyDescent="0.3">
      <c r="A118" s="3">
        <v>41122</v>
      </c>
      <c r="B118" s="105">
        <v>101373951.59181817</v>
      </c>
      <c r="C118" s="175">
        <v>4.4000000000000004</v>
      </c>
      <c r="D118" s="175">
        <v>102.79999999999998</v>
      </c>
      <c r="E118" s="103">
        <f>+E117</f>
        <v>8.900000000000001E-2</v>
      </c>
      <c r="F118" s="10">
        <v>31</v>
      </c>
      <c r="G118" s="10">
        <v>0</v>
      </c>
      <c r="H118" s="10">
        <f t="shared" si="6"/>
        <v>100150905.59529257</v>
      </c>
      <c r="I118" s="36">
        <f t="shared" si="9"/>
        <v>-1223045.9965256006</v>
      </c>
      <c r="J118" s="5">
        <f t="shared" si="8"/>
        <v>-1.2064696870554979E-2</v>
      </c>
      <c r="K118" s="178"/>
      <c r="T118"/>
    </row>
    <row r="119" spans="1:20" x14ac:dyDescent="0.3">
      <c r="A119" s="3">
        <v>41153</v>
      </c>
      <c r="B119" s="105">
        <v>85023139.218181819</v>
      </c>
      <c r="C119" s="175">
        <v>84</v>
      </c>
      <c r="D119" s="175">
        <v>24.400000000000002</v>
      </c>
      <c r="E119" s="103">
        <f>+E118</f>
        <v>8.900000000000001E-2</v>
      </c>
      <c r="F119" s="10">
        <v>30</v>
      </c>
      <c r="G119" s="10">
        <v>1</v>
      </c>
      <c r="H119" s="10">
        <f t="shared" si="6"/>
        <v>82224459.505911976</v>
      </c>
      <c r="I119" s="36">
        <f t="shared" si="9"/>
        <v>-2798679.7122698426</v>
      </c>
      <c r="J119" s="5">
        <f t="shared" si="8"/>
        <v>-3.2916682893676989E-2</v>
      </c>
      <c r="K119" s="178"/>
      <c r="T119"/>
    </row>
    <row r="120" spans="1:20" x14ac:dyDescent="0.3">
      <c r="A120" s="3">
        <v>41183</v>
      </c>
      <c r="B120" s="105">
        <v>85295690.281818166</v>
      </c>
      <c r="C120" s="175">
        <v>228.99999999999994</v>
      </c>
      <c r="D120" s="175">
        <v>0</v>
      </c>
      <c r="E120" s="103">
        <f>+'Economic Indices'!P54</f>
        <v>9.1999999999999998E-2</v>
      </c>
      <c r="F120" s="10">
        <v>31</v>
      </c>
      <c r="G120" s="10">
        <v>1</v>
      </c>
      <c r="H120" s="10">
        <f t="shared" si="6"/>
        <v>87047172.133525953</v>
      </c>
      <c r="I120" s="36">
        <f t="shared" si="9"/>
        <v>1751481.8517077863</v>
      </c>
      <c r="J120" s="5">
        <f t="shared" si="8"/>
        <v>2.053423620725579E-2</v>
      </c>
      <c r="K120" s="178"/>
      <c r="T120"/>
    </row>
    <row r="121" spans="1:20" x14ac:dyDescent="0.3">
      <c r="A121" s="3">
        <v>41214</v>
      </c>
      <c r="B121" s="105">
        <v>91679199.734545454</v>
      </c>
      <c r="C121" s="175">
        <v>427.89999999999992</v>
      </c>
      <c r="D121" s="175">
        <v>0</v>
      </c>
      <c r="E121" s="103">
        <f>+E120</f>
        <v>9.1999999999999998E-2</v>
      </c>
      <c r="F121" s="10">
        <v>30</v>
      </c>
      <c r="G121" s="10">
        <v>1</v>
      </c>
      <c r="H121" s="10">
        <f t="shared" si="6"/>
        <v>92325499.323695958</v>
      </c>
      <c r="I121" s="36">
        <f t="shared" si="9"/>
        <v>646299.58915050328</v>
      </c>
      <c r="J121" s="5">
        <f t="shared" si="8"/>
        <v>7.0495771235116094E-3</v>
      </c>
      <c r="K121" s="178"/>
      <c r="T121"/>
    </row>
    <row r="122" spans="1:20" x14ac:dyDescent="0.3">
      <c r="A122" s="3">
        <v>41244</v>
      </c>
      <c r="B122" s="105">
        <v>102292637.76363637</v>
      </c>
      <c r="C122" s="175">
        <v>451.09999999999997</v>
      </c>
      <c r="D122" s="175">
        <v>0</v>
      </c>
      <c r="E122" s="103">
        <f>+E121</f>
        <v>9.1999999999999998E-2</v>
      </c>
      <c r="F122" s="10">
        <v>31</v>
      </c>
      <c r="G122" s="10">
        <v>0</v>
      </c>
      <c r="H122" s="10">
        <f t="shared" si="6"/>
        <v>103125845.45768636</v>
      </c>
      <c r="I122" s="36">
        <f t="shared" si="9"/>
        <v>833207.69404999912</v>
      </c>
      <c r="J122" s="5">
        <f t="shared" si="8"/>
        <v>8.1453339386482523E-3</v>
      </c>
      <c r="K122" s="178"/>
      <c r="T122"/>
    </row>
    <row r="123" spans="1:20" x14ac:dyDescent="0.3">
      <c r="A123" s="3">
        <v>41275</v>
      </c>
      <c r="B123" s="105">
        <v>107376383.33333334</v>
      </c>
      <c r="C123" s="175">
        <v>615.40000000000009</v>
      </c>
      <c r="D123" s="175">
        <v>0</v>
      </c>
      <c r="E123" s="103">
        <f>+'Economic Indices'!P55</f>
        <v>8.8000000000000009E-2</v>
      </c>
      <c r="F123" s="47">
        <v>31</v>
      </c>
      <c r="G123" s="10">
        <v>0</v>
      </c>
      <c r="H123" s="10">
        <f t="shared" si="6"/>
        <v>110293490.7110839</v>
      </c>
      <c r="I123" s="36">
        <f t="shared" si="9"/>
        <v>2917107.3777505606</v>
      </c>
      <c r="J123" s="5">
        <f t="shared" si="8"/>
        <v>2.7167122668816782E-2</v>
      </c>
      <c r="K123" s="178"/>
      <c r="T123"/>
    </row>
    <row r="124" spans="1:20" x14ac:dyDescent="0.3">
      <c r="A124" s="3">
        <v>41306</v>
      </c>
      <c r="B124" s="105">
        <v>98702891.666666672</v>
      </c>
      <c r="C124" s="175">
        <v>611.5</v>
      </c>
      <c r="D124" s="175">
        <v>0</v>
      </c>
      <c r="E124" s="103">
        <f>+E123</f>
        <v>8.8000000000000009E-2</v>
      </c>
      <c r="F124" s="47">
        <v>28</v>
      </c>
      <c r="G124" s="10">
        <v>0</v>
      </c>
      <c r="H124" s="10">
        <f t="shared" si="6"/>
        <v>101705096.07502438</v>
      </c>
      <c r="I124" s="36">
        <f t="shared" si="9"/>
        <v>3002204.4083577096</v>
      </c>
      <c r="J124" s="5">
        <f t="shared" si="8"/>
        <v>3.0416580078490199E-2</v>
      </c>
      <c r="K124" s="178"/>
      <c r="T124"/>
    </row>
    <row r="125" spans="1:20" x14ac:dyDescent="0.3">
      <c r="A125" s="3">
        <v>41334</v>
      </c>
      <c r="B125" s="105">
        <v>98851083.333333343</v>
      </c>
      <c r="C125" s="175">
        <v>545</v>
      </c>
      <c r="D125" s="175">
        <v>0</v>
      </c>
      <c r="E125" s="103">
        <f>+E124</f>
        <v>8.8000000000000009E-2</v>
      </c>
      <c r="F125" s="47">
        <v>31</v>
      </c>
      <c r="G125" s="10">
        <v>1</v>
      </c>
      <c r="H125" s="10">
        <f t="shared" si="6"/>
        <v>100383692.12974165</v>
      </c>
      <c r="I125" s="36">
        <f t="shared" si="9"/>
        <v>1532608.7964083105</v>
      </c>
      <c r="J125" s="5">
        <f t="shared" si="8"/>
        <v>1.5504218514634155E-2</v>
      </c>
      <c r="K125" s="178"/>
      <c r="T125"/>
    </row>
    <row r="126" spans="1:20" x14ac:dyDescent="0.3">
      <c r="A126" s="3">
        <v>41365</v>
      </c>
      <c r="B126" s="105">
        <v>87330008.333333343</v>
      </c>
      <c r="C126" s="175">
        <v>366.49999999999994</v>
      </c>
      <c r="D126" s="175">
        <v>0</v>
      </c>
      <c r="E126" s="103">
        <f>+'Economic Indices'!P56</f>
        <v>7.400000000000001E-2</v>
      </c>
      <c r="F126" s="47">
        <v>30</v>
      </c>
      <c r="G126" s="10">
        <v>1</v>
      </c>
      <c r="H126" s="10">
        <f t="shared" si="6"/>
        <v>92017434.60332793</v>
      </c>
      <c r="I126" s="36">
        <f t="shared" si="9"/>
        <v>4687426.2699945867</v>
      </c>
      <c r="J126" s="5">
        <f t="shared" ref="J126:J133" si="10">I126/B126</f>
        <v>5.367486342269618E-2</v>
      </c>
      <c r="K126" s="178"/>
      <c r="T126"/>
    </row>
    <row r="127" spans="1:20" x14ac:dyDescent="0.3">
      <c r="A127" s="3">
        <v>41395</v>
      </c>
      <c r="B127" s="105">
        <v>81913958.333333343</v>
      </c>
      <c r="C127" s="175">
        <v>133.4</v>
      </c>
      <c r="D127" s="175">
        <v>3</v>
      </c>
      <c r="E127" s="103">
        <f>+E126</f>
        <v>7.400000000000001E-2</v>
      </c>
      <c r="F127" s="47">
        <v>31</v>
      </c>
      <c r="G127" s="10">
        <v>1</v>
      </c>
      <c r="H127" s="10">
        <f t="shared" si="6"/>
        <v>85781010.789683133</v>
      </c>
      <c r="I127" s="36">
        <f t="shared" si="9"/>
        <v>3867052.4563497901</v>
      </c>
      <c r="J127" s="5">
        <f t="shared" si="10"/>
        <v>4.7208711860969435E-2</v>
      </c>
      <c r="K127" s="178"/>
      <c r="T127"/>
    </row>
    <row r="128" spans="1:20" x14ac:dyDescent="0.3">
      <c r="A128" s="3">
        <v>41426</v>
      </c>
      <c r="B128" s="105">
        <v>86391933.333333343</v>
      </c>
      <c r="C128" s="175">
        <v>42.900000000000006</v>
      </c>
      <c r="D128" s="175">
        <v>32.200000000000003</v>
      </c>
      <c r="E128" s="103">
        <f>+E127</f>
        <v>7.400000000000001E-2</v>
      </c>
      <c r="F128" s="47">
        <v>30</v>
      </c>
      <c r="G128" s="10">
        <v>0</v>
      </c>
      <c r="H128" s="10">
        <f t="shared" si="6"/>
        <v>90548961.981017634</v>
      </c>
      <c r="I128" s="36">
        <f t="shared" si="9"/>
        <v>4157028.647684291</v>
      </c>
      <c r="J128" s="5">
        <f t="shared" si="10"/>
        <v>4.8118250018145486E-2</v>
      </c>
      <c r="K128" s="178"/>
      <c r="T128"/>
    </row>
    <row r="129" spans="1:20" x14ac:dyDescent="0.3">
      <c r="A129" s="3">
        <v>41456</v>
      </c>
      <c r="B129" s="105">
        <v>104037066.66666667</v>
      </c>
      <c r="C129" s="175">
        <v>4.4000000000000004</v>
      </c>
      <c r="D129" s="175">
        <v>109.99999999999999</v>
      </c>
      <c r="E129" s="103">
        <f>+'Economic Indices'!P57</f>
        <v>6.2E-2</v>
      </c>
      <c r="F129" s="47">
        <v>31</v>
      </c>
      <c r="G129" s="10">
        <v>0</v>
      </c>
      <c r="H129" s="10">
        <f t="shared" si="6"/>
        <v>104472399.70807847</v>
      </c>
      <c r="I129" s="36">
        <f t="shared" si="9"/>
        <v>435333.04141180217</v>
      </c>
      <c r="J129" s="5">
        <f t="shared" si="10"/>
        <v>4.1844032647191335E-3</v>
      </c>
      <c r="K129" s="178"/>
      <c r="T129"/>
    </row>
    <row r="130" spans="1:20" x14ac:dyDescent="0.3">
      <c r="A130" s="3">
        <v>41487</v>
      </c>
      <c r="B130" s="105">
        <v>95663441.666666672</v>
      </c>
      <c r="C130" s="175">
        <v>11</v>
      </c>
      <c r="D130" s="175">
        <v>57.899999999999991</v>
      </c>
      <c r="E130" s="103">
        <f>+E129</f>
        <v>6.2E-2</v>
      </c>
      <c r="F130" s="47">
        <v>31</v>
      </c>
      <c r="G130" s="10">
        <v>0</v>
      </c>
      <c r="H130" s="10">
        <f t="shared" si="6"/>
        <v>97227185.59262301</v>
      </c>
      <c r="I130" s="36">
        <f t="shared" si="9"/>
        <v>1563743.9259563386</v>
      </c>
      <c r="J130" s="5">
        <f t="shared" si="10"/>
        <v>1.6346306370673004E-2</v>
      </c>
      <c r="K130" s="178"/>
      <c r="T130"/>
    </row>
    <row r="131" spans="1:20" x14ac:dyDescent="0.3">
      <c r="A131" s="3">
        <v>41518</v>
      </c>
      <c r="B131" s="105">
        <v>83012108.333333343</v>
      </c>
      <c r="C131" s="175">
        <v>96.600000000000009</v>
      </c>
      <c r="D131" s="175">
        <v>15.700000000000001</v>
      </c>
      <c r="E131" s="103">
        <f>+E130</f>
        <v>6.2E-2</v>
      </c>
      <c r="F131" s="47">
        <v>30</v>
      </c>
      <c r="G131" s="10">
        <v>1</v>
      </c>
      <c r="H131" s="10">
        <f t="shared" ref="H131:H194" si="11">$M$18+C131*$M$19+D131*$M$20+E131*$M$21+F131*$M$22+G131*$M$23</f>
        <v>84765313.223946795</v>
      </c>
      <c r="I131" s="36">
        <f t="shared" ref="I131:I133" si="12">H131-B131</f>
        <v>1753204.8906134516</v>
      </c>
      <c r="J131" s="5">
        <f t="shared" si="10"/>
        <v>2.1119869448123097E-2</v>
      </c>
      <c r="K131" s="178"/>
      <c r="T131"/>
    </row>
    <row r="132" spans="1:20" x14ac:dyDescent="0.3">
      <c r="A132" s="3">
        <v>41548</v>
      </c>
      <c r="B132" s="105">
        <v>84463400.000000015</v>
      </c>
      <c r="C132" s="175">
        <v>221</v>
      </c>
      <c r="D132" s="175">
        <v>3</v>
      </c>
      <c r="E132" s="103">
        <f>+'Economic Indices'!P58</f>
        <v>7.5999999999999998E-2</v>
      </c>
      <c r="F132" s="47">
        <v>31</v>
      </c>
      <c r="G132" s="10">
        <v>1</v>
      </c>
      <c r="H132" s="10">
        <f t="shared" si="11"/>
        <v>89100065.470785186</v>
      </c>
      <c r="I132" s="36">
        <f t="shared" si="12"/>
        <v>4636665.4707851708</v>
      </c>
      <c r="J132" s="5">
        <f t="shared" si="10"/>
        <v>5.4895557966943904E-2</v>
      </c>
      <c r="K132" s="178"/>
      <c r="T132"/>
    </row>
    <row r="133" spans="1:20" x14ac:dyDescent="0.3">
      <c r="A133" s="3">
        <v>41579</v>
      </c>
      <c r="B133" s="105">
        <v>94249183.333333343</v>
      </c>
      <c r="C133" s="175">
        <v>458.6</v>
      </c>
      <c r="D133" s="175">
        <v>0</v>
      </c>
      <c r="E133" s="103">
        <f>+E132</f>
        <v>7.5999999999999998E-2</v>
      </c>
      <c r="F133" s="47">
        <v>30</v>
      </c>
      <c r="G133" s="10">
        <v>1</v>
      </c>
      <c r="H133" s="10">
        <f t="shared" si="11"/>
        <v>95519481.613650039</v>
      </c>
      <c r="I133" s="36">
        <f t="shared" si="12"/>
        <v>1270298.2803166956</v>
      </c>
      <c r="J133" s="5">
        <f t="shared" si="10"/>
        <v>1.3478082625119427E-2</v>
      </c>
      <c r="K133" s="178"/>
      <c r="T133"/>
    </row>
    <row r="134" spans="1:20" x14ac:dyDescent="0.3">
      <c r="A134" s="3">
        <v>41609</v>
      </c>
      <c r="B134" s="105">
        <v>108415583.33333334</v>
      </c>
      <c r="C134" s="175">
        <v>472.8</v>
      </c>
      <c r="D134" s="175">
        <f ca="1">(+D122/SUM(D$122:D$133))*Trends!C$20</f>
        <v>0</v>
      </c>
      <c r="E134" s="103">
        <f>+E133</f>
        <v>7.5999999999999998E-2</v>
      </c>
      <c r="F134" s="47">
        <v>31</v>
      </c>
      <c r="G134" s="10">
        <v>0</v>
      </c>
      <c r="H134" s="10">
        <f t="shared" ca="1" si="11"/>
        <v>105953843.08920036</v>
      </c>
      <c r="I134" s="36">
        <f t="shared" ref="I134" ca="1" si="13">H134-B134</f>
        <v>-2461740.2441329807</v>
      </c>
      <c r="J134" s="5">
        <f t="shared" ref="J134" ca="1" si="14">I134/B134</f>
        <v>-2.2706516613613944E-2</v>
      </c>
      <c r="K134" s="178"/>
      <c r="T134"/>
    </row>
    <row r="135" spans="1:20" x14ac:dyDescent="0.3">
      <c r="A135" s="3">
        <v>41640</v>
      </c>
      <c r="B135" s="27">
        <v>117702582.33333334</v>
      </c>
      <c r="C135" s="423">
        <v>771.3</v>
      </c>
      <c r="D135" s="423">
        <v>0</v>
      </c>
      <c r="E135" s="103">
        <f>+'Economic Indices'!P59</f>
        <v>7.6999999999999999E-2</v>
      </c>
      <c r="F135" s="47">
        <v>31</v>
      </c>
      <c r="G135" s="10">
        <v>0</v>
      </c>
      <c r="H135" s="10">
        <f t="shared" si="11"/>
        <v>117970736.26360629</v>
      </c>
      <c r="I135" s="36"/>
      <c r="J135" s="5"/>
      <c r="K135" s="178"/>
      <c r="T135"/>
    </row>
    <row r="136" spans="1:20" x14ac:dyDescent="0.3">
      <c r="A136" s="3">
        <v>41671</v>
      </c>
      <c r="B136" s="27">
        <v>101945538.33333334</v>
      </c>
      <c r="C136" s="423">
        <v>690.84999999999991</v>
      </c>
      <c r="D136" s="423">
        <v>0</v>
      </c>
      <c r="E136" s="103">
        <f t="shared" ref="E136:E199" si="15">+E135</f>
        <v>7.6999999999999999E-2</v>
      </c>
      <c r="F136" s="47">
        <v>28</v>
      </c>
      <c r="G136" s="10">
        <v>0</v>
      </c>
      <c r="H136" s="10">
        <f t="shared" si="11"/>
        <v>106269438.78270346</v>
      </c>
      <c r="I136" s="36"/>
      <c r="J136" s="5"/>
      <c r="K136" s="178"/>
      <c r="T136"/>
    </row>
    <row r="137" spans="1:20" x14ac:dyDescent="0.3">
      <c r="A137" s="3">
        <v>41699</v>
      </c>
      <c r="B137" s="27">
        <v>106417935.35000001</v>
      </c>
      <c r="C137" s="423">
        <v>677.95</v>
      </c>
      <c r="D137" s="423">
        <v>0</v>
      </c>
      <c r="E137" s="103">
        <f t="shared" si="15"/>
        <v>7.6999999999999999E-2</v>
      </c>
      <c r="F137" s="47">
        <v>31</v>
      </c>
      <c r="G137" s="10">
        <v>1</v>
      </c>
      <c r="H137" s="10">
        <f t="shared" si="11"/>
        <v>107127676.80324179</v>
      </c>
      <c r="I137" s="36"/>
      <c r="J137" s="5"/>
      <c r="K137" s="178"/>
      <c r="T137"/>
    </row>
    <row r="138" spans="1:20" x14ac:dyDescent="0.3">
      <c r="A138" s="3">
        <v>41730</v>
      </c>
      <c r="B138" s="27">
        <v>86925100.333333343</v>
      </c>
      <c r="C138" s="423">
        <v>371.2999999999999</v>
      </c>
      <c r="D138" s="423">
        <v>0</v>
      </c>
      <c r="E138" s="103">
        <f>+'Economic Indices'!P60</f>
        <v>6.7000000000000004E-2</v>
      </c>
      <c r="F138" s="47">
        <v>30</v>
      </c>
      <c r="G138" s="10">
        <v>1</v>
      </c>
      <c r="H138" s="10">
        <f t="shared" si="11"/>
        <v>93063812.401498273</v>
      </c>
      <c r="I138" s="36"/>
      <c r="J138" s="5"/>
      <c r="K138" s="178"/>
      <c r="T138"/>
    </row>
    <row r="139" spans="1:20" x14ac:dyDescent="0.3">
      <c r="A139" s="3">
        <v>41760</v>
      </c>
      <c r="B139" s="27">
        <v>81755065.176384613</v>
      </c>
      <c r="C139" s="423">
        <v>160.49999999999994</v>
      </c>
      <c r="D139" s="423">
        <v>1.3</v>
      </c>
      <c r="E139" s="103">
        <f t="shared" si="15"/>
        <v>6.7000000000000004E-2</v>
      </c>
      <c r="F139" s="47">
        <v>31</v>
      </c>
      <c r="G139" s="10">
        <v>1</v>
      </c>
      <c r="H139" s="10">
        <f t="shared" si="11"/>
        <v>87489051.697005317</v>
      </c>
      <c r="I139" s="36"/>
      <c r="J139" s="5"/>
      <c r="K139" s="178"/>
      <c r="T139"/>
    </row>
    <row r="140" spans="1:20" x14ac:dyDescent="0.3">
      <c r="A140" s="3">
        <v>41791</v>
      </c>
      <c r="B140" s="27">
        <v>88119245.461538464</v>
      </c>
      <c r="C140" s="423">
        <v>26.9</v>
      </c>
      <c r="D140" s="423">
        <v>40.1</v>
      </c>
      <c r="E140" s="103">
        <f t="shared" si="15"/>
        <v>6.7000000000000004E-2</v>
      </c>
      <c r="F140" s="47">
        <v>30</v>
      </c>
      <c r="G140" s="10">
        <v>0</v>
      </c>
      <c r="H140" s="10">
        <f t="shared" si="11"/>
        <v>91888807.275544524</v>
      </c>
      <c r="I140" s="36"/>
      <c r="J140" s="5"/>
      <c r="K140" s="178"/>
      <c r="T140"/>
    </row>
    <row r="141" spans="1:20" x14ac:dyDescent="0.3">
      <c r="A141" s="3">
        <v>41821</v>
      </c>
      <c r="B141" s="27">
        <v>93045474.15384616</v>
      </c>
      <c r="C141" s="423">
        <v>9.5999999999999979</v>
      </c>
      <c r="D141" s="423">
        <v>54.599999999999994</v>
      </c>
      <c r="E141" s="103">
        <f>+'Economic Indices'!P61</f>
        <v>7.5999999999999998E-2</v>
      </c>
      <c r="F141" s="47">
        <v>31</v>
      </c>
      <c r="G141" s="10">
        <v>0</v>
      </c>
      <c r="H141" s="10">
        <f t="shared" si="11"/>
        <v>94991973.098625958</v>
      </c>
      <c r="I141" s="36"/>
      <c r="J141" s="5"/>
      <c r="K141" s="178"/>
      <c r="T141"/>
    </row>
    <row r="142" spans="1:20" x14ac:dyDescent="0.3">
      <c r="A142" s="3">
        <v>41852</v>
      </c>
      <c r="B142" s="27">
        <v>92680248.923076928</v>
      </c>
      <c r="C142" s="423">
        <v>12.7</v>
      </c>
      <c r="D142" s="423">
        <v>58</v>
      </c>
      <c r="E142" s="103">
        <f t="shared" si="15"/>
        <v>7.5999999999999998E-2</v>
      </c>
      <c r="F142" s="47">
        <v>31</v>
      </c>
      <c r="G142" s="10">
        <v>0</v>
      </c>
      <c r="H142" s="10">
        <f t="shared" si="11"/>
        <v>95608365.570054814</v>
      </c>
      <c r="I142" s="36"/>
      <c r="J142" s="5"/>
      <c r="K142" s="178"/>
      <c r="T142"/>
    </row>
    <row r="143" spans="1:20" x14ac:dyDescent="0.3">
      <c r="A143" s="3">
        <v>41883</v>
      </c>
      <c r="B143" s="27">
        <v>84852396.923076928</v>
      </c>
      <c r="C143" s="423">
        <v>77.400000000000006</v>
      </c>
      <c r="D143" s="423">
        <v>22.5</v>
      </c>
      <c r="E143" s="103">
        <f t="shared" si="15"/>
        <v>7.5999999999999998E-2</v>
      </c>
      <c r="F143" s="47">
        <v>30</v>
      </c>
      <c r="G143" s="10">
        <v>1</v>
      </c>
      <c r="H143" s="10">
        <f t="shared" si="11"/>
        <v>83262836.170091212</v>
      </c>
      <c r="I143" s="36"/>
      <c r="J143" s="5"/>
      <c r="K143" s="178"/>
      <c r="T143"/>
    </row>
    <row r="144" spans="1:20" x14ac:dyDescent="0.3">
      <c r="A144" s="3">
        <v>41913</v>
      </c>
      <c r="B144" s="27">
        <v>84720129.461538464</v>
      </c>
      <c r="C144" s="423">
        <v>216.29999999999998</v>
      </c>
      <c r="D144" s="423">
        <v>0.5</v>
      </c>
      <c r="E144" s="103">
        <f>+'Economic Indices'!P62</f>
        <v>6.9000000000000006E-2</v>
      </c>
      <c r="F144" s="47">
        <v>31</v>
      </c>
      <c r="G144" s="10">
        <v>1</v>
      </c>
      <c r="H144" s="10">
        <f t="shared" si="11"/>
        <v>89399588.563992992</v>
      </c>
      <c r="I144" s="36"/>
      <c r="J144" s="5"/>
      <c r="K144" s="178"/>
      <c r="T144"/>
    </row>
    <row r="145" spans="1:20" x14ac:dyDescent="0.3">
      <c r="A145" s="3">
        <v>41944</v>
      </c>
      <c r="B145" s="27">
        <v>94073964.750000015</v>
      </c>
      <c r="C145" s="423">
        <v>407.30000000000013</v>
      </c>
      <c r="D145" s="423">
        <v>0</v>
      </c>
      <c r="E145" s="103">
        <f t="shared" si="15"/>
        <v>6.9000000000000006E-2</v>
      </c>
      <c r="F145" s="47">
        <v>30</v>
      </c>
      <c r="G145" s="10">
        <v>1</v>
      </c>
      <c r="H145" s="10">
        <f t="shared" si="11"/>
        <v>94284555.040877089</v>
      </c>
      <c r="I145" s="36"/>
      <c r="J145" s="5"/>
      <c r="K145" s="178"/>
      <c r="T145"/>
    </row>
    <row r="146" spans="1:20" x14ac:dyDescent="0.3">
      <c r="A146" s="3">
        <v>41974</v>
      </c>
      <c r="B146" s="27">
        <v>102732461.57384616</v>
      </c>
      <c r="C146" s="423">
        <v>551.79999999999995</v>
      </c>
      <c r="D146" s="423">
        <v>0</v>
      </c>
      <c r="E146" s="103">
        <f t="shared" si="15"/>
        <v>6.9000000000000006E-2</v>
      </c>
      <c r="F146" s="47">
        <v>31</v>
      </c>
      <c r="G146" s="10">
        <v>0</v>
      </c>
      <c r="H146" s="10">
        <f t="shared" si="11"/>
        <v>110017561.07139911</v>
      </c>
      <c r="I146" s="36"/>
      <c r="J146" s="5"/>
      <c r="K146" s="178"/>
      <c r="T146"/>
    </row>
    <row r="147" spans="1:20" x14ac:dyDescent="0.3">
      <c r="A147" s="3">
        <v>42005</v>
      </c>
      <c r="C147" s="98">
        <f>(+C135/SUM(C$135:C$146))*Trends!B$14</f>
        <v>665.29813270224599</v>
      </c>
      <c r="D147" s="98">
        <f ca="1">(+D135/SUM(D$135:D$146))*Trends!C$14</f>
        <v>0</v>
      </c>
      <c r="E147" s="103">
        <f>+'Economic Indices'!P63</f>
        <v>7.4999869999999996E-2</v>
      </c>
      <c r="F147" s="47">
        <v>31</v>
      </c>
      <c r="G147" s="10">
        <v>0</v>
      </c>
      <c r="H147" s="10">
        <f t="shared" ca="1" si="11"/>
        <v>113903386.15495181</v>
      </c>
      <c r="I147" s="36"/>
      <c r="J147" s="5"/>
      <c r="K147" s="178"/>
      <c r="T147"/>
    </row>
    <row r="148" spans="1:20" x14ac:dyDescent="0.3">
      <c r="A148" s="3">
        <v>42036</v>
      </c>
      <c r="C148" s="98">
        <f>(+C136/SUM(C$135:C$146))*Trends!B$14</f>
        <v>595.90459610702271</v>
      </c>
      <c r="D148" s="98">
        <f ca="1">(+D136/SUM(D$135:D$146))*Trends!C$14</f>
        <v>0</v>
      </c>
      <c r="E148" s="103">
        <f t="shared" si="15"/>
        <v>7.4999869999999996E-2</v>
      </c>
      <c r="F148" s="47">
        <v>28</v>
      </c>
      <c r="G148" s="10">
        <v>0</v>
      </c>
      <c r="H148" s="10">
        <f t="shared" ca="1" si="11"/>
        <v>102651699.33879927</v>
      </c>
      <c r="I148" s="36"/>
      <c r="J148" s="5"/>
      <c r="K148" s="178"/>
      <c r="T148"/>
    </row>
    <row r="149" spans="1:20" x14ac:dyDescent="0.3">
      <c r="A149" s="3">
        <v>42064</v>
      </c>
      <c r="C149" s="98">
        <f>(+C137/SUM(C$135:C$146))*Trends!B$14</f>
        <v>584.77747836832327</v>
      </c>
      <c r="D149" s="98">
        <f ca="1">(+D137/SUM(D$135:D$146))*Trends!C$14</f>
        <v>0</v>
      </c>
      <c r="E149" s="103">
        <f t="shared" si="15"/>
        <v>7.4999869999999996E-2</v>
      </c>
      <c r="F149" s="47">
        <v>31</v>
      </c>
      <c r="G149" s="10">
        <v>1</v>
      </c>
      <c r="H149" s="10">
        <f t="shared" ca="1" si="11"/>
        <v>103582031.54921056</v>
      </c>
      <c r="I149" s="36"/>
      <c r="J149" s="5"/>
      <c r="K149" s="178"/>
      <c r="T149"/>
    </row>
    <row r="150" spans="1:20" x14ac:dyDescent="0.3">
      <c r="A150" s="3">
        <v>42095</v>
      </c>
      <c r="C150" s="98">
        <f>(+C138/SUM(C$135:C$146))*Trends!B$14</f>
        <v>320.27122607590286</v>
      </c>
      <c r="D150" s="98">
        <f ca="1">(+D138/SUM(D$135:D$146))*Trends!C$14</f>
        <v>0</v>
      </c>
      <c r="E150" s="103">
        <f>+'Economic Indices'!P64</f>
        <v>7.3999759999999998E-2</v>
      </c>
      <c r="F150" s="47">
        <v>30</v>
      </c>
      <c r="G150" s="10">
        <v>1</v>
      </c>
      <c r="H150" s="10">
        <f t="shared" ca="1" si="11"/>
        <v>90137572.449656665</v>
      </c>
      <c r="I150" s="36"/>
      <c r="J150" s="5"/>
      <c r="K150" s="178"/>
      <c r="T150"/>
    </row>
    <row r="151" spans="1:20" x14ac:dyDescent="0.3">
      <c r="A151" s="3">
        <v>42125</v>
      </c>
      <c r="C151" s="98">
        <f>(+C139/SUM(C$135:C$146))*Trends!B$14</f>
        <v>138.4420462838201</v>
      </c>
      <c r="D151" s="98">
        <f ca="1">(+D139/SUM(D$135:D$146))*Trends!C$14</f>
        <v>1.8457952405410045</v>
      </c>
      <c r="E151" s="103">
        <f t="shared" si="15"/>
        <v>7.3999759999999998E-2</v>
      </c>
      <c r="F151" s="47">
        <v>31</v>
      </c>
      <c r="G151" s="10">
        <v>1</v>
      </c>
      <c r="H151" s="10">
        <f t="shared" ca="1" si="11"/>
        <v>85819620.924358189</v>
      </c>
      <c r="I151" s="36"/>
      <c r="J151" s="5"/>
      <c r="K151" s="178"/>
      <c r="T151"/>
    </row>
    <row r="152" spans="1:20" x14ac:dyDescent="0.3">
      <c r="A152" s="3">
        <v>42156</v>
      </c>
      <c r="C152" s="98">
        <f>(+C140/SUM(C$135:C$146))*Trends!B$14</f>
        <v>23.203059470621568</v>
      </c>
      <c r="D152" s="98">
        <f ca="1">(+D140/SUM(D$135:D$146))*Trends!C$14</f>
        <v>56.93568395822637</v>
      </c>
      <c r="E152" s="103">
        <f t="shared" si="15"/>
        <v>7.3999759999999998E-2</v>
      </c>
      <c r="F152" s="47">
        <v>30</v>
      </c>
      <c r="G152" s="10">
        <v>0</v>
      </c>
      <c r="H152" s="10">
        <f t="shared" ca="1" si="11"/>
        <v>93315273.135521039</v>
      </c>
      <c r="I152" s="36"/>
      <c r="J152" s="5"/>
      <c r="K152" s="178"/>
      <c r="T152"/>
    </row>
    <row r="153" spans="1:20" x14ac:dyDescent="0.3">
      <c r="A153" s="3">
        <v>42186</v>
      </c>
      <c r="C153" s="98">
        <f>(+C141/SUM(C$135:C$146))*Trends!B$14</f>
        <v>8.2806457590322324</v>
      </c>
      <c r="D153" s="98">
        <f ca="1">(+D141/SUM(D$135:D$146))*Trends!C$14</f>
        <v>77.523400102722178</v>
      </c>
      <c r="E153" s="103">
        <f>+'Economic Indices'!P65</f>
        <v>7.4000269999999993E-2</v>
      </c>
      <c r="F153" s="47">
        <v>31</v>
      </c>
      <c r="G153" s="10">
        <v>0</v>
      </c>
      <c r="H153" s="10">
        <f t="shared" ca="1" si="11"/>
        <v>98487383.517799079</v>
      </c>
      <c r="I153" s="36"/>
      <c r="J153" s="5"/>
      <c r="K153" s="178"/>
      <c r="T153"/>
    </row>
    <row r="154" spans="1:20" x14ac:dyDescent="0.3">
      <c r="A154" s="3">
        <v>42217</v>
      </c>
      <c r="C154" s="98">
        <f>(+C142/SUM(C$135:C$146))*Trends!B$14</f>
        <v>10.954604285386392</v>
      </c>
      <c r="D154" s="98">
        <f ca="1">(+D142/SUM(D$135:D$146))*Trends!C$14</f>
        <v>82.350864577983273</v>
      </c>
      <c r="E154" s="103">
        <f t="shared" si="15"/>
        <v>7.4000269999999993E-2</v>
      </c>
      <c r="F154" s="47">
        <v>31</v>
      </c>
      <c r="G154" s="10">
        <v>0</v>
      </c>
      <c r="H154" s="10">
        <f t="shared" ca="1" si="11"/>
        <v>99292312.855569094</v>
      </c>
      <c r="I154" s="36"/>
      <c r="J154" s="5"/>
      <c r="K154" s="178"/>
      <c r="T154"/>
    </row>
    <row r="155" spans="1:20" x14ac:dyDescent="0.3">
      <c r="A155" s="3">
        <v>42248</v>
      </c>
      <c r="C155" s="98">
        <f>(+C143/SUM(C$135:C$146))*Trends!B$14</f>
        <v>66.76270643219739</v>
      </c>
      <c r="D155" s="98">
        <f ca="1">(+D143/SUM(D$135:D$146))*Trends!C$14</f>
        <v>31.946456086286616</v>
      </c>
      <c r="E155" s="103">
        <f t="shared" si="15"/>
        <v>7.4000269999999993E-2</v>
      </c>
      <c r="F155" s="47">
        <v>30</v>
      </c>
      <c r="G155" s="10">
        <v>1</v>
      </c>
      <c r="H155" s="10">
        <f t="shared" ca="1" si="11"/>
        <v>84435755.105749264</v>
      </c>
      <c r="I155" s="36"/>
      <c r="J155" s="5"/>
      <c r="K155" s="178"/>
      <c r="T155"/>
    </row>
    <row r="156" spans="1:20" x14ac:dyDescent="0.3">
      <c r="A156" s="3">
        <v>42278</v>
      </c>
      <c r="C156" s="98">
        <f>(+C144/SUM(C$135:C$146))*Trends!B$14</f>
        <v>186.57329975819502</v>
      </c>
      <c r="D156" s="98">
        <f ca="1">(+D144/SUM(D$135:D$146))*Trends!C$14</f>
        <v>0.70992124636192477</v>
      </c>
      <c r="E156" s="103">
        <f>+'Economic Indices'!P66</f>
        <v>7.8999810000000004E-2</v>
      </c>
      <c r="F156" s="47">
        <v>31</v>
      </c>
      <c r="G156" s="10">
        <v>1</v>
      </c>
      <c r="H156" s="10">
        <f t="shared" ca="1" si="11"/>
        <v>87005070.356576234</v>
      </c>
      <c r="I156" s="36"/>
      <c r="J156" s="5"/>
      <c r="K156" s="178"/>
      <c r="T156"/>
    </row>
    <row r="157" spans="1:20" x14ac:dyDescent="0.3">
      <c r="A157" s="3">
        <v>42309</v>
      </c>
      <c r="C157" s="98">
        <f>(+C145/SUM(C$135:C$146))*Trends!B$14</f>
        <v>351.32364767227392</v>
      </c>
      <c r="D157" s="98">
        <f ca="1">(+D145/SUM(D$135:D$146))*Trends!C$14</f>
        <v>0</v>
      </c>
      <c r="E157" s="103">
        <f t="shared" si="15"/>
        <v>7.8999810000000004E-2</v>
      </c>
      <c r="F157" s="47">
        <v>30</v>
      </c>
      <c r="G157" s="10">
        <v>1</v>
      </c>
      <c r="H157" s="10">
        <f t="shared" ca="1" si="11"/>
        <v>90792321.929545671</v>
      </c>
      <c r="I157" s="36"/>
      <c r="J157" s="5"/>
      <c r="K157" s="178"/>
      <c r="T157"/>
    </row>
    <row r="158" spans="1:20" x14ac:dyDescent="0.3">
      <c r="A158" s="3">
        <v>42339</v>
      </c>
      <c r="C158" s="98">
        <f>(+C146/SUM(C$135:C$146))*Trends!B$14</f>
        <v>475.96461769104019</v>
      </c>
      <c r="D158" s="98">
        <f ca="1">(+D146/SUM(D$135:D$146))*Trends!C$14</f>
        <v>0</v>
      </c>
      <c r="E158" s="103">
        <f t="shared" si="15"/>
        <v>7.8999810000000004E-2</v>
      </c>
      <c r="F158" s="47">
        <v>31</v>
      </c>
      <c r="G158" s="10">
        <v>0</v>
      </c>
      <c r="H158" s="10">
        <f t="shared" ca="1" si="11"/>
        <v>105717761.25955285</v>
      </c>
      <c r="I158" s="36"/>
      <c r="J158" s="5"/>
      <c r="K158" s="178"/>
      <c r="T158"/>
    </row>
    <row r="159" spans="1:20" x14ac:dyDescent="0.3">
      <c r="A159" s="3">
        <v>42370</v>
      </c>
      <c r="C159" s="98">
        <f>(+C147/SUM(C$147:C$158))*Trends!B$15</f>
        <v>663.68561281945165</v>
      </c>
      <c r="D159" s="98">
        <f ca="1">(+D147/SUM(D$147:D$158))*Trends!C$15</f>
        <v>0</v>
      </c>
      <c r="E159" s="103">
        <f>+'Economic Indices'!P67</f>
        <v>7.2169469999999999E-2</v>
      </c>
      <c r="F159" s="47">
        <v>31</v>
      </c>
      <c r="G159" s="10">
        <v>0</v>
      </c>
      <c r="H159" s="10">
        <f t="shared" ca="1" si="11"/>
        <v>114181984.06636372</v>
      </c>
      <c r="I159" s="36"/>
      <c r="J159" s="5"/>
      <c r="K159" s="178"/>
      <c r="T159"/>
    </row>
    <row r="160" spans="1:20" x14ac:dyDescent="0.3">
      <c r="A160" s="3">
        <v>42401</v>
      </c>
      <c r="C160" s="98">
        <f>(+C148/SUM(C$147:C$158))*Trends!B$15</f>
        <v>594.4602691771272</v>
      </c>
      <c r="D160" s="98">
        <f ca="1">(+D148/SUM(D$147:D$158))*Trends!C$15</f>
        <v>0</v>
      </c>
      <c r="E160" s="103">
        <f t="shared" si="15"/>
        <v>7.2169469999999999E-2</v>
      </c>
      <c r="F160" s="47">
        <v>29</v>
      </c>
      <c r="G160" s="10">
        <v>0</v>
      </c>
      <c r="H160" s="10">
        <f t="shared" ca="1" si="11"/>
        <v>105747070.57161398</v>
      </c>
      <c r="I160" s="36"/>
      <c r="J160" s="5"/>
      <c r="K160" s="178"/>
      <c r="T160"/>
    </row>
    <row r="161" spans="1:20" x14ac:dyDescent="0.3">
      <c r="A161" s="3">
        <v>42430</v>
      </c>
      <c r="C161" s="98">
        <f>(+C149/SUM(C$147:C$158))*Trends!B$15</f>
        <v>583.36012084914728</v>
      </c>
      <c r="D161" s="98">
        <f ca="1">(+D149/SUM(D$147:D$158))*Trends!C$15</f>
        <v>0</v>
      </c>
      <c r="E161" s="103">
        <f t="shared" si="15"/>
        <v>7.2169469999999999E-2</v>
      </c>
      <c r="F161" s="47">
        <v>31</v>
      </c>
      <c r="G161" s="10">
        <v>1</v>
      </c>
      <c r="H161" s="10">
        <f t="shared" ca="1" si="11"/>
        <v>103868565.7307324</v>
      </c>
      <c r="I161" s="36"/>
      <c r="J161" s="5"/>
      <c r="K161" s="178"/>
      <c r="T161"/>
    </row>
    <row r="162" spans="1:20" x14ac:dyDescent="0.3">
      <c r="A162" s="3">
        <v>42461</v>
      </c>
      <c r="C162" s="98">
        <f>(+C150/SUM(C$147:C$158))*Trends!B$15</f>
        <v>319.49496699061632</v>
      </c>
      <c r="D162" s="98">
        <f ca="1">(+D150/SUM(D$147:D$158))*Trends!C$15</f>
        <v>0</v>
      </c>
      <c r="E162" s="103">
        <f>+'Economic Indices'!P68</f>
        <v>7.1452829999999995E-2</v>
      </c>
      <c r="F162" s="47">
        <v>30</v>
      </c>
      <c r="G162" s="10">
        <v>1</v>
      </c>
      <c r="H162" s="10">
        <f t="shared" ca="1" si="11"/>
        <v>90415707.490398541</v>
      </c>
      <c r="I162" s="36"/>
      <c r="J162" s="5"/>
      <c r="K162" s="178"/>
      <c r="T162"/>
    </row>
    <row r="163" spans="1:20" x14ac:dyDescent="0.3">
      <c r="A163" s="3">
        <v>42491</v>
      </c>
      <c r="C163" s="98">
        <f>(+C151/SUM(C$147:C$158))*Trends!B$15</f>
        <v>138.10649663882012</v>
      </c>
      <c r="D163" s="98">
        <f ca="1">(+D151/SUM(D$147:D$158))*Trends!C$15</f>
        <v>1.8640104434172213</v>
      </c>
      <c r="E163" s="103">
        <f t="shared" si="15"/>
        <v>7.1452829999999995E-2</v>
      </c>
      <c r="F163" s="47">
        <v>31</v>
      </c>
      <c r="G163" s="10">
        <v>1</v>
      </c>
      <c r="H163" s="10">
        <f t="shared" ca="1" si="11"/>
        <v>86118304.303723931</v>
      </c>
      <c r="I163" s="36"/>
      <c r="J163" s="5"/>
      <c r="K163" s="178"/>
      <c r="T163"/>
    </row>
    <row r="164" spans="1:20" x14ac:dyDescent="0.3">
      <c r="A164" s="3">
        <v>42522</v>
      </c>
      <c r="C164" s="98">
        <f>(+C152/SUM(C$147:C$158))*Trends!B$15</f>
        <v>23.146820931989172</v>
      </c>
      <c r="D164" s="98">
        <f ca="1">(+D152/SUM(D$147:D$158))*Trends!C$15</f>
        <v>57.497552908485055</v>
      </c>
      <c r="E164" s="103">
        <f t="shared" si="15"/>
        <v>7.1452829999999995E-2</v>
      </c>
      <c r="F164" s="47">
        <v>30</v>
      </c>
      <c r="G164" s="10">
        <v>0</v>
      </c>
      <c r="H164" s="10">
        <f t="shared" ca="1" si="11"/>
        <v>93703717.729849115</v>
      </c>
      <c r="I164" s="36"/>
      <c r="J164" s="5"/>
      <c r="K164" s="178"/>
      <c r="T164"/>
    </row>
    <row r="165" spans="1:20" x14ac:dyDescent="0.3">
      <c r="A165" s="3">
        <v>42552</v>
      </c>
      <c r="C165" s="98">
        <f>(+C153/SUM(C$147:C$158))*Trends!B$15</f>
        <v>8.2605754998920471</v>
      </c>
      <c r="D165" s="98">
        <f ca="1">(+D153/SUM(D$147:D$158))*Trends!C$15</f>
        <v>78.288438623523277</v>
      </c>
      <c r="E165" s="103">
        <f>+'Economic Indices'!P69</f>
        <v>7.064187999999999E-2</v>
      </c>
      <c r="F165" s="47">
        <v>31</v>
      </c>
      <c r="G165" s="10">
        <v>0</v>
      </c>
      <c r="H165" s="10">
        <f t="shared" ca="1" si="11"/>
        <v>99005270.909579188</v>
      </c>
      <c r="I165" s="36"/>
      <c r="J165" s="5"/>
      <c r="K165" s="178"/>
      <c r="T165"/>
    </row>
    <row r="166" spans="1:20" x14ac:dyDescent="0.3">
      <c r="A166" s="3">
        <v>42583</v>
      </c>
      <c r="C166" s="98">
        <f>(+C154/SUM(C$147:C$158))*Trends!B$15</f>
        <v>10.92805300506552</v>
      </c>
      <c r="D166" s="98">
        <f ca="1">(+D154/SUM(D$147:D$158))*Trends!C$15</f>
        <v>83.163542860152944</v>
      </c>
      <c r="E166" s="103">
        <f t="shared" si="15"/>
        <v>7.064187999999999E-2</v>
      </c>
      <c r="F166" s="47">
        <v>31</v>
      </c>
      <c r="G166" s="10">
        <v>0</v>
      </c>
      <c r="H166" s="10">
        <f t="shared" ca="1" si="11"/>
        <v>99816807.066302732</v>
      </c>
      <c r="I166" s="36"/>
      <c r="J166" s="5"/>
      <c r="K166" s="178"/>
      <c r="T166"/>
    </row>
    <row r="167" spans="1:20" x14ac:dyDescent="0.3">
      <c r="A167" s="3">
        <v>42614</v>
      </c>
      <c r="C167" s="98">
        <f>(+C155/SUM(C$147:C$158))*Trends!B$15</f>
        <v>66.600889967879638</v>
      </c>
      <c r="D167" s="98">
        <f ca="1">(+D155/SUM(D$147:D$158))*Trends!C$15</f>
        <v>32.261719212990371</v>
      </c>
      <c r="E167" s="103">
        <f t="shared" si="15"/>
        <v>7.064187999999999E-2</v>
      </c>
      <c r="F167" s="47">
        <v>30</v>
      </c>
      <c r="G167" s="10">
        <v>1</v>
      </c>
      <c r="H167" s="10">
        <f t="shared" ca="1" si="11"/>
        <v>84883014.023231745</v>
      </c>
      <c r="I167" s="36"/>
      <c r="J167" s="5"/>
      <c r="K167" s="178"/>
      <c r="T167"/>
    </row>
    <row r="168" spans="1:20" x14ac:dyDescent="0.3">
      <c r="A168" s="3">
        <v>42644</v>
      </c>
      <c r="C168" s="98">
        <f>(+C156/SUM(C$147:C$158))*Trends!B$15</f>
        <v>186.1210917319427</v>
      </c>
      <c r="D168" s="98">
        <f ca="1">(+D156/SUM(D$147:D$158))*Trends!C$15</f>
        <v>0.71692709362200813</v>
      </c>
      <c r="E168" s="103">
        <f>+'Economic Indices'!P70</f>
        <v>6.9736220000000002E-2</v>
      </c>
      <c r="F168" s="47">
        <v>31</v>
      </c>
      <c r="G168" s="10">
        <v>1</v>
      </c>
      <c r="H168" s="10">
        <f t="shared" ca="1" si="11"/>
        <v>88114125.673593387</v>
      </c>
      <c r="I168" s="36"/>
      <c r="J168" s="5"/>
      <c r="K168" s="178"/>
      <c r="T168"/>
    </row>
    <row r="169" spans="1:20" x14ac:dyDescent="0.3">
      <c r="A169" s="3">
        <v>42675</v>
      </c>
      <c r="C169" s="98">
        <f>(+C157/SUM(C$147:C$158))*Trends!B$15</f>
        <v>350.47212511521167</v>
      </c>
      <c r="D169" s="98">
        <f ca="1">(+D157/SUM(D$147:D$158))*Trends!C$15</f>
        <v>0</v>
      </c>
      <c r="E169" s="103">
        <f t="shared" si="15"/>
        <v>6.9736220000000002E-2</v>
      </c>
      <c r="F169" s="47">
        <v>30</v>
      </c>
      <c r="G169" s="10">
        <v>1</v>
      </c>
      <c r="H169" s="10">
        <f t="shared" ca="1" si="11"/>
        <v>91884128.787875697</v>
      </c>
      <c r="I169" s="36"/>
      <c r="J169" s="5"/>
      <c r="K169" s="178"/>
      <c r="T169"/>
    </row>
    <row r="170" spans="1:20" x14ac:dyDescent="0.3">
      <c r="A170" s="3">
        <v>42705</v>
      </c>
      <c r="C170" s="98">
        <f>(+C158/SUM(C$147:C$158))*Trends!B$15</f>
        <v>474.81099592087827</v>
      </c>
      <c r="D170" s="98">
        <f ca="1">(+D158/SUM(D$147:D$158))*Trends!C$15</f>
        <v>0</v>
      </c>
      <c r="E170" s="103">
        <f t="shared" si="15"/>
        <v>6.9736220000000002E-2</v>
      </c>
      <c r="F170" s="47">
        <v>31</v>
      </c>
      <c r="G170" s="10">
        <v>0</v>
      </c>
      <c r="H170" s="10">
        <f t="shared" ca="1" si="11"/>
        <v>106797283.26484719</v>
      </c>
      <c r="I170" s="36"/>
      <c r="J170" s="5"/>
      <c r="K170" s="178"/>
      <c r="T170"/>
    </row>
    <row r="171" spans="1:20" x14ac:dyDescent="0.3">
      <c r="A171" s="3">
        <v>42736</v>
      </c>
      <c r="C171" s="98">
        <f>(+C159/SUM(C$159:C$170))*Trends!B$16</f>
        <v>662.07309293665651</v>
      </c>
      <c r="D171" s="98">
        <f ca="1">(+D159/SUM(D$159:D$170))*Trends!C$16</f>
        <v>0</v>
      </c>
      <c r="E171" s="103">
        <f>+'Economic Indices'!P71</f>
        <v>6.8187249999999991E-2</v>
      </c>
      <c r="F171" s="47">
        <v>31</v>
      </c>
      <c r="G171" s="10">
        <v>0</v>
      </c>
      <c r="H171" s="10">
        <f t="shared" ca="1" si="11"/>
        <v>114600640.98289993</v>
      </c>
      <c r="I171" s="36"/>
      <c r="J171" s="5"/>
      <c r="K171" s="178"/>
      <c r="T171"/>
    </row>
    <row r="172" spans="1:20" x14ac:dyDescent="0.3">
      <c r="A172" s="3">
        <v>42767</v>
      </c>
      <c r="C172" s="98">
        <f>(+C160/SUM(C$159:C$170))*Trends!B$16</f>
        <v>593.0159422472309</v>
      </c>
      <c r="D172" s="98">
        <f ca="1">(+D160/SUM(D$159:D$170))*Trends!C$16</f>
        <v>0</v>
      </c>
      <c r="E172" s="103">
        <f t="shared" si="15"/>
        <v>6.8187249999999991E-2</v>
      </c>
      <c r="F172" s="47">
        <v>28</v>
      </c>
      <c r="G172" s="10">
        <v>0</v>
      </c>
      <c r="H172" s="10">
        <f t="shared" ca="1" si="11"/>
        <v>103362633.28684044</v>
      </c>
      <c r="I172" s="36"/>
      <c r="J172" s="5"/>
      <c r="K172" s="178"/>
      <c r="T172"/>
    </row>
    <row r="173" spans="1:20" x14ac:dyDescent="0.3">
      <c r="A173" s="3">
        <v>42795</v>
      </c>
      <c r="C173" s="98">
        <f>(+C161/SUM(C$159:C$170))*Trends!B$16</f>
        <v>581.9427633299706</v>
      </c>
      <c r="D173" s="98">
        <f ca="1">(+D161/SUM(D$159:D$170))*Trends!C$16</f>
        <v>0</v>
      </c>
      <c r="E173" s="103">
        <f t="shared" si="15"/>
        <v>6.8187249999999991E-2</v>
      </c>
      <c r="F173" s="47">
        <v>31</v>
      </c>
      <c r="G173" s="10">
        <v>1</v>
      </c>
      <c r="H173" s="10">
        <f t="shared" ca="1" si="11"/>
        <v>104295158.9173785</v>
      </c>
      <c r="I173" s="36"/>
      <c r="J173" s="5"/>
      <c r="K173" s="178"/>
      <c r="T173"/>
    </row>
    <row r="174" spans="1:20" x14ac:dyDescent="0.3">
      <c r="A174" s="3">
        <v>42826</v>
      </c>
      <c r="C174" s="98">
        <f>(+C162/SUM(C$159:C$170))*Trends!B$16</f>
        <v>318.71870790532938</v>
      </c>
      <c r="D174" s="98">
        <f ca="1">(+D162/SUM(D$159:D$170))*Trends!C$16</f>
        <v>0</v>
      </c>
      <c r="E174" s="103">
        <f>+'Economic Indices'!P72</f>
        <v>6.7312499999999997E-2</v>
      </c>
      <c r="F174" s="47">
        <v>30</v>
      </c>
      <c r="G174" s="10">
        <v>1</v>
      </c>
      <c r="H174" s="10">
        <f t="shared" ca="1" si="11"/>
        <v>90887596.779864237</v>
      </c>
      <c r="I174" s="36"/>
      <c r="J174" s="5"/>
      <c r="K174" s="178"/>
      <c r="T174"/>
    </row>
    <row r="175" spans="1:20" x14ac:dyDescent="0.3">
      <c r="A175" s="3">
        <v>42856</v>
      </c>
      <c r="C175" s="98">
        <f>(+C163/SUM(C$159:C$170))*Trends!B$16</f>
        <v>137.77094699381996</v>
      </c>
      <c r="D175" s="98">
        <f ca="1">(+D163/SUM(D$159:D$170))*Trends!C$16</f>
        <v>1.8822256462934444</v>
      </c>
      <c r="E175" s="103">
        <f t="shared" si="15"/>
        <v>6.7312499999999997E-2</v>
      </c>
      <c r="F175" s="47">
        <v>31</v>
      </c>
      <c r="G175" s="10">
        <v>1</v>
      </c>
      <c r="H175" s="10">
        <f t="shared" ca="1" si="11"/>
        <v>86610741.931813493</v>
      </c>
      <c r="I175" s="36"/>
      <c r="J175" s="5"/>
      <c r="K175" s="178"/>
      <c r="T175"/>
    </row>
    <row r="176" spans="1:20" x14ac:dyDescent="0.3">
      <c r="A176" s="3">
        <v>42887</v>
      </c>
      <c r="C176" s="98">
        <f>(+C164/SUM(C$159:C$170))*Trends!B$16</f>
        <v>23.090582393356748</v>
      </c>
      <c r="D176" s="98">
        <f ca="1">(+D164/SUM(D$159:D$170))*Trends!C$16</f>
        <v>58.059421858743939</v>
      </c>
      <c r="E176" s="103">
        <f t="shared" si="15"/>
        <v>6.7312499999999997E-2</v>
      </c>
      <c r="F176" s="47">
        <v>30</v>
      </c>
      <c r="G176" s="10">
        <v>0</v>
      </c>
      <c r="H176" s="10">
        <f t="shared" ca="1" si="11"/>
        <v>94285916.57290104</v>
      </c>
      <c r="I176" s="36"/>
      <c r="J176" s="5"/>
      <c r="K176" s="178"/>
      <c r="T176"/>
    </row>
    <row r="177" spans="1:20" x14ac:dyDescent="0.3">
      <c r="A177" s="3">
        <v>42917</v>
      </c>
      <c r="C177" s="98">
        <f>(+C165/SUM(C$159:C$170))*Trends!B$16</f>
        <v>8.2405052407518511</v>
      </c>
      <c r="D177" s="98">
        <f ca="1">(+D165/SUM(D$159:D$170))*Trends!C$16</f>
        <v>79.053477144324646</v>
      </c>
      <c r="E177" s="103">
        <f>+'Economic Indices'!P73</f>
        <v>6.6562659999999996E-2</v>
      </c>
      <c r="F177" s="47">
        <v>31</v>
      </c>
      <c r="G177" s="10">
        <v>0</v>
      </c>
      <c r="H177" s="10">
        <f t="shared" ca="1" si="11"/>
        <v>99610809.785674363</v>
      </c>
      <c r="I177" s="36"/>
      <c r="J177" s="5"/>
      <c r="K177" s="178"/>
      <c r="T177"/>
    </row>
    <row r="178" spans="1:20" x14ac:dyDescent="0.3">
      <c r="A178" s="3">
        <v>42948</v>
      </c>
      <c r="C178" s="98">
        <f>(+C166/SUM(C$159:C$170))*Trends!B$16</f>
        <v>10.901501724744636</v>
      </c>
      <c r="D178" s="98">
        <f ca="1">(+D166/SUM(D$159:D$170))*Trends!C$16</f>
        <v>83.976221142322899</v>
      </c>
      <c r="E178" s="103">
        <f t="shared" si="15"/>
        <v>6.6562659999999996E-2</v>
      </c>
      <c r="F178" s="47">
        <v>31</v>
      </c>
      <c r="G178" s="10">
        <v>0</v>
      </c>
      <c r="H178" s="10">
        <f t="shared" ca="1" si="11"/>
        <v>100428952.76135147</v>
      </c>
      <c r="I178" s="36"/>
      <c r="J178" s="5"/>
      <c r="K178" s="178"/>
      <c r="T178"/>
    </row>
    <row r="179" spans="1:20" x14ac:dyDescent="0.3">
      <c r="A179" s="3">
        <v>42979</v>
      </c>
      <c r="C179" s="98">
        <f>(+C167/SUM(C$159:C$170))*Trends!B$16</f>
        <v>66.439073503561801</v>
      </c>
      <c r="D179" s="98">
        <f ca="1">(+D167/SUM(D$159:D$170))*Trends!C$16</f>
        <v>32.576982339694233</v>
      </c>
      <c r="E179" s="103">
        <f t="shared" si="15"/>
        <v>6.6562659999999996E-2</v>
      </c>
      <c r="F179" s="47">
        <v>30</v>
      </c>
      <c r="G179" s="10">
        <v>1</v>
      </c>
      <c r="H179" s="10">
        <f t="shared" ca="1" si="11"/>
        <v>85417924.425029278</v>
      </c>
      <c r="I179" s="36"/>
      <c r="J179" s="5"/>
      <c r="K179" s="178"/>
      <c r="T179"/>
    </row>
    <row r="180" spans="1:20" x14ac:dyDescent="0.3">
      <c r="A180" s="3">
        <v>43009</v>
      </c>
      <c r="C180" s="98">
        <f>(+C168/SUM(C$159:C$170))*Trends!B$16</f>
        <v>185.66888370569015</v>
      </c>
      <c r="D180" s="98">
        <f ca="1">(+D168/SUM(D$159:D$170))*Trends!C$16</f>
        <v>0.72393294088209392</v>
      </c>
      <c r="E180" s="103">
        <f>+'Economic Indices'!P74</f>
        <v>6.5937659999999995E-2</v>
      </c>
      <c r="F180" s="47">
        <v>31</v>
      </c>
      <c r="G180" s="10">
        <v>1</v>
      </c>
      <c r="H180" s="10">
        <f t="shared" ca="1" si="11"/>
        <v>88558644.288022891</v>
      </c>
      <c r="I180" s="36"/>
      <c r="J180" s="5"/>
      <c r="K180" s="178"/>
      <c r="T180"/>
    </row>
    <row r="181" spans="1:20" x14ac:dyDescent="0.3">
      <c r="A181" s="3">
        <v>43040</v>
      </c>
      <c r="C181" s="98">
        <f>(+C169/SUM(C$159:C$170))*Trends!B$16</f>
        <v>349.62060255814896</v>
      </c>
      <c r="D181" s="98">
        <f ca="1">(+D169/SUM(D$159:D$170))*Trends!C$16</f>
        <v>0</v>
      </c>
      <c r="E181" s="103">
        <f t="shared" si="15"/>
        <v>6.5937659999999995E-2</v>
      </c>
      <c r="F181" s="47">
        <v>30</v>
      </c>
      <c r="G181" s="10">
        <v>1</v>
      </c>
      <c r="H181" s="10">
        <f t="shared" ca="1" si="11"/>
        <v>92311398.943618059</v>
      </c>
      <c r="I181" s="36"/>
      <c r="J181" s="5"/>
      <c r="K181" s="178"/>
      <c r="T181"/>
    </row>
    <row r="182" spans="1:20" x14ac:dyDescent="0.3">
      <c r="A182" s="3">
        <v>43070</v>
      </c>
      <c r="C182" s="98">
        <f>(+C170/SUM(C$159:C$170))*Trends!B$16</f>
        <v>473.65737415071578</v>
      </c>
      <c r="D182" s="98">
        <f ca="1">(+D170/SUM(D$159:D$170))*Trends!C$16</f>
        <v>0</v>
      </c>
      <c r="E182" s="103">
        <f t="shared" si="15"/>
        <v>6.5937659999999995E-2</v>
      </c>
      <c r="F182" s="47">
        <v>31</v>
      </c>
      <c r="G182" s="10">
        <v>0</v>
      </c>
      <c r="H182" s="10">
        <f t="shared" ca="1" si="11"/>
        <v>107212268.56755383</v>
      </c>
      <c r="I182" s="36"/>
      <c r="J182" s="5"/>
      <c r="K182" s="178"/>
      <c r="T182"/>
    </row>
    <row r="183" spans="1:20" x14ac:dyDescent="0.3">
      <c r="A183" s="3">
        <v>43101</v>
      </c>
      <c r="C183" s="98">
        <f>(+C171/SUM(C$171:C$182))*Trends!B$17</f>
        <v>660.46057305386228</v>
      </c>
      <c r="D183" s="98">
        <f ca="1">(+D171/SUM(D$171:D$182))*Trends!C$17</f>
        <v>0</v>
      </c>
      <c r="E183" s="103">
        <f>+'Economic Indices'!P75</f>
        <v>6.6219020000000003E-2</v>
      </c>
      <c r="F183" s="47">
        <v>31</v>
      </c>
      <c r="G183" s="10">
        <v>0</v>
      </c>
      <c r="H183" s="10">
        <f t="shared" ca="1" si="11"/>
        <v>114774400.74907386</v>
      </c>
      <c r="I183" s="36"/>
      <c r="J183" s="5"/>
      <c r="K183" s="178"/>
      <c r="T183"/>
    </row>
    <row r="184" spans="1:20" x14ac:dyDescent="0.3">
      <c r="A184" s="3">
        <v>43132</v>
      </c>
      <c r="C184" s="98">
        <f>(+C172/SUM(C$171:C$182))*Trends!B$17</f>
        <v>591.57161531733539</v>
      </c>
      <c r="D184" s="98">
        <f ca="1">(+D172/SUM(D$171:D$182))*Trends!C$17</f>
        <v>0</v>
      </c>
      <c r="E184" s="103">
        <f t="shared" si="15"/>
        <v>6.6219020000000003E-2</v>
      </c>
      <c r="F184" s="47">
        <v>28</v>
      </c>
      <c r="G184" s="10">
        <v>0</v>
      </c>
      <c r="H184" s="10">
        <f t="shared" ca="1" si="11"/>
        <v>103543232.61306089</v>
      </c>
      <c r="I184" s="36"/>
      <c r="J184" s="5"/>
      <c r="K184" s="178"/>
      <c r="T184"/>
    </row>
    <row r="185" spans="1:20" x14ac:dyDescent="0.3">
      <c r="A185" s="3">
        <v>43160</v>
      </c>
      <c r="C185" s="98">
        <f>(+C173/SUM(C$171:C$182))*Trends!B$17</f>
        <v>580.52540581079472</v>
      </c>
      <c r="D185" s="98">
        <f ca="1">(+D173/SUM(D$171:D$182))*Trends!C$17</f>
        <v>0</v>
      </c>
      <c r="E185" s="103">
        <f t="shared" si="15"/>
        <v>6.6219020000000003E-2</v>
      </c>
      <c r="F185" s="47">
        <v>31</v>
      </c>
      <c r="G185" s="10">
        <v>1</v>
      </c>
      <c r="H185" s="10">
        <f t="shared" ca="1" si="11"/>
        <v>104476854.95366235</v>
      </c>
      <c r="I185" s="36"/>
      <c r="J185" s="5"/>
      <c r="K185" s="178"/>
      <c r="T185"/>
    </row>
    <row r="186" spans="1:20" x14ac:dyDescent="0.3">
      <c r="A186" s="3">
        <v>43191</v>
      </c>
      <c r="C186" s="98">
        <f>(+C174/SUM(C$171:C$182))*Trends!B$17</f>
        <v>317.94244882004284</v>
      </c>
      <c r="D186" s="98">
        <f ca="1">(+D174/SUM(D$171:D$182))*Trends!C$17</f>
        <v>0</v>
      </c>
      <c r="E186" s="103">
        <f>+'Economic Indices'!P76</f>
        <v>6.5531039999999999E-2</v>
      </c>
      <c r="F186" s="47">
        <v>30</v>
      </c>
      <c r="G186" s="10">
        <v>1</v>
      </c>
      <c r="H186" s="10">
        <f t="shared" ca="1" si="11"/>
        <v>91072652.20169647</v>
      </c>
      <c r="I186" s="36"/>
      <c r="J186" s="5"/>
      <c r="K186" s="178"/>
      <c r="T186"/>
    </row>
    <row r="187" spans="1:20" x14ac:dyDescent="0.3">
      <c r="A187" s="3">
        <v>43221</v>
      </c>
      <c r="C187" s="98">
        <f>(+C175/SUM(C$171:C$182))*Trends!B$17</f>
        <v>137.43539734882</v>
      </c>
      <c r="D187" s="98">
        <f ca="1">(+D175/SUM(D$171:D$182))*Trends!C$17</f>
        <v>1.9004408491696605</v>
      </c>
      <c r="E187" s="103">
        <f t="shared" si="15"/>
        <v>6.5531039999999999E-2</v>
      </c>
      <c r="F187" s="47">
        <v>31</v>
      </c>
      <c r="G187" s="10">
        <v>1</v>
      </c>
      <c r="H187" s="10">
        <f t="shared" ca="1" si="11"/>
        <v>86816345.692269593</v>
      </c>
      <c r="I187" s="36"/>
      <c r="J187" s="5"/>
      <c r="K187" s="178"/>
      <c r="T187"/>
    </row>
    <row r="188" spans="1:20" x14ac:dyDescent="0.3">
      <c r="A188" s="3">
        <v>43252</v>
      </c>
      <c r="C188" s="98">
        <f>(+C176/SUM(C$171:C$182))*Trends!B$17</f>
        <v>23.034343854724352</v>
      </c>
      <c r="D188" s="98">
        <f ca="1">(+D176/SUM(D$171:D$182))*Trends!C$17</f>
        <v>58.621290809002602</v>
      </c>
      <c r="E188" s="103">
        <f t="shared" si="15"/>
        <v>6.5531039999999999E-2</v>
      </c>
      <c r="F188" s="47">
        <v>30</v>
      </c>
      <c r="G188" s="10">
        <v>0</v>
      </c>
      <c r="H188" s="10">
        <f t="shared" ca="1" si="11"/>
        <v>94581281.548319459</v>
      </c>
      <c r="I188" s="36"/>
      <c r="J188" s="5"/>
      <c r="K188" s="178"/>
      <c r="T188"/>
    </row>
    <row r="189" spans="1:20" x14ac:dyDescent="0.3">
      <c r="A189" s="3">
        <v>43282</v>
      </c>
      <c r="C189" s="98">
        <f>(+C177/SUM(C$171:C$182))*Trends!B$17</f>
        <v>8.2204349816116657</v>
      </c>
      <c r="D189" s="98">
        <f ca="1">(+D177/SUM(D$171:D$182))*Trends!C$17</f>
        <v>79.81851566512573</v>
      </c>
      <c r="E189" s="103">
        <f>+'Economic Indices'!P77</f>
        <v>6.4656290000000005E-2</v>
      </c>
      <c r="F189" s="47">
        <v>31</v>
      </c>
      <c r="G189" s="10">
        <v>0</v>
      </c>
      <c r="H189" s="10">
        <f t="shared" ca="1" si="11"/>
        <v>99952134.45357348</v>
      </c>
      <c r="I189" s="36"/>
      <c r="J189" s="5"/>
      <c r="K189" s="178"/>
      <c r="T189"/>
    </row>
    <row r="190" spans="1:20" x14ac:dyDescent="0.3">
      <c r="A190" s="3">
        <v>43313</v>
      </c>
      <c r="C190" s="98">
        <f>(+C178/SUM(C$171:C$182))*Trends!B$17</f>
        <v>10.874950444423765</v>
      </c>
      <c r="D190" s="98">
        <f ca="1">(+D178/SUM(D$171:D$182))*Trends!C$17</f>
        <v>84.788899424492527</v>
      </c>
      <c r="E190" s="103">
        <f t="shared" si="15"/>
        <v>6.4656290000000005E-2</v>
      </c>
      <c r="F190" s="47">
        <v>31</v>
      </c>
      <c r="G190" s="10">
        <v>0</v>
      </c>
      <c r="H190" s="10">
        <f t="shared" ca="1" si="11"/>
        <v>100776884.2482041</v>
      </c>
      <c r="I190" s="36"/>
      <c r="J190" s="5"/>
      <c r="K190" s="178"/>
      <c r="T190"/>
    </row>
    <row r="191" spans="1:20" x14ac:dyDescent="0.3">
      <c r="A191" s="3">
        <v>43344</v>
      </c>
      <c r="C191" s="98">
        <f>(+C179/SUM(C$171:C$182))*Trends!B$17</f>
        <v>66.277257039244049</v>
      </c>
      <c r="D191" s="98">
        <f ca="1">(+D179/SUM(D$171:D$182))*Trends!C$17</f>
        <v>32.892245466397974</v>
      </c>
      <c r="E191" s="103">
        <f t="shared" si="15"/>
        <v>6.4656290000000005E-2</v>
      </c>
      <c r="F191" s="47">
        <v>30</v>
      </c>
      <c r="G191" s="10">
        <v>1</v>
      </c>
      <c r="H191" s="10">
        <f t="shared" ca="1" si="11"/>
        <v>85688620.618630752</v>
      </c>
      <c r="I191" s="36"/>
      <c r="J191" s="5"/>
      <c r="K191" s="178"/>
      <c r="T191"/>
    </row>
    <row r="192" spans="1:20" x14ac:dyDescent="0.3">
      <c r="A192" s="3">
        <v>43374</v>
      </c>
      <c r="C192" s="98">
        <f>(+C180/SUM(C$171:C$182))*Trends!B$17</f>
        <v>185.21667567943786</v>
      </c>
      <c r="D192" s="98">
        <f ca="1">(+D180/SUM(D$171:D$182))*Trends!C$17</f>
        <v>0.73093878814217705</v>
      </c>
      <c r="E192" s="103">
        <f>+'Economic Indices'!P78</f>
        <v>6.3593549999999999E-2</v>
      </c>
      <c r="F192" s="47">
        <v>31</v>
      </c>
      <c r="G192" s="10">
        <v>1</v>
      </c>
      <c r="H192" s="10">
        <f t="shared" ca="1" si="11"/>
        <v>88826304.695438221</v>
      </c>
      <c r="I192" s="36"/>
      <c r="J192" s="5"/>
      <c r="K192" s="178"/>
      <c r="T192"/>
    </row>
    <row r="193" spans="1:20" x14ac:dyDescent="0.3">
      <c r="A193" s="3">
        <v>43405</v>
      </c>
      <c r="C193" s="98">
        <f>(+C181/SUM(C$171:C$182))*Trends!B$17</f>
        <v>348.76908000108671</v>
      </c>
      <c r="D193" s="98">
        <f ca="1">(+D181/SUM(D$171:D$182))*Trends!C$17</f>
        <v>0</v>
      </c>
      <c r="E193" s="103">
        <f t="shared" si="15"/>
        <v>6.3593549999999999E-2</v>
      </c>
      <c r="F193" s="47">
        <v>30</v>
      </c>
      <c r="G193" s="10">
        <v>1</v>
      </c>
      <c r="H193" s="10">
        <f t="shared" ca="1" si="11"/>
        <v>92561810.892346278</v>
      </c>
      <c r="I193" s="36"/>
      <c r="J193" s="5"/>
      <c r="K193" s="178"/>
      <c r="T193"/>
    </row>
    <row r="194" spans="1:20" x14ac:dyDescent="0.3">
      <c r="A194" s="3">
        <v>43435</v>
      </c>
      <c r="C194" s="98">
        <f>(+C182/SUM(C$171:C$182))*Trends!B$17</f>
        <v>472.50375238055386</v>
      </c>
      <c r="D194" s="98">
        <f ca="1">(+D182/SUM(D$171:D$182))*Trends!C$17</f>
        <v>0</v>
      </c>
      <c r="E194" s="103">
        <f t="shared" si="15"/>
        <v>6.3593549999999999E-2</v>
      </c>
      <c r="F194" s="47">
        <v>31</v>
      </c>
      <c r="G194" s="10">
        <v>0</v>
      </c>
      <c r="H194" s="10">
        <f t="shared" ca="1" si="11"/>
        <v>107450395.66324635</v>
      </c>
      <c r="I194" s="36"/>
      <c r="J194" s="5"/>
      <c r="K194" s="178"/>
      <c r="T194"/>
    </row>
    <row r="195" spans="1:20" x14ac:dyDescent="0.3">
      <c r="A195" s="3">
        <v>43466</v>
      </c>
      <c r="C195" s="98">
        <f>(+C183/SUM(C$183:C$194))*Trends!B$18</f>
        <v>658.84805317106725</v>
      </c>
      <c r="D195" s="98">
        <f ca="1">(+D183/SUM(D$183:D$194))*Trends!C$18</f>
        <v>0</v>
      </c>
      <c r="E195" s="103">
        <f>+'Economic Indices'!P79</f>
        <v>6.2343830000000003E-2</v>
      </c>
      <c r="F195" s="47">
        <v>31</v>
      </c>
      <c r="G195" s="10">
        <v>0</v>
      </c>
      <c r="H195" s="10">
        <f t="shared" ref="H195:H206" ca="1" si="16">$M$18+C195*$M$19+D195*$M$20+E195*$M$21+F195*$M$22+G195*$M$23</f>
        <v>115180043.03197074</v>
      </c>
      <c r="I195" s="36"/>
      <c r="J195" s="5"/>
      <c r="K195" s="178"/>
      <c r="T195"/>
    </row>
    <row r="196" spans="1:20" x14ac:dyDescent="0.3">
      <c r="A196" s="3">
        <v>43497</v>
      </c>
      <c r="C196" s="98">
        <f>(+C184/SUM(C$183:C$194))*Trends!B$18</f>
        <v>590.12728838743919</v>
      </c>
      <c r="D196" s="98">
        <f ca="1">(+D184/SUM(D$183:D$194))*Trends!C$18</f>
        <v>0</v>
      </c>
      <c r="E196" s="103">
        <f t="shared" si="15"/>
        <v>6.2343830000000003E-2</v>
      </c>
      <c r="F196" s="47">
        <v>28</v>
      </c>
      <c r="G196" s="10">
        <v>0</v>
      </c>
      <c r="H196" s="10">
        <f t="shared" ca="1" si="16"/>
        <v>103955714.45600429</v>
      </c>
      <c r="I196" s="36"/>
      <c r="J196" s="5"/>
      <c r="K196" s="178"/>
      <c r="T196"/>
    </row>
    <row r="197" spans="1:20" x14ac:dyDescent="0.3">
      <c r="A197" s="3">
        <v>43525</v>
      </c>
      <c r="C197" s="98">
        <f>(+C185/SUM(C$183:C$194))*Trends!B$18</f>
        <v>579.10804829161816</v>
      </c>
      <c r="D197" s="98">
        <f ca="1">(+D185/SUM(D$183:D$194))*Trends!C$18</f>
        <v>0</v>
      </c>
      <c r="E197" s="103">
        <f t="shared" si="15"/>
        <v>6.2343830000000003E-2</v>
      </c>
      <c r="F197" s="47">
        <v>31</v>
      </c>
      <c r="G197" s="10">
        <v>1</v>
      </c>
      <c r="H197" s="10">
        <f t="shared" ca="1" si="16"/>
        <v>104890433.50666915</v>
      </c>
      <c r="I197" s="36"/>
      <c r="J197" s="5"/>
      <c r="K197" s="178"/>
      <c r="T197"/>
    </row>
    <row r="198" spans="1:20" x14ac:dyDescent="0.3">
      <c r="A198" s="3">
        <v>43556</v>
      </c>
      <c r="C198" s="98">
        <f>(+C186/SUM(C$183:C$194))*Trends!B$18</f>
        <v>317.1661897347559</v>
      </c>
      <c r="D198" s="98">
        <f ca="1">(+D186/SUM(D$183:D$194))*Trends!C$18</f>
        <v>0</v>
      </c>
      <c r="E198" s="103">
        <f>+'Economic Indices'!P80</f>
        <v>6.0906349999999998E-2</v>
      </c>
      <c r="F198" s="47">
        <v>30</v>
      </c>
      <c r="G198" s="10">
        <v>1</v>
      </c>
      <c r="H198" s="10">
        <f t="shared" ca="1" si="16"/>
        <v>91603438.697081491</v>
      </c>
      <c r="I198" s="36"/>
      <c r="J198" s="5"/>
      <c r="K198" s="178"/>
      <c r="T198"/>
    </row>
    <row r="199" spans="1:20" x14ac:dyDescent="0.3">
      <c r="A199" s="3">
        <v>43586</v>
      </c>
      <c r="C199" s="98">
        <f>(+C187/SUM(C$183:C$194))*Trends!B$18</f>
        <v>137.09984770381988</v>
      </c>
      <c r="D199" s="98">
        <f ca="1">(+D187/SUM(D$183:D$194))*Trends!C$18</f>
        <v>1.9186560520458842</v>
      </c>
      <c r="E199" s="103">
        <f t="shared" si="15"/>
        <v>6.0906349999999998E-2</v>
      </c>
      <c r="F199" s="47">
        <v>31</v>
      </c>
      <c r="G199" s="10">
        <v>1</v>
      </c>
      <c r="H199" s="10">
        <f t="shared" ca="1" si="16"/>
        <v>87367680.526278496</v>
      </c>
      <c r="I199" s="36"/>
      <c r="J199" s="5"/>
      <c r="K199" s="178"/>
      <c r="T199"/>
    </row>
    <row r="200" spans="1:20" x14ac:dyDescent="0.3">
      <c r="A200" s="3">
        <v>43617</v>
      </c>
      <c r="C200" s="98">
        <f>(+C188/SUM(C$183:C$194))*Trends!B$18</f>
        <v>22.978105316091931</v>
      </c>
      <c r="D200" s="98">
        <f ca="1">(+D188/SUM(D$183:D$194))*Trends!C$18</f>
        <v>59.1831597592615</v>
      </c>
      <c r="E200" s="103">
        <f t="shared" ref="E200:E206" si="17">+E199</f>
        <v>6.0906349999999998E-2</v>
      </c>
      <c r="F200" s="47">
        <v>30</v>
      </c>
      <c r="G200" s="10">
        <v>0</v>
      </c>
      <c r="H200" s="10">
        <f t="shared" ca="1" si="16"/>
        <v>95222377.597290725</v>
      </c>
      <c r="I200" s="36"/>
      <c r="J200" s="5"/>
      <c r="K200" s="178"/>
      <c r="T200"/>
    </row>
    <row r="201" spans="1:20" x14ac:dyDescent="0.3">
      <c r="A201" s="3">
        <v>43647</v>
      </c>
      <c r="C201" s="98">
        <f>(+C189/SUM(C$183:C$194))*Trends!B$18</f>
        <v>8.2003647224714715</v>
      </c>
      <c r="D201" s="98">
        <f ca="1">(+D189/SUM(D$183:D$194))*Trends!C$18</f>
        <v>80.583554185927127</v>
      </c>
      <c r="E201" s="103">
        <f>+'Economic Indices'!P81</f>
        <v>5.928129E-2</v>
      </c>
      <c r="F201" s="47">
        <v>31</v>
      </c>
      <c r="G201" s="10">
        <v>0</v>
      </c>
      <c r="H201" s="10">
        <f t="shared" ca="1" si="16"/>
        <v>100715237.58246857</v>
      </c>
      <c r="I201" s="36"/>
      <c r="J201" s="5"/>
      <c r="K201" s="178"/>
      <c r="T201"/>
    </row>
    <row r="202" spans="1:20" x14ac:dyDescent="0.3">
      <c r="A202" s="3">
        <v>43678</v>
      </c>
      <c r="C202" s="98">
        <f>(+C190/SUM(C$183:C$194))*Trends!B$18</f>
        <v>10.848399164102883</v>
      </c>
      <c r="D202" s="98">
        <f ca="1">(+D190/SUM(D$183:D$194))*Trends!C$18</f>
        <v>85.601577706662511</v>
      </c>
      <c r="E202" s="103">
        <f t="shared" si="17"/>
        <v>5.928129E-2</v>
      </c>
      <c r="F202" s="47">
        <v>31</v>
      </c>
      <c r="G202" s="10">
        <v>0</v>
      </c>
      <c r="H202" s="10">
        <f t="shared" ca="1" si="16"/>
        <v>101546594.19605273</v>
      </c>
      <c r="I202" s="36"/>
      <c r="J202" s="5"/>
      <c r="K202" s="178"/>
      <c r="T202"/>
    </row>
    <row r="203" spans="1:20" x14ac:dyDescent="0.3">
      <c r="A203" s="3">
        <v>43709</v>
      </c>
      <c r="C203" s="98">
        <f>(+C191/SUM(C$183:C$194))*Trends!B$18</f>
        <v>66.115440574926225</v>
      </c>
      <c r="D203" s="98">
        <f ca="1">(+D191/SUM(D$183:D$194))*Trends!C$18</f>
        <v>33.207508593101842</v>
      </c>
      <c r="E203" s="103">
        <f t="shared" si="17"/>
        <v>5.928129E-2</v>
      </c>
      <c r="F203" s="47">
        <v>30</v>
      </c>
      <c r="G203" s="10">
        <v>1</v>
      </c>
      <c r="H203" s="10">
        <f t="shared" ca="1" si="16"/>
        <v>86381095.273228198</v>
      </c>
      <c r="I203" s="36"/>
      <c r="J203" s="5"/>
      <c r="K203" s="178"/>
      <c r="T203"/>
    </row>
    <row r="204" spans="1:20" x14ac:dyDescent="0.3">
      <c r="A204" s="3">
        <v>43739</v>
      </c>
      <c r="C204" s="98">
        <f>(+C192/SUM(C$183:C$194))*Trends!B$18</f>
        <v>184.76446765318536</v>
      </c>
      <c r="D204" s="98">
        <f ca="1">(+D192/SUM(D$183:D$194))*Trends!C$18</f>
        <v>0.73794463540226296</v>
      </c>
      <c r="E204" s="103">
        <f>+'Economic Indices'!P82</f>
        <v>5.7468579999999998E-2</v>
      </c>
      <c r="F204" s="47">
        <v>31</v>
      </c>
      <c r="G204" s="10">
        <v>1</v>
      </c>
      <c r="H204" s="10">
        <f t="shared" ca="1" si="16"/>
        <v>89553710.106512368</v>
      </c>
      <c r="I204" s="36"/>
      <c r="J204" s="5"/>
      <c r="K204" s="178"/>
      <c r="T204"/>
    </row>
    <row r="205" spans="1:20" x14ac:dyDescent="0.3">
      <c r="A205" s="3">
        <v>43770</v>
      </c>
      <c r="C205" s="98">
        <f>(+C193/SUM(C$183:C$194))*Trends!B$18</f>
        <v>347.91755744402406</v>
      </c>
      <c r="D205" s="98">
        <f ca="1">(+D193/SUM(D$183:D$194))*Trends!C$18</f>
        <v>0</v>
      </c>
      <c r="E205" s="103">
        <f t="shared" si="17"/>
        <v>5.7468579999999998E-2</v>
      </c>
      <c r="F205" s="47">
        <v>30</v>
      </c>
      <c r="G205" s="10">
        <v>1</v>
      </c>
      <c r="H205" s="10">
        <f t="shared" ca="1" si="16"/>
        <v>93271967.844733298</v>
      </c>
      <c r="I205" s="36"/>
      <c r="J205" s="5"/>
      <c r="K205" s="178"/>
      <c r="T205"/>
    </row>
    <row r="206" spans="1:20" x14ac:dyDescent="0.3">
      <c r="A206" s="3">
        <v>43800</v>
      </c>
      <c r="C206" s="98">
        <f>(+C194/SUM(C$183:C$194))*Trends!B$18</f>
        <v>471.35013061039143</v>
      </c>
      <c r="D206" s="98">
        <f ca="1">(+D194/SUM(D$183:D$194))*Trends!C$18</f>
        <v>0</v>
      </c>
      <c r="E206" s="103">
        <f t="shared" si="17"/>
        <v>5.7468579999999998E-2</v>
      </c>
      <c r="F206" s="47">
        <v>31</v>
      </c>
      <c r="G206" s="10">
        <v>0</v>
      </c>
      <c r="H206" s="10">
        <f t="shared" ca="1" si="16"/>
        <v>108148267.76259767</v>
      </c>
      <c r="I206" s="36"/>
      <c r="J206" s="5"/>
      <c r="K206" s="178"/>
      <c r="T206"/>
    </row>
    <row r="207" spans="1:20" x14ac:dyDescent="0.3">
      <c r="A207" s="3"/>
      <c r="I207" s="36"/>
      <c r="J207" s="5"/>
      <c r="K207" s="178"/>
      <c r="T207"/>
    </row>
    <row r="208" spans="1:20" x14ac:dyDescent="0.3">
      <c r="A208" s="3"/>
      <c r="C208" s="18"/>
      <c r="D208" s="1" t="s">
        <v>60</v>
      </c>
      <c r="H208" s="47">
        <f ca="1">SUM(H3:H206)</f>
        <v>19749780641.180489</v>
      </c>
      <c r="I208" s="36"/>
      <c r="J208" s="5"/>
      <c r="K208" s="178"/>
      <c r="T208"/>
    </row>
    <row r="209" spans="1:21" ht="38.25" customHeight="1" x14ac:dyDescent="0.3">
      <c r="A209" s="3"/>
      <c r="C209" s="23"/>
      <c r="D209" s="23"/>
      <c r="I209" s="36"/>
      <c r="J209" s="5" t="s">
        <v>196</v>
      </c>
      <c r="K209" s="178"/>
      <c r="L209" s="393" t="s">
        <v>284</v>
      </c>
      <c r="M209" s="390" t="s">
        <v>282</v>
      </c>
      <c r="N209" s="393" t="s">
        <v>287</v>
      </c>
      <c r="O209" s="391" t="s">
        <v>283</v>
      </c>
      <c r="P209" s="393" t="s">
        <v>286</v>
      </c>
      <c r="Q209" s="391" t="s">
        <v>285</v>
      </c>
      <c r="R209" s="519" t="s">
        <v>311</v>
      </c>
      <c r="S209" s="519"/>
      <c r="T209" s="519" t="s">
        <v>310</v>
      </c>
      <c r="U209" s="519"/>
    </row>
    <row r="210" spans="1:21" x14ac:dyDescent="0.3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H210" s="6">
        <f>SUM(H3:H14)</f>
        <v>1206627694.1608171</v>
      </c>
      <c r="I210" s="36">
        <f t="shared" ref="I210:I224" si="18">H210-B210</f>
        <v>-26096475.839182854</v>
      </c>
      <c r="J210" s="5">
        <f t="shared" ref="J210:J226" si="19">I210/B210</f>
        <v>-2.1169760822636302E-2</v>
      </c>
      <c r="K210" s="178"/>
      <c r="L210" s="182"/>
      <c r="M210" s="392">
        <f>+H210-L210</f>
        <v>1206627694.1608171</v>
      </c>
      <c r="N210" s="182"/>
      <c r="O210" s="392">
        <f>+M210-N210</f>
        <v>1206627694.1608171</v>
      </c>
      <c r="P210" s="182"/>
      <c r="Q210" s="392">
        <f>+O210+P210</f>
        <v>1206627694.1608171</v>
      </c>
      <c r="R210" s="70">
        <v>1206627694.1608171</v>
      </c>
      <c r="S210" s="433">
        <f t="shared" ref="S210:S226" si="20">+Q210-R210</f>
        <v>0</v>
      </c>
      <c r="T210" s="70">
        <v>1208483234.4312544</v>
      </c>
      <c r="U210" s="70">
        <f t="shared" ref="U210:U226" si="21">+Q210-T210</f>
        <v>-1855540.2704372406</v>
      </c>
    </row>
    <row r="211" spans="1:21" x14ac:dyDescent="0.3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H211" s="6">
        <f>SUM(H15:H26)</f>
        <v>1193979451.6981936</v>
      </c>
      <c r="I211" s="36">
        <f t="shared" si="18"/>
        <v>15538261.69819355</v>
      </c>
      <c r="J211" s="5">
        <f t="shared" si="19"/>
        <v>1.3185436685383977E-2</v>
      </c>
      <c r="K211" s="178"/>
      <c r="L211" s="182"/>
      <c r="M211" s="392">
        <f t="shared" ref="M211:M226" si="22">+H211-L211</f>
        <v>1193979451.6981936</v>
      </c>
      <c r="N211" s="182"/>
      <c r="O211" s="392">
        <f t="shared" ref="O211:O226" si="23">+M211-N211</f>
        <v>1193979451.6981936</v>
      </c>
      <c r="P211" s="182"/>
      <c r="Q211" s="392">
        <f t="shared" ref="Q211:Q226" si="24">+O211+P211</f>
        <v>1193979451.6981936</v>
      </c>
      <c r="R211" s="70">
        <v>1193979451.6981936</v>
      </c>
      <c r="S211" s="433">
        <f t="shared" si="20"/>
        <v>0</v>
      </c>
      <c r="T211" s="70">
        <v>1193278221.7053266</v>
      </c>
      <c r="U211" s="70">
        <f t="shared" si="21"/>
        <v>701229.99286699295</v>
      </c>
    </row>
    <row r="212" spans="1:21" x14ac:dyDescent="0.3">
      <c r="A212" s="16">
        <v>2005</v>
      </c>
      <c r="B212" s="6">
        <f>SUM(B27:B38)</f>
        <v>1174501350</v>
      </c>
      <c r="C212" s="107">
        <f t="shared" ref="C212:C219" si="25">+B212-B211</f>
        <v>-3939840</v>
      </c>
      <c r="D212" s="109">
        <f t="shared" ref="D212:D219" si="26">+C212/B211</f>
        <v>-3.3432639943619079E-3</v>
      </c>
      <c r="E212" s="109">
        <f>RATE(2,0,-B$210,B212)</f>
        <v>-2.3901142331683341E-2</v>
      </c>
      <c r="H212" s="6">
        <f>SUM(H27:H38)</f>
        <v>1203979720.1338103</v>
      </c>
      <c r="I212" s="36">
        <f t="shared" si="18"/>
        <v>29478370.133810282</v>
      </c>
      <c r="J212" s="5">
        <f t="shared" si="19"/>
        <v>2.5098626011634879E-2</v>
      </c>
      <c r="K212" s="178"/>
      <c r="L212" s="182"/>
      <c r="M212" s="392">
        <f t="shared" si="22"/>
        <v>1203979720.1338103</v>
      </c>
      <c r="N212" s="182"/>
      <c r="O212" s="392">
        <f t="shared" si="23"/>
        <v>1203979720.1338103</v>
      </c>
      <c r="P212" s="182"/>
      <c r="Q212" s="392">
        <f t="shared" si="24"/>
        <v>1203979720.1338103</v>
      </c>
      <c r="R212" s="70">
        <v>1203979720.1338103</v>
      </c>
      <c r="S212" s="433">
        <f t="shared" si="20"/>
        <v>0</v>
      </c>
      <c r="T212" s="70">
        <v>1203281045.2314129</v>
      </c>
      <c r="U212" s="70">
        <f t="shared" si="21"/>
        <v>698674.90239739418</v>
      </c>
    </row>
    <row r="213" spans="1:21" x14ac:dyDescent="0.3">
      <c r="A213">
        <v>2006</v>
      </c>
      <c r="B213" s="6">
        <f>SUM(B39:B50)</f>
        <v>1151360440</v>
      </c>
      <c r="C213" s="107">
        <f t="shared" si="25"/>
        <v>-23140910</v>
      </c>
      <c r="D213" s="109">
        <f t="shared" si="26"/>
        <v>-1.9702753002369899E-2</v>
      </c>
      <c r="E213" s="109">
        <f>RATE(3,0,-B$210,B213)</f>
        <v>-2.2503680894619967E-2</v>
      </c>
      <c r="H213" s="6">
        <f>SUM(H39:H50)</f>
        <v>1167569771.1626649</v>
      </c>
      <c r="I213" s="36">
        <f t="shared" si="18"/>
        <v>16209331.16266489</v>
      </c>
      <c r="J213" s="5">
        <f t="shared" si="19"/>
        <v>1.4078415932603078E-2</v>
      </c>
      <c r="K213" s="178"/>
      <c r="L213" s="182"/>
      <c r="M213" s="392">
        <f t="shared" si="22"/>
        <v>1167569771.1626649</v>
      </c>
      <c r="N213" s="182"/>
      <c r="O213" s="392">
        <f t="shared" si="23"/>
        <v>1167569771.1626649</v>
      </c>
      <c r="P213" s="182"/>
      <c r="Q213" s="392">
        <f t="shared" si="24"/>
        <v>1167569771.1626649</v>
      </c>
      <c r="R213" s="70">
        <v>1167569771.1626649</v>
      </c>
      <c r="S213" s="433">
        <f t="shared" si="20"/>
        <v>0</v>
      </c>
      <c r="T213" s="70">
        <v>1166568192.2886453</v>
      </c>
      <c r="U213" s="70">
        <f t="shared" si="21"/>
        <v>1001578.8740196228</v>
      </c>
    </row>
    <row r="214" spans="1:21" x14ac:dyDescent="0.3">
      <c r="A214" s="16">
        <v>2007</v>
      </c>
      <c r="B214" s="6">
        <f>SUM(B51:B62)</f>
        <v>1191153590</v>
      </c>
      <c r="C214" s="107">
        <f t="shared" si="25"/>
        <v>39793150</v>
      </c>
      <c r="D214" s="109">
        <f t="shared" si="26"/>
        <v>3.4561852759158546E-2</v>
      </c>
      <c r="E214" s="109">
        <f>RATE(4,0,-B$210,B214)</f>
        <v>-8.5393934317338754E-3</v>
      </c>
      <c r="H214" s="6">
        <f>SUM(H51:H62)</f>
        <v>1143276288.5600548</v>
      </c>
      <c r="I214" s="36">
        <f t="shared" si="18"/>
        <v>-47877301.439945221</v>
      </c>
      <c r="J214" s="5">
        <f t="shared" si="19"/>
        <v>-4.0194062161156917E-2</v>
      </c>
      <c r="K214" s="178"/>
      <c r="L214" s="182"/>
      <c r="M214" s="392">
        <f t="shared" si="22"/>
        <v>1143276288.5600548</v>
      </c>
      <c r="N214" s="182"/>
      <c r="O214" s="392">
        <f t="shared" si="23"/>
        <v>1143276288.5600548</v>
      </c>
      <c r="P214" s="182"/>
      <c r="Q214" s="392">
        <f t="shared" si="24"/>
        <v>1143276288.5600548</v>
      </c>
      <c r="R214" s="70">
        <v>1143276288.5600548</v>
      </c>
      <c r="S214" s="433">
        <f t="shared" si="20"/>
        <v>0</v>
      </c>
      <c r="T214" s="70">
        <v>1142506607.2224176</v>
      </c>
      <c r="U214" s="70">
        <f t="shared" si="21"/>
        <v>769681.33763718605</v>
      </c>
    </row>
    <row r="215" spans="1:21" x14ac:dyDescent="0.3">
      <c r="A215">
        <v>2008</v>
      </c>
      <c r="B215" s="6">
        <f>SUM(B63:B74)</f>
        <v>1158881926</v>
      </c>
      <c r="C215" s="107">
        <f t="shared" si="25"/>
        <v>-32271664</v>
      </c>
      <c r="D215" s="109">
        <f t="shared" si="26"/>
        <v>-2.70927815446537E-2</v>
      </c>
      <c r="E215" s="109">
        <f>RATE(5,0,-B$210,B215)</f>
        <v>-1.2278162500929547E-2</v>
      </c>
      <c r="H215" s="6">
        <f>SUM(H63:H74)</f>
        <v>1104122225.6612682</v>
      </c>
      <c r="I215" s="36">
        <f t="shared" si="18"/>
        <v>-54759700.338731766</v>
      </c>
      <c r="J215" s="5">
        <f t="shared" si="19"/>
        <v>-4.7252182565087106E-2</v>
      </c>
      <c r="K215" s="178"/>
      <c r="L215" s="182"/>
      <c r="M215" s="392">
        <f t="shared" si="22"/>
        <v>1104122225.6612682</v>
      </c>
      <c r="N215" s="182"/>
      <c r="O215" s="392">
        <f t="shared" si="23"/>
        <v>1104122225.6612682</v>
      </c>
      <c r="P215" s="182"/>
      <c r="Q215" s="392">
        <f t="shared" si="24"/>
        <v>1104122225.6612682</v>
      </c>
      <c r="R215" s="70">
        <v>1104122225.6612682</v>
      </c>
      <c r="S215" s="433">
        <f t="shared" si="20"/>
        <v>0</v>
      </c>
      <c r="T215" s="70">
        <v>1105605337.8738799</v>
      </c>
      <c r="U215" s="70">
        <f t="shared" si="21"/>
        <v>-1483112.2126116753</v>
      </c>
    </row>
    <row r="216" spans="1:21" x14ac:dyDescent="0.3">
      <c r="A216" s="16">
        <v>2009</v>
      </c>
      <c r="B216" s="6">
        <f>SUM(B75:B86)</f>
        <v>1128390784.5107694</v>
      </c>
      <c r="C216" s="107">
        <f t="shared" si="25"/>
        <v>-30491141.489230633</v>
      </c>
      <c r="D216" s="109">
        <f t="shared" si="26"/>
        <v>-2.6310826672803447E-2</v>
      </c>
      <c r="E216" s="109">
        <f>RATE(6,0,-B$210,B216)</f>
        <v>-1.4630905973235077E-2</v>
      </c>
      <c r="H216" s="6">
        <f>SUM(H75:H86)</f>
        <v>1123059224.0894532</v>
      </c>
      <c r="I216" s="36">
        <f t="shared" si="18"/>
        <v>-5331560.4213161469</v>
      </c>
      <c r="J216" s="5">
        <f t="shared" si="19"/>
        <v>-4.7249237538108078E-3</v>
      </c>
      <c r="K216" s="178"/>
      <c r="L216" s="182"/>
      <c r="M216" s="392">
        <f t="shared" si="22"/>
        <v>1123059224.0894532</v>
      </c>
      <c r="N216" s="182"/>
      <c r="O216" s="392">
        <f t="shared" si="23"/>
        <v>1123059224.0894532</v>
      </c>
      <c r="P216" s="182"/>
      <c r="Q216" s="392">
        <f t="shared" si="24"/>
        <v>1123059224.0894532</v>
      </c>
      <c r="R216" s="70">
        <v>1123059224.0894532</v>
      </c>
      <c r="S216" s="433">
        <f t="shared" si="20"/>
        <v>0</v>
      </c>
      <c r="T216" s="70">
        <v>1123816338.2115908</v>
      </c>
      <c r="U216" s="70">
        <f t="shared" si="21"/>
        <v>-757114.12213754654</v>
      </c>
    </row>
    <row r="217" spans="1:21" x14ac:dyDescent="0.3">
      <c r="A217">
        <v>2010</v>
      </c>
      <c r="B217" s="6">
        <f>SUM(B87:B98)</f>
        <v>1148489331.8146157</v>
      </c>
      <c r="C217" s="107">
        <f t="shared" si="25"/>
        <v>20098547.303846359</v>
      </c>
      <c r="D217" s="109">
        <f t="shared" si="26"/>
        <v>1.781169039993568E-2</v>
      </c>
      <c r="E217" s="109">
        <f>RATE(7,0,-B$210,B217)</f>
        <v>-1.0060343960087228E-2</v>
      </c>
      <c r="H217" s="6">
        <f>SUM(H87:H98)</f>
        <v>1129587697.9506867</v>
      </c>
      <c r="I217" s="36">
        <f t="shared" si="18"/>
        <v>-18901633.863929033</v>
      </c>
      <c r="J217" s="5">
        <f t="shared" si="19"/>
        <v>-1.645782275928015E-2</v>
      </c>
      <c r="K217" s="178"/>
      <c r="L217" s="182"/>
      <c r="M217" s="392">
        <f t="shared" si="22"/>
        <v>1129587697.9506867</v>
      </c>
      <c r="N217" s="182"/>
      <c r="O217" s="392">
        <f t="shared" si="23"/>
        <v>1129587697.9506867</v>
      </c>
      <c r="P217" s="182"/>
      <c r="Q217" s="392">
        <f t="shared" si="24"/>
        <v>1129587697.9506867</v>
      </c>
      <c r="R217" s="70">
        <v>1129587697.9506867</v>
      </c>
      <c r="S217" s="433">
        <f t="shared" si="20"/>
        <v>0</v>
      </c>
      <c r="T217" s="70">
        <v>1128203375.0065463</v>
      </c>
      <c r="U217" s="70">
        <f t="shared" si="21"/>
        <v>1384322.9441404343</v>
      </c>
    </row>
    <row r="218" spans="1:21" x14ac:dyDescent="0.3">
      <c r="A218">
        <v>2011</v>
      </c>
      <c r="B218" s="6">
        <f>SUM(B99:B110)</f>
        <v>1148632387.3953846</v>
      </c>
      <c r="C218" s="107">
        <f t="shared" si="25"/>
        <v>143055.58076882362</v>
      </c>
      <c r="D218" s="109">
        <f t="shared" si="26"/>
        <v>1.2455978197272019E-4</v>
      </c>
      <c r="E218" s="109">
        <f>RATE(8,0,-B$210,B218)</f>
        <v>-8.7929249231188996E-3</v>
      </c>
      <c r="H218" s="6">
        <f>SUM(H99:H110)</f>
        <v>1161830633.4946833</v>
      </c>
      <c r="I218" s="36">
        <f t="shared" si="18"/>
        <v>13198246.099298716</v>
      </c>
      <c r="J218" s="5">
        <f t="shared" si="19"/>
        <v>1.1490400448507977E-2</v>
      </c>
      <c r="K218" s="178"/>
      <c r="L218" s="182"/>
      <c r="M218" s="392">
        <f t="shared" si="22"/>
        <v>1161830633.4946833</v>
      </c>
      <c r="N218" s="182"/>
      <c r="O218" s="392">
        <f t="shared" si="23"/>
        <v>1161830633.4946833</v>
      </c>
      <c r="P218" s="182"/>
      <c r="Q218" s="392">
        <f t="shared" si="24"/>
        <v>1161830633.4946833</v>
      </c>
      <c r="R218" s="70">
        <v>1161830633.4946833</v>
      </c>
      <c r="S218" s="433">
        <f t="shared" si="20"/>
        <v>0</v>
      </c>
      <c r="T218" s="70">
        <v>1162405206.2491772</v>
      </c>
      <c r="U218" s="70">
        <f t="shared" si="21"/>
        <v>-574572.7544939518</v>
      </c>
    </row>
    <row r="219" spans="1:21" x14ac:dyDescent="0.3">
      <c r="A219">
        <v>2012</v>
      </c>
      <c r="B219" s="6">
        <f>SUM(B111:B122)</f>
        <v>1136211952.670979</v>
      </c>
      <c r="C219" s="107">
        <f t="shared" si="25"/>
        <v>-12420434.724405527</v>
      </c>
      <c r="D219" s="109">
        <f t="shared" si="26"/>
        <v>-1.0813237429748827E-2</v>
      </c>
      <c r="E219" s="109">
        <f>RATE(9,0,-B$210,B219)</f>
        <v>-9.0176077035169049E-3</v>
      </c>
      <c r="H219" s="6">
        <f>SUM(H111:H122)</f>
        <v>1150989222.1932878</v>
      </c>
      <c r="I219" s="36">
        <f t="shared" si="18"/>
        <v>14777269.522308826</v>
      </c>
      <c r="J219" s="5">
        <f t="shared" si="19"/>
        <v>1.3005733206353608E-2</v>
      </c>
      <c r="K219" s="178"/>
      <c r="L219" s="182"/>
      <c r="M219" s="392">
        <f t="shared" si="22"/>
        <v>1150989222.1932878</v>
      </c>
      <c r="N219" s="182"/>
      <c r="O219" s="392">
        <f t="shared" si="23"/>
        <v>1150989222.1932878</v>
      </c>
      <c r="P219" s="182"/>
      <c r="Q219" s="392">
        <f t="shared" si="24"/>
        <v>1150989222.1932878</v>
      </c>
      <c r="R219" s="70">
        <v>1150989222.1932878</v>
      </c>
      <c r="S219" s="433">
        <f t="shared" si="20"/>
        <v>0</v>
      </c>
      <c r="T219" s="70">
        <v>1148412454.4669952</v>
      </c>
      <c r="U219" s="70">
        <f t="shared" si="21"/>
        <v>2576767.7262926102</v>
      </c>
    </row>
    <row r="220" spans="1:21" x14ac:dyDescent="0.3">
      <c r="A220">
        <v>2013</v>
      </c>
      <c r="B220" s="6">
        <f>SUM(B123:B134)</f>
        <v>1130407041.6666667</v>
      </c>
      <c r="C220" s="107">
        <f t="shared" ref="C220:C226" si="27">+B220-B219</f>
        <v>-5804911.0043122768</v>
      </c>
      <c r="D220" s="109">
        <f t="shared" ref="D220:D226" si="28">+C220/B219</f>
        <v>-5.1090036420284399E-3</v>
      </c>
      <c r="E220" s="109">
        <f>RATE(10,0,-B$210,B220)</f>
        <v>-8.6274392985243292E-3</v>
      </c>
      <c r="G220" s="174"/>
      <c r="H220" s="6">
        <f ca="1">SUM(H123:H134)</f>
        <v>1157767974.9881625</v>
      </c>
      <c r="I220" s="36">
        <f t="shared" ca="1" si="18"/>
        <v>27360933.321495771</v>
      </c>
      <c r="J220" s="5">
        <f t="shared" ca="1" si="19"/>
        <v>2.4204496533527377E-2</v>
      </c>
      <c r="K220" s="178"/>
      <c r="L220" s="182"/>
      <c r="M220" s="392">
        <f t="shared" ca="1" si="22"/>
        <v>1157767974.9881625</v>
      </c>
      <c r="N220" s="182"/>
      <c r="O220" s="392">
        <f t="shared" ca="1" si="23"/>
        <v>1157767974.9881625</v>
      </c>
      <c r="P220" s="182"/>
      <c r="Q220" s="392">
        <f t="shared" ca="1" si="24"/>
        <v>1157767974.9881625</v>
      </c>
      <c r="R220" s="70">
        <v>1157767974.9881625</v>
      </c>
      <c r="S220" s="433">
        <f t="shared" ca="1" si="20"/>
        <v>0</v>
      </c>
      <c r="T220" s="70">
        <v>1162091422.8514135</v>
      </c>
      <c r="U220" s="70">
        <f t="shared" ca="1" si="21"/>
        <v>-4323447.8632509708</v>
      </c>
    </row>
    <row r="221" spans="1:21" x14ac:dyDescent="0.3">
      <c r="A221">
        <v>2014</v>
      </c>
      <c r="B221" s="6">
        <f>SUM(B135:B146)</f>
        <v>1134970142.7733078</v>
      </c>
      <c r="C221" s="107">
        <f t="shared" ref="C221" si="29">+B221-B220</f>
        <v>4563101.1066410542</v>
      </c>
      <c r="D221" s="109">
        <f t="shared" ref="D221" si="30">+C221/B220</f>
        <v>4.0366885010847415E-3</v>
      </c>
      <c r="E221" s="109">
        <f>RATE(10,0,-B$210,B221)</f>
        <v>-8.2279781660642495E-3</v>
      </c>
      <c r="G221" s="6"/>
      <c r="H221" s="6">
        <f>SUM(H135:H146)</f>
        <v>1171374402.7386408</v>
      </c>
      <c r="I221" s="36">
        <f t="shared" si="18"/>
        <v>36404259.965332985</v>
      </c>
      <c r="J221" s="5">
        <f t="shared" si="19"/>
        <v>3.2075081619661737E-2</v>
      </c>
      <c r="K221" s="178"/>
      <c r="M221" s="392">
        <f t="shared" si="22"/>
        <v>1171374402.7386408</v>
      </c>
      <c r="O221" s="392">
        <f t="shared" si="23"/>
        <v>1171374402.7386408</v>
      </c>
      <c r="Q221" s="392">
        <f t="shared" si="24"/>
        <v>1171374402.7386408</v>
      </c>
      <c r="R221" s="70">
        <v>1171374402.7386408</v>
      </c>
      <c r="S221" s="433">
        <f t="shared" si="20"/>
        <v>0</v>
      </c>
      <c r="T221" s="70">
        <v>1169512871.2930617</v>
      </c>
      <c r="U221" s="70">
        <f t="shared" si="21"/>
        <v>1861531.445579052</v>
      </c>
    </row>
    <row r="222" spans="1:21" x14ac:dyDescent="0.3">
      <c r="A222">
        <v>2015</v>
      </c>
      <c r="B222" s="6">
        <f t="shared" ref="B222:B224" ca="1" si="31">+H222</f>
        <v>1155140188.5772896</v>
      </c>
      <c r="C222" s="107">
        <f t="shared" ca="1" si="27"/>
        <v>20170045.803981781</v>
      </c>
      <c r="D222" s="109">
        <f t="shared" ca="1" si="28"/>
        <v>1.7771432960074288E-2</v>
      </c>
      <c r="E222" s="109">
        <f ca="1">RATE(12,0,-B$210,B222)</f>
        <v>-5.402419223235453E-3</v>
      </c>
      <c r="G222" s="6"/>
      <c r="H222" s="6">
        <f ca="1">SUM(H147:H158)</f>
        <v>1155140188.5772896</v>
      </c>
      <c r="I222" s="36">
        <f t="shared" ca="1" si="18"/>
        <v>0</v>
      </c>
      <c r="J222" s="5">
        <f t="shared" ca="1" si="19"/>
        <v>0</v>
      </c>
      <c r="K222" s="178"/>
      <c r="L222" s="403">
        <f>+' CDM Summary'!K$19*'Rate Class Energy Model'!$F$25</f>
        <v>11592521.495236788</v>
      </c>
      <c r="M222" s="392">
        <f t="shared" ca="1" si="22"/>
        <v>1143547667.0820527</v>
      </c>
      <c r="N222" s="403">
        <f>+' CDM Summary'!K$18*'Rate Class Energy Model'!$F$25</f>
        <v>699556.55750752124</v>
      </c>
      <c r="O222" s="392">
        <f t="shared" ca="1" si="23"/>
        <v>1142848110.5245452</v>
      </c>
      <c r="P222" s="403">
        <f ca="1">+'City Expansion'!C101</f>
        <v>12847873.6919739</v>
      </c>
      <c r="Q222" s="392">
        <f t="shared" ca="1" si="24"/>
        <v>1155695984.2165191</v>
      </c>
      <c r="R222" s="70">
        <v>1167660287.9986157</v>
      </c>
      <c r="S222" s="433">
        <f t="shared" ca="1" si="20"/>
        <v>-11964303.782096624</v>
      </c>
      <c r="T222" s="70">
        <v>1170789222.604636</v>
      </c>
      <c r="U222" s="70">
        <f t="shared" ca="1" si="21"/>
        <v>-15093238.388116837</v>
      </c>
    </row>
    <row r="223" spans="1:21" x14ac:dyDescent="0.3">
      <c r="A223">
        <v>2016</v>
      </c>
      <c r="B223" s="6">
        <f t="shared" ca="1" si="31"/>
        <v>1164535979.6181116</v>
      </c>
      <c r="C223" s="107">
        <f t="shared" ca="1" si="27"/>
        <v>9395791.0408220291</v>
      </c>
      <c r="D223" s="109">
        <f t="shared" ca="1" si="28"/>
        <v>8.1338967631229327E-3</v>
      </c>
      <c r="E223" s="109">
        <f ca="1">RATE(13,0,-B$210,B223)</f>
        <v>-4.3676482548418091E-3</v>
      </c>
      <c r="G223" s="6"/>
      <c r="H223" s="6">
        <f ca="1">SUM(H159:H170)</f>
        <v>1164535979.6181116</v>
      </c>
      <c r="I223" s="36">
        <f t="shared" ca="1" si="18"/>
        <v>0</v>
      </c>
      <c r="J223" s="5">
        <f t="shared" ca="1" si="19"/>
        <v>0</v>
      </c>
      <c r="K223" s="178"/>
      <c r="L223" s="403">
        <f>+' CDM Summary'!L$19*'Rate Class Energy Model'!$F$25</f>
        <v>20998903.467279524</v>
      </c>
      <c r="M223" s="392">
        <f t="shared" ca="1" si="22"/>
        <v>1143537076.1508322</v>
      </c>
      <c r="N223" s="403">
        <f>+' CDM Summary'!L$18*'Rate Class Energy Model'!$F$25</f>
        <v>4299297.8358792122</v>
      </c>
      <c r="O223" s="392">
        <f t="shared" ca="1" si="23"/>
        <v>1139237778.3149529</v>
      </c>
      <c r="P223" s="403">
        <f ca="1">+'City Expansion'!C102</f>
        <v>20289882.587203253</v>
      </c>
      <c r="Q223" s="392">
        <f t="shared" ca="1" si="24"/>
        <v>1159527660.9021561</v>
      </c>
      <c r="R223" s="70">
        <v>1190486193.2400484</v>
      </c>
      <c r="S223" s="433">
        <f t="shared" ca="1" si="20"/>
        <v>-30958532.337892294</v>
      </c>
      <c r="T223" s="70">
        <v>1186826722.6269789</v>
      </c>
      <c r="U223" s="70">
        <f t="shared" ca="1" si="21"/>
        <v>-27299061.72482276</v>
      </c>
    </row>
    <row r="224" spans="1:21" x14ac:dyDescent="0.3">
      <c r="A224">
        <v>2017</v>
      </c>
      <c r="B224" s="6">
        <f t="shared" ca="1" si="31"/>
        <v>1167582687.2429476</v>
      </c>
      <c r="C224" s="107">
        <f t="shared" ca="1" si="27"/>
        <v>3046707.624835968</v>
      </c>
      <c r="D224" s="109">
        <f t="shared" ca="1" si="28"/>
        <v>2.6162417290319191E-3</v>
      </c>
      <c r="E224" s="109">
        <f ca="1">RATE(14,0,-B$210,B224)</f>
        <v>-3.8704163064594726E-3</v>
      </c>
      <c r="G224" s="6"/>
      <c r="H224" s="6">
        <f ca="1">SUM(H171:H182)</f>
        <v>1167582687.2429476</v>
      </c>
      <c r="I224" s="36">
        <f t="shared" ca="1" si="18"/>
        <v>0</v>
      </c>
      <c r="J224" s="5">
        <f t="shared" ca="1" si="19"/>
        <v>0</v>
      </c>
      <c r="K224" s="178"/>
      <c r="L224" s="403">
        <f>+' CDM Summary'!M$19*'Rate Class Energy Model'!$F$25</f>
        <v>28541509.501449063</v>
      </c>
      <c r="M224" s="392">
        <f t="shared" ca="1" si="22"/>
        <v>1139041177.7414985</v>
      </c>
      <c r="N224" s="403">
        <f>+' CDM Summary'!M$18*'Rate Class Energy Model'!$F$25</f>
        <v>4800425.2625000002</v>
      </c>
      <c r="O224" s="392">
        <f t="shared" ca="1" si="23"/>
        <v>1134240752.4789984</v>
      </c>
      <c r="P224" s="403">
        <f ca="1">+'City Expansion'!C103</f>
        <v>27722070.617245946</v>
      </c>
      <c r="Q224" s="392">
        <f t="shared" ca="1" si="24"/>
        <v>1161962823.0962443</v>
      </c>
      <c r="R224" s="70">
        <v>1211631082.7136023</v>
      </c>
      <c r="S224" s="433">
        <f t="shared" ca="1" si="20"/>
        <v>-49668259.617357969</v>
      </c>
      <c r="T224" s="70">
        <v>1201655752.4623165</v>
      </c>
      <c r="U224" s="70">
        <f t="shared" ca="1" si="21"/>
        <v>-39692929.366072178</v>
      </c>
    </row>
    <row r="225" spans="1:21" x14ac:dyDescent="0.3">
      <c r="A225">
        <v>2018</v>
      </c>
      <c r="B225" s="6">
        <f ca="1">+H225</f>
        <v>1170520918.3295219</v>
      </c>
      <c r="C225" s="107">
        <f t="shared" ca="1" si="27"/>
        <v>2938231.086574316</v>
      </c>
      <c r="D225" s="109">
        <f t="shared" ca="1" si="28"/>
        <v>2.5165079258861402E-3</v>
      </c>
      <c r="E225" s="109">
        <f ca="1">RATE(15,0,-B$210,B225)</f>
        <v>-3.445890158352454E-3</v>
      </c>
      <c r="G225" s="6"/>
      <c r="H225" s="6">
        <f ca="1">SUM(H183:H194)</f>
        <v>1170520918.3295219</v>
      </c>
      <c r="I225" s="36">
        <f ca="1">H225-B225</f>
        <v>0</v>
      </c>
      <c r="J225" s="5">
        <f t="shared" ca="1" si="19"/>
        <v>0</v>
      </c>
      <c r="K225" s="178"/>
      <c r="L225" s="403">
        <f>+' CDM Summary'!N$19*'Rate Class Energy Model'!$F$25</f>
        <v>39359539.795637913</v>
      </c>
      <c r="M225" s="392">
        <f t="shared" ca="1" si="22"/>
        <v>1131161378.533884</v>
      </c>
      <c r="N225" s="403">
        <f>+' CDM Summary'!N$18*'Rate Class Energy Model'!$F$25</f>
        <v>4800425.2625000002</v>
      </c>
      <c r="O225" s="392">
        <f t="shared" ca="1" si="23"/>
        <v>1126360953.271384</v>
      </c>
      <c r="P225" s="403">
        <f ca="1">+'City Expansion'!C104</f>
        <v>39230167.609783046</v>
      </c>
      <c r="Q225" s="392">
        <f t="shared" ca="1" si="24"/>
        <v>1165591120.8811669</v>
      </c>
      <c r="R225" s="70">
        <v>1231302093.0335994</v>
      </c>
      <c r="S225" s="433">
        <f t="shared" ca="1" si="20"/>
        <v>-65710972.152432442</v>
      </c>
      <c r="T225" s="70">
        <v>1217915398.7826724</v>
      </c>
      <c r="U225" s="70">
        <f t="shared" ca="1" si="21"/>
        <v>-52324277.90150547</v>
      </c>
    </row>
    <row r="226" spans="1:21" x14ac:dyDescent="0.3">
      <c r="A226">
        <v>2019</v>
      </c>
      <c r="B226" s="6">
        <f ca="1">+H226</f>
        <v>1177836560.5808876</v>
      </c>
      <c r="C226" s="107">
        <f t="shared" ca="1" si="27"/>
        <v>7315642.2513656616</v>
      </c>
      <c r="D226" s="109">
        <f t="shared" ca="1" si="28"/>
        <v>6.2499030447110571E-3</v>
      </c>
      <c r="E226" s="109">
        <f ca="1">RATE(16,0,-B$210,B226)</f>
        <v>-2.8426495165238593E-3</v>
      </c>
      <c r="G226" s="6"/>
      <c r="H226" s="6">
        <f ca="1">SUM(H195:H206)</f>
        <v>1177836560.5808876</v>
      </c>
      <c r="I226" s="36">
        <f ca="1">H226-B226</f>
        <v>0</v>
      </c>
      <c r="J226" s="5">
        <f t="shared" ca="1" si="19"/>
        <v>0</v>
      </c>
      <c r="K226" s="178"/>
      <c r="L226" s="403">
        <f>+' CDM Summary'!O$19*'Rate Class Energy Model'!$F$25</f>
        <v>54127908.595370837</v>
      </c>
      <c r="M226" s="392">
        <f t="shared" ca="1" si="22"/>
        <v>1123708651.9855168</v>
      </c>
      <c r="N226" s="403">
        <f>+' CDM Summary'!O$18*'Rate Class Energy Model'!$F$25</f>
        <v>4800425.2625000002</v>
      </c>
      <c r="O226" s="392">
        <f t="shared" ca="1" si="23"/>
        <v>1118908226.7230167</v>
      </c>
      <c r="P226" s="403">
        <f ca="1">+'City Expansion'!C105</f>
        <v>51175926.187507756</v>
      </c>
      <c r="Q226" s="392">
        <f t="shared" ca="1" si="24"/>
        <v>1170084152.9105246</v>
      </c>
      <c r="R226" s="70">
        <v>1248578354.7439439</v>
      </c>
      <c r="S226" s="433">
        <f t="shared" ca="1" si="20"/>
        <v>-78494201.833419323</v>
      </c>
      <c r="T226" s="70">
        <v>1226740333.9186592</v>
      </c>
      <c r="U226" s="70">
        <f t="shared" ca="1" si="21"/>
        <v>-56656181.008134604</v>
      </c>
    </row>
    <row r="227" spans="1:21" x14ac:dyDescent="0.3">
      <c r="C227" s="101"/>
      <c r="F227" s="6"/>
      <c r="H227" s="6"/>
      <c r="K227" s="178"/>
      <c r="T227"/>
    </row>
    <row r="228" spans="1:21" x14ac:dyDescent="0.3">
      <c r="A228" t="s">
        <v>9</v>
      </c>
      <c r="B228" s="6">
        <f ca="1">SUM(B210:B226)</f>
        <v>19749780641.180477</v>
      </c>
      <c r="C228" s="101"/>
      <c r="H228" s="6">
        <f ca="1">SUM(H210:H226)</f>
        <v>19749780641.180477</v>
      </c>
      <c r="I228" s="183">
        <f ca="1">H228-B228</f>
        <v>0</v>
      </c>
      <c r="K228" s="178"/>
      <c r="T228"/>
    </row>
    <row r="229" spans="1:21" x14ac:dyDescent="0.3">
      <c r="I229" s="62"/>
      <c r="K229" s="178"/>
      <c r="S229" s="172"/>
      <c r="T229" s="172"/>
      <c r="U229" s="172"/>
    </row>
    <row r="230" spans="1:21" x14ac:dyDescent="0.3">
      <c r="H230" s="6">
        <f ca="1">SUM(H210:H226)</f>
        <v>19749780641.180477</v>
      </c>
      <c r="I230" s="183">
        <f ca="1">H208-H230</f>
        <v>0</v>
      </c>
      <c r="K230" s="178"/>
      <c r="S230" s="172"/>
      <c r="T230" s="172"/>
      <c r="U230" s="172"/>
    </row>
    <row r="231" spans="1:21" x14ac:dyDescent="0.3">
      <c r="H231" s="23"/>
      <c r="I231" s="184" t="s">
        <v>69</v>
      </c>
      <c r="J231" s="18"/>
      <c r="K231" s="178"/>
      <c r="S231" s="172"/>
      <c r="T231" s="172"/>
      <c r="U231" s="172"/>
    </row>
    <row r="232" spans="1:21" x14ac:dyDescent="0.3">
      <c r="K232" s="178"/>
      <c r="S232" s="172"/>
      <c r="T232" s="172"/>
      <c r="U232" s="172"/>
    </row>
    <row r="233" spans="1:21" x14ac:dyDescent="0.3">
      <c r="K233" s="178"/>
      <c r="S233" s="172"/>
      <c r="T233" s="172"/>
      <c r="U233" s="172"/>
    </row>
    <row r="234" spans="1:21" x14ac:dyDescent="0.3">
      <c r="E234" s="162"/>
      <c r="S234" s="172"/>
      <c r="T234" s="172"/>
      <c r="U234" s="172"/>
    </row>
    <row r="235" spans="1:21" x14ac:dyDescent="0.3">
      <c r="E235" s="162"/>
      <c r="H235" s="101"/>
      <c r="T235" s="172"/>
    </row>
    <row r="236" spans="1:21" x14ac:dyDescent="0.3">
      <c r="F236" s="6"/>
      <c r="H236" s="101"/>
      <c r="T236" s="172"/>
    </row>
    <row r="237" spans="1:21" x14ac:dyDescent="0.3">
      <c r="L237" s="172"/>
      <c r="P237" s="172"/>
      <c r="T237" s="172"/>
    </row>
    <row r="238" spans="1:21" x14ac:dyDescent="0.3">
      <c r="L238" s="172"/>
      <c r="P238" s="172"/>
      <c r="T238"/>
    </row>
    <row r="239" spans="1:21" x14ac:dyDescent="0.3">
      <c r="T239"/>
    </row>
    <row r="240" spans="1:21" x14ac:dyDescent="0.3">
      <c r="C240" s="6"/>
      <c r="D240" s="6"/>
      <c r="F240" s="6"/>
      <c r="G240" s="6"/>
      <c r="H240" s="6"/>
      <c r="T240"/>
    </row>
    <row r="241" spans="8:20" x14ac:dyDescent="0.3">
      <c r="H241" s="6"/>
      <c r="K241" s="178"/>
      <c r="T241"/>
    </row>
    <row r="242" spans="8:20" x14ac:dyDescent="0.3">
      <c r="T242"/>
    </row>
    <row r="243" spans="8:20" x14ac:dyDescent="0.3">
      <c r="T243"/>
    </row>
    <row r="244" spans="8:20" x14ac:dyDescent="0.3">
      <c r="T244"/>
    </row>
    <row r="245" spans="8:20" x14ac:dyDescent="0.3">
      <c r="T245"/>
    </row>
    <row r="246" spans="8:20" x14ac:dyDescent="0.3">
      <c r="T246"/>
    </row>
    <row r="247" spans="8:20" x14ac:dyDescent="0.3">
      <c r="T247"/>
    </row>
    <row r="248" spans="8:20" x14ac:dyDescent="0.3">
      <c r="T248"/>
    </row>
    <row r="249" spans="8:20" x14ac:dyDescent="0.3">
      <c r="T249"/>
    </row>
    <row r="250" spans="8:20" x14ac:dyDescent="0.3">
      <c r="T250"/>
    </row>
    <row r="251" spans="8:20" x14ac:dyDescent="0.3">
      <c r="T251"/>
    </row>
    <row r="252" spans="8:20" x14ac:dyDescent="0.3">
      <c r="T252"/>
    </row>
    <row r="253" spans="8:20" x14ac:dyDescent="0.3">
      <c r="T253"/>
    </row>
    <row r="254" spans="8:20" x14ac:dyDescent="0.3">
      <c r="T254"/>
    </row>
    <row r="255" spans="8:20" x14ac:dyDescent="0.3">
      <c r="T255"/>
    </row>
    <row r="256" spans="8:20" x14ac:dyDescent="0.3">
      <c r="T256"/>
    </row>
    <row r="257" spans="20:20" x14ac:dyDescent="0.3">
      <c r="T257"/>
    </row>
    <row r="258" spans="20:20" x14ac:dyDescent="0.3">
      <c r="T258"/>
    </row>
    <row r="259" spans="20:20" x14ac:dyDescent="0.3">
      <c r="T259"/>
    </row>
    <row r="260" spans="20:20" x14ac:dyDescent="0.3">
      <c r="T260"/>
    </row>
    <row r="261" spans="20:20" x14ac:dyDescent="0.3">
      <c r="T261"/>
    </row>
    <row r="262" spans="20:20" x14ac:dyDescent="0.3">
      <c r="T262"/>
    </row>
    <row r="263" spans="20:20" x14ac:dyDescent="0.3">
      <c r="T263"/>
    </row>
    <row r="264" spans="20:20" x14ac:dyDescent="0.3">
      <c r="T264"/>
    </row>
    <row r="265" spans="20:20" x14ac:dyDescent="0.3">
      <c r="T265"/>
    </row>
    <row r="266" spans="20:20" x14ac:dyDescent="0.3">
      <c r="T266"/>
    </row>
    <row r="267" spans="20:20" x14ac:dyDescent="0.3">
      <c r="T267"/>
    </row>
    <row r="268" spans="20:20" x14ac:dyDescent="0.3">
      <c r="T268"/>
    </row>
    <row r="269" spans="20:20" x14ac:dyDescent="0.3">
      <c r="T269"/>
    </row>
    <row r="270" spans="20:20" x14ac:dyDescent="0.3">
      <c r="T270"/>
    </row>
    <row r="271" spans="20:20" x14ac:dyDescent="0.3">
      <c r="T271"/>
    </row>
    <row r="272" spans="20:20" x14ac:dyDescent="0.3">
      <c r="T272"/>
    </row>
    <row r="273" spans="20:20" x14ac:dyDescent="0.3">
      <c r="T273"/>
    </row>
    <row r="274" spans="20:20" x14ac:dyDescent="0.3">
      <c r="T274"/>
    </row>
    <row r="275" spans="20:20" x14ac:dyDescent="0.3">
      <c r="T275"/>
    </row>
    <row r="276" spans="20:20" x14ac:dyDescent="0.3">
      <c r="T276"/>
    </row>
    <row r="277" spans="20:20" x14ac:dyDescent="0.3">
      <c r="T277"/>
    </row>
    <row r="278" spans="20:20" x14ac:dyDescent="0.3">
      <c r="T278"/>
    </row>
    <row r="279" spans="20:20" x14ac:dyDescent="0.3">
      <c r="T279"/>
    </row>
    <row r="280" spans="20:20" x14ac:dyDescent="0.3">
      <c r="T280"/>
    </row>
    <row r="281" spans="20:20" x14ac:dyDescent="0.3">
      <c r="T281"/>
    </row>
    <row r="282" spans="20:20" x14ac:dyDescent="0.3">
      <c r="T282"/>
    </row>
    <row r="283" spans="20:20" x14ac:dyDescent="0.3">
      <c r="T283"/>
    </row>
    <row r="284" spans="20:20" x14ac:dyDescent="0.3">
      <c r="T284"/>
    </row>
    <row r="285" spans="20:20" x14ac:dyDescent="0.3">
      <c r="T285"/>
    </row>
    <row r="286" spans="20:20" x14ac:dyDescent="0.3">
      <c r="T286"/>
    </row>
    <row r="287" spans="20:20" x14ac:dyDescent="0.3">
      <c r="T287"/>
    </row>
    <row r="288" spans="20:20" x14ac:dyDescent="0.3">
      <c r="T288"/>
    </row>
    <row r="289" spans="20:20" x14ac:dyDescent="0.3">
      <c r="T289"/>
    </row>
    <row r="290" spans="20:20" x14ac:dyDescent="0.3">
      <c r="T290"/>
    </row>
    <row r="291" spans="20:20" x14ac:dyDescent="0.3">
      <c r="T291"/>
    </row>
    <row r="292" spans="20:20" x14ac:dyDescent="0.3">
      <c r="T292"/>
    </row>
    <row r="293" spans="20:20" x14ac:dyDescent="0.3">
      <c r="T293"/>
    </row>
    <row r="294" spans="20:20" x14ac:dyDescent="0.3">
      <c r="T294"/>
    </row>
    <row r="295" spans="20:20" x14ac:dyDescent="0.3">
      <c r="T295"/>
    </row>
    <row r="296" spans="20:20" x14ac:dyDescent="0.3">
      <c r="T296"/>
    </row>
    <row r="297" spans="20:20" x14ac:dyDescent="0.3">
      <c r="T297"/>
    </row>
    <row r="298" spans="20:20" x14ac:dyDescent="0.3">
      <c r="T298"/>
    </row>
    <row r="299" spans="20:20" x14ac:dyDescent="0.3">
      <c r="T299"/>
    </row>
    <row r="300" spans="20:20" x14ac:dyDescent="0.3">
      <c r="T300"/>
    </row>
    <row r="301" spans="20:20" x14ac:dyDescent="0.3">
      <c r="T301"/>
    </row>
    <row r="302" spans="20:20" x14ac:dyDescent="0.3">
      <c r="T302"/>
    </row>
    <row r="303" spans="20:20" x14ac:dyDescent="0.3">
      <c r="T303"/>
    </row>
    <row r="304" spans="20:20" x14ac:dyDescent="0.3">
      <c r="T304"/>
    </row>
    <row r="305" spans="20:20" x14ac:dyDescent="0.3">
      <c r="T305"/>
    </row>
    <row r="306" spans="20:20" x14ac:dyDescent="0.3">
      <c r="T306"/>
    </row>
    <row r="307" spans="20:20" x14ac:dyDescent="0.3">
      <c r="T307"/>
    </row>
    <row r="308" spans="20:20" x14ac:dyDescent="0.3">
      <c r="T308"/>
    </row>
    <row r="309" spans="20:20" x14ac:dyDescent="0.3">
      <c r="T309"/>
    </row>
    <row r="310" spans="20:20" x14ac:dyDescent="0.3">
      <c r="T310"/>
    </row>
    <row r="311" spans="20:20" x14ac:dyDescent="0.3">
      <c r="T311"/>
    </row>
    <row r="312" spans="20:20" x14ac:dyDescent="0.3">
      <c r="T312"/>
    </row>
    <row r="313" spans="20:20" x14ac:dyDescent="0.3">
      <c r="T313"/>
    </row>
    <row r="314" spans="20:20" x14ac:dyDescent="0.3">
      <c r="T314"/>
    </row>
    <row r="315" spans="20:20" x14ac:dyDescent="0.3">
      <c r="T315"/>
    </row>
    <row r="316" spans="20:20" x14ac:dyDescent="0.3">
      <c r="T316"/>
    </row>
    <row r="317" spans="20:20" x14ac:dyDescent="0.3">
      <c r="T317"/>
    </row>
    <row r="318" spans="20:20" x14ac:dyDescent="0.3">
      <c r="T318"/>
    </row>
    <row r="319" spans="20:20" x14ac:dyDescent="0.3">
      <c r="T319"/>
    </row>
    <row r="320" spans="20:20" x14ac:dyDescent="0.3">
      <c r="T320"/>
    </row>
    <row r="321" spans="20:20" x14ac:dyDescent="0.3">
      <c r="T321"/>
    </row>
    <row r="322" spans="20:20" x14ac:dyDescent="0.3">
      <c r="T322"/>
    </row>
    <row r="323" spans="20:20" x14ac:dyDescent="0.3">
      <c r="T323"/>
    </row>
    <row r="324" spans="20:20" x14ac:dyDescent="0.3">
      <c r="T324"/>
    </row>
    <row r="325" spans="20:20" x14ac:dyDescent="0.3">
      <c r="T325"/>
    </row>
    <row r="326" spans="20:20" x14ac:dyDescent="0.3">
      <c r="T326"/>
    </row>
    <row r="327" spans="20:20" x14ac:dyDescent="0.3">
      <c r="T327"/>
    </row>
    <row r="328" spans="20:20" x14ac:dyDescent="0.3">
      <c r="T328"/>
    </row>
    <row r="329" spans="20:20" x14ac:dyDescent="0.3">
      <c r="T329"/>
    </row>
    <row r="330" spans="20:20" x14ac:dyDescent="0.3">
      <c r="T330"/>
    </row>
    <row r="331" spans="20:20" x14ac:dyDescent="0.3">
      <c r="T331"/>
    </row>
    <row r="332" spans="20:20" x14ac:dyDescent="0.3">
      <c r="T332"/>
    </row>
    <row r="333" spans="20:20" x14ac:dyDescent="0.3">
      <c r="T333"/>
    </row>
    <row r="334" spans="20:20" x14ac:dyDescent="0.3">
      <c r="T334"/>
    </row>
    <row r="335" spans="20:20" x14ac:dyDescent="0.3">
      <c r="T335"/>
    </row>
    <row r="336" spans="20:20" x14ac:dyDescent="0.3">
      <c r="T336"/>
    </row>
    <row r="337" spans="20:20" x14ac:dyDescent="0.3">
      <c r="T337"/>
    </row>
    <row r="338" spans="20:20" x14ac:dyDescent="0.3">
      <c r="T338"/>
    </row>
    <row r="339" spans="20:20" x14ac:dyDescent="0.3">
      <c r="T339"/>
    </row>
    <row r="340" spans="20:20" x14ac:dyDescent="0.3">
      <c r="T340"/>
    </row>
    <row r="341" spans="20:20" x14ac:dyDescent="0.3">
      <c r="T341"/>
    </row>
    <row r="342" spans="20:20" x14ac:dyDescent="0.3">
      <c r="T342"/>
    </row>
    <row r="343" spans="20:20" x14ac:dyDescent="0.3">
      <c r="T343"/>
    </row>
    <row r="344" spans="20:20" x14ac:dyDescent="0.3">
      <c r="T344"/>
    </row>
    <row r="345" spans="20:20" x14ac:dyDescent="0.3">
      <c r="T345"/>
    </row>
    <row r="346" spans="20:20" x14ac:dyDescent="0.3">
      <c r="T346"/>
    </row>
    <row r="347" spans="20:20" x14ac:dyDescent="0.3">
      <c r="T347"/>
    </row>
    <row r="348" spans="20:20" x14ac:dyDescent="0.3">
      <c r="T348"/>
    </row>
    <row r="349" spans="20:20" x14ac:dyDescent="0.3">
      <c r="T349"/>
    </row>
    <row r="350" spans="20:20" x14ac:dyDescent="0.3">
      <c r="T350"/>
    </row>
    <row r="351" spans="20:20" x14ac:dyDescent="0.3">
      <c r="T351"/>
    </row>
    <row r="352" spans="20:20" x14ac:dyDescent="0.3">
      <c r="T352"/>
    </row>
    <row r="353" spans="20:20" x14ac:dyDescent="0.3">
      <c r="T353"/>
    </row>
    <row r="354" spans="20:20" x14ac:dyDescent="0.3">
      <c r="T354"/>
    </row>
    <row r="355" spans="20:20" x14ac:dyDescent="0.3">
      <c r="T355"/>
    </row>
    <row r="356" spans="20:20" x14ac:dyDescent="0.3">
      <c r="T356"/>
    </row>
    <row r="357" spans="20:20" x14ac:dyDescent="0.3">
      <c r="T357"/>
    </row>
    <row r="358" spans="20:20" x14ac:dyDescent="0.3">
      <c r="T358"/>
    </row>
    <row r="359" spans="20:20" x14ac:dyDescent="0.3">
      <c r="T359"/>
    </row>
    <row r="360" spans="20:20" x14ac:dyDescent="0.3">
      <c r="T360"/>
    </row>
    <row r="361" spans="20:20" x14ac:dyDescent="0.3">
      <c r="T361"/>
    </row>
    <row r="362" spans="20:20" x14ac:dyDescent="0.3">
      <c r="T362"/>
    </row>
    <row r="363" spans="20:20" x14ac:dyDescent="0.3">
      <c r="T363"/>
    </row>
    <row r="364" spans="20:20" x14ac:dyDescent="0.3">
      <c r="T364"/>
    </row>
    <row r="365" spans="20:20" x14ac:dyDescent="0.3">
      <c r="T365"/>
    </row>
    <row r="366" spans="20:20" x14ac:dyDescent="0.3">
      <c r="T366"/>
    </row>
    <row r="367" spans="20:20" x14ac:dyDescent="0.3">
      <c r="T367"/>
    </row>
    <row r="368" spans="20:20" x14ac:dyDescent="0.3">
      <c r="T368"/>
    </row>
    <row r="369" spans="20:20" x14ac:dyDescent="0.3">
      <c r="T369"/>
    </row>
    <row r="370" spans="20:20" x14ac:dyDescent="0.3">
      <c r="T370"/>
    </row>
    <row r="371" spans="20:20" x14ac:dyDescent="0.3">
      <c r="T371"/>
    </row>
    <row r="372" spans="20:20" x14ac:dyDescent="0.3">
      <c r="T372"/>
    </row>
    <row r="373" spans="20:20" x14ac:dyDescent="0.3">
      <c r="T373"/>
    </row>
    <row r="374" spans="20:20" x14ac:dyDescent="0.3">
      <c r="T374"/>
    </row>
    <row r="375" spans="20:20" x14ac:dyDescent="0.3">
      <c r="T375"/>
    </row>
    <row r="376" spans="20:20" x14ac:dyDescent="0.3">
      <c r="T376"/>
    </row>
    <row r="377" spans="20:20" x14ac:dyDescent="0.3">
      <c r="T377"/>
    </row>
    <row r="378" spans="20:20" x14ac:dyDescent="0.3">
      <c r="T378"/>
    </row>
    <row r="379" spans="20:20" x14ac:dyDescent="0.3">
      <c r="T379"/>
    </row>
    <row r="380" spans="20:20" x14ac:dyDescent="0.3">
      <c r="T380"/>
    </row>
    <row r="381" spans="20:20" x14ac:dyDescent="0.3">
      <c r="T381"/>
    </row>
    <row r="382" spans="20:20" x14ac:dyDescent="0.3">
      <c r="T382"/>
    </row>
    <row r="383" spans="20:20" x14ac:dyDescent="0.3">
      <c r="T383"/>
    </row>
    <row r="384" spans="20:20" x14ac:dyDescent="0.3">
      <c r="T384"/>
    </row>
    <row r="385" spans="20:20" x14ac:dyDescent="0.3">
      <c r="T385"/>
    </row>
    <row r="386" spans="20:20" x14ac:dyDescent="0.3">
      <c r="T386"/>
    </row>
  </sheetData>
  <mergeCells count="2">
    <mergeCell ref="T209:U209"/>
    <mergeCell ref="R209:S209"/>
  </mergeCells>
  <phoneticPr fontId="0" type="noConversion"/>
  <pageMargins left="0.38" right="0.75" top="0.73" bottom="0.74" header="0.5" footer="0.5"/>
  <pageSetup orientation="landscape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/>
  </sheetViews>
  <sheetFormatPr defaultRowHeight="12.45" x14ac:dyDescent="0.3"/>
  <cols>
    <col min="1" max="1" width="12.84375" customWidth="1"/>
    <col min="2" max="2" width="17.84375" customWidth="1"/>
    <col min="3" max="4" width="19.15234375" customWidth="1"/>
    <col min="7" max="7" width="19.15234375" customWidth="1"/>
    <col min="8" max="8" width="17.84375" customWidth="1"/>
    <col min="9" max="9" width="19.15234375" customWidth="1"/>
  </cols>
  <sheetData>
    <row r="1" spans="1:16" ht="37.299999999999997" x14ac:dyDescent="0.3">
      <c r="A1" s="173" t="s">
        <v>200</v>
      </c>
      <c r="B1" s="173" t="s">
        <v>117</v>
      </c>
      <c r="C1" s="173" t="s">
        <v>202</v>
      </c>
      <c r="D1" s="173" t="s">
        <v>201</v>
      </c>
      <c r="E1" s="173" t="s">
        <v>203</v>
      </c>
      <c r="F1" s="340" t="s">
        <v>268</v>
      </c>
      <c r="G1" s="340" t="s">
        <v>202</v>
      </c>
      <c r="H1" s="340" t="s">
        <v>117</v>
      </c>
      <c r="I1" s="340" t="s">
        <v>201</v>
      </c>
      <c r="J1" s="340" t="s">
        <v>203</v>
      </c>
      <c r="K1" s="425" t="s">
        <v>294</v>
      </c>
      <c r="L1" s="425" t="s">
        <v>202</v>
      </c>
      <c r="M1" s="425" t="s">
        <v>202</v>
      </c>
      <c r="N1" s="431" t="s">
        <v>309</v>
      </c>
      <c r="O1" s="430" t="s">
        <v>202</v>
      </c>
      <c r="P1" s="430" t="s">
        <v>202</v>
      </c>
    </row>
    <row r="2" spans="1:16" x14ac:dyDescent="0.3">
      <c r="A2" s="173"/>
      <c r="B2" s="173"/>
      <c r="C2" s="173"/>
      <c r="D2" s="173"/>
    </row>
    <row r="3" spans="1:16" x14ac:dyDescent="0.3">
      <c r="A3" t="s">
        <v>118</v>
      </c>
      <c r="B3" s="193">
        <v>8279.7652300000009</v>
      </c>
      <c r="C3" s="71">
        <v>5.5E-2</v>
      </c>
      <c r="D3" s="194">
        <v>1968.21875</v>
      </c>
      <c r="E3" s="194">
        <f>+D3/3</f>
        <v>656.07291666666663</v>
      </c>
      <c r="G3" s="71">
        <v>5.5E-2</v>
      </c>
      <c r="H3" s="194">
        <v>8409.5400100000006</v>
      </c>
      <c r="I3" s="194">
        <v>1968.21875</v>
      </c>
      <c r="J3" s="194">
        <f>+I3/3</f>
        <v>656.07291666666663</v>
      </c>
      <c r="L3" t="s">
        <v>118</v>
      </c>
      <c r="M3" s="71">
        <v>5.5E-2</v>
      </c>
      <c r="O3" t="s">
        <v>118</v>
      </c>
      <c r="P3" s="71">
        <v>5.8235294100000001E-2</v>
      </c>
    </row>
    <row r="4" spans="1:16" x14ac:dyDescent="0.3">
      <c r="A4" t="s">
        <v>119</v>
      </c>
      <c r="B4" s="193">
        <v>8398.9087299999992</v>
      </c>
      <c r="C4" s="71">
        <v>5.9000000000000004E-2</v>
      </c>
      <c r="D4" s="194">
        <v>1938.53125</v>
      </c>
      <c r="E4" s="194">
        <f t="shared" ref="E4:E67" si="0">+D4/3</f>
        <v>646.17708333333337</v>
      </c>
      <c r="G4" s="71">
        <v>5.9000000000000004E-2</v>
      </c>
      <c r="H4" s="194">
        <v>8491.2183100000002</v>
      </c>
      <c r="I4" s="194">
        <v>1938.53125</v>
      </c>
      <c r="J4" s="194">
        <f t="shared" ref="J4:J58" si="1">+I4/3</f>
        <v>646.17708333333337</v>
      </c>
      <c r="L4" t="s">
        <v>119</v>
      </c>
      <c r="M4" s="71">
        <v>5.9000000000000004E-2</v>
      </c>
      <c r="O4" t="s">
        <v>119</v>
      </c>
      <c r="P4" s="71">
        <v>6.2470588200000003E-2</v>
      </c>
    </row>
    <row r="5" spans="1:16" x14ac:dyDescent="0.3">
      <c r="A5" t="s">
        <v>120</v>
      </c>
      <c r="B5" s="193">
        <v>8607.3889500000005</v>
      </c>
      <c r="C5" s="71">
        <v>6.0999999999999999E-2</v>
      </c>
      <c r="D5" s="194">
        <v>1901.15625</v>
      </c>
      <c r="E5" s="194">
        <f t="shared" si="0"/>
        <v>633.71875</v>
      </c>
      <c r="G5" s="71">
        <v>6.0999999999999999E-2</v>
      </c>
      <c r="H5" s="194">
        <v>8693.0823099999998</v>
      </c>
      <c r="I5" s="194">
        <v>1901.15625</v>
      </c>
      <c r="J5" s="194">
        <f t="shared" si="1"/>
        <v>633.71875</v>
      </c>
      <c r="L5" t="s">
        <v>120</v>
      </c>
      <c r="M5" s="71">
        <v>6.0999999999999999E-2</v>
      </c>
      <c r="O5" t="s">
        <v>120</v>
      </c>
      <c r="P5" s="71">
        <v>6.4588235300000005E-2</v>
      </c>
    </row>
    <row r="6" spans="1:16" x14ac:dyDescent="0.3">
      <c r="A6" t="s">
        <v>121</v>
      </c>
      <c r="B6" s="193">
        <v>8729.6934600000004</v>
      </c>
      <c r="C6" s="71">
        <v>5.7999999999999996E-2</v>
      </c>
      <c r="D6" s="194">
        <v>1856.09375</v>
      </c>
      <c r="E6" s="194">
        <f t="shared" si="0"/>
        <v>618.69791666666663</v>
      </c>
      <c r="G6" s="71">
        <v>5.7999999999999996E-2</v>
      </c>
      <c r="H6" s="194">
        <v>8758.7993900000001</v>
      </c>
      <c r="I6" s="194">
        <v>1856.09375</v>
      </c>
      <c r="J6" s="194">
        <f t="shared" si="1"/>
        <v>618.69791666666663</v>
      </c>
      <c r="L6" t="s">
        <v>121</v>
      </c>
      <c r="M6" s="71">
        <v>5.7999999999999996E-2</v>
      </c>
      <c r="O6" t="s">
        <v>121</v>
      </c>
      <c r="P6" s="71">
        <v>6.1411764700000003E-2</v>
      </c>
    </row>
    <row r="7" spans="1:16" x14ac:dyDescent="0.3">
      <c r="A7" t="s">
        <v>122</v>
      </c>
      <c r="B7" s="193">
        <v>8852.2767899999999</v>
      </c>
      <c r="C7" s="71">
        <v>5.0999999999999997E-2</v>
      </c>
      <c r="D7" s="194">
        <v>1748.1875</v>
      </c>
      <c r="E7" s="194">
        <f t="shared" si="0"/>
        <v>582.72916666666663</v>
      </c>
      <c r="G7" s="71">
        <v>5.0999999999999997E-2</v>
      </c>
      <c r="H7" s="194">
        <v>8887.61276</v>
      </c>
      <c r="I7" s="194">
        <v>1748.1875</v>
      </c>
      <c r="J7" s="194">
        <f t="shared" si="1"/>
        <v>582.72916666666663</v>
      </c>
      <c r="L7" t="s">
        <v>122</v>
      </c>
      <c r="M7" s="71">
        <v>5.0999999999999997E-2</v>
      </c>
      <c r="O7" t="s">
        <v>122</v>
      </c>
      <c r="P7" s="71">
        <v>5.4000000000000006E-2</v>
      </c>
    </row>
    <row r="8" spans="1:16" x14ac:dyDescent="0.3">
      <c r="A8" t="s">
        <v>123</v>
      </c>
      <c r="B8" s="193">
        <v>8951.3808300000001</v>
      </c>
      <c r="C8" s="71">
        <v>5.2000000000000005E-2</v>
      </c>
      <c r="D8" s="194">
        <v>1709.8125</v>
      </c>
      <c r="E8" s="194">
        <f t="shared" si="0"/>
        <v>569.9375</v>
      </c>
      <c r="G8" s="71">
        <v>5.2000000000000005E-2</v>
      </c>
      <c r="H8" s="194">
        <v>9009.0143399999997</v>
      </c>
      <c r="I8" s="194">
        <v>1709.8125</v>
      </c>
      <c r="J8" s="194">
        <f t="shared" si="1"/>
        <v>569.9375</v>
      </c>
      <c r="L8" t="s">
        <v>123</v>
      </c>
      <c r="M8" s="71">
        <v>5.2000000000000005E-2</v>
      </c>
      <c r="O8" t="s">
        <v>123</v>
      </c>
      <c r="P8" s="71">
        <v>5.2000000000000005E-2</v>
      </c>
    </row>
    <row r="9" spans="1:16" x14ac:dyDescent="0.3">
      <c r="A9" t="s">
        <v>124</v>
      </c>
      <c r="B9" s="193">
        <v>8952.7226900000005</v>
      </c>
      <c r="C9" s="71">
        <v>5.7999999999999996E-2</v>
      </c>
      <c r="D9" s="194">
        <v>1685.8125</v>
      </c>
      <c r="E9" s="194">
        <f t="shared" si="0"/>
        <v>561.9375</v>
      </c>
      <c r="G9" s="71">
        <v>5.7999999999999996E-2</v>
      </c>
      <c r="H9" s="194">
        <v>8989.8852100000004</v>
      </c>
      <c r="I9" s="194">
        <v>1685.8125</v>
      </c>
      <c r="J9" s="194">
        <f t="shared" si="1"/>
        <v>561.9375</v>
      </c>
      <c r="L9" t="s">
        <v>124</v>
      </c>
      <c r="M9" s="71">
        <v>5.7999999999999996E-2</v>
      </c>
      <c r="O9" t="s">
        <v>124</v>
      </c>
      <c r="P9" s="71">
        <v>5.7000000000000002E-2</v>
      </c>
    </row>
    <row r="10" spans="1:16" x14ac:dyDescent="0.3">
      <c r="A10" t="s">
        <v>125</v>
      </c>
      <c r="B10" s="193">
        <v>9005.3871099999997</v>
      </c>
      <c r="C10" s="71">
        <v>6.7000000000000004E-2</v>
      </c>
      <c r="D10" s="194">
        <v>1676.1875</v>
      </c>
      <c r="E10" s="194">
        <f t="shared" si="0"/>
        <v>558.72916666666663</v>
      </c>
      <c r="G10" s="71">
        <v>6.7000000000000004E-2</v>
      </c>
      <c r="H10" s="194">
        <v>9047.4321299999992</v>
      </c>
      <c r="I10" s="194">
        <v>1676.1875</v>
      </c>
      <c r="J10" s="194">
        <f t="shared" si="1"/>
        <v>558.72916666666663</v>
      </c>
      <c r="L10" t="s">
        <v>125</v>
      </c>
      <c r="M10" s="71">
        <v>6.7000000000000004E-2</v>
      </c>
      <c r="O10" t="s">
        <v>125</v>
      </c>
      <c r="P10" s="71">
        <v>6.0999999999999999E-2</v>
      </c>
    </row>
    <row r="11" spans="1:16" x14ac:dyDescent="0.3">
      <c r="A11" t="s">
        <v>126</v>
      </c>
      <c r="B11" s="193">
        <v>9029.2835099999993</v>
      </c>
      <c r="C11" s="71">
        <v>8.199999999999999E-2</v>
      </c>
      <c r="D11" s="194">
        <v>1734.21875</v>
      </c>
      <c r="E11" s="194">
        <f t="shared" si="0"/>
        <v>578.07291666666663</v>
      </c>
      <c r="G11" s="71">
        <v>8.199999999999999E-2</v>
      </c>
      <c r="H11" s="194">
        <v>9105.1567400000004</v>
      </c>
      <c r="I11" s="194">
        <v>1734.21875</v>
      </c>
      <c r="J11" s="194">
        <f t="shared" si="1"/>
        <v>578.07291666666663</v>
      </c>
      <c r="L11" t="s">
        <v>126</v>
      </c>
      <c r="M11" s="71">
        <v>8.199999999999999E-2</v>
      </c>
      <c r="O11" t="s">
        <v>126</v>
      </c>
      <c r="P11" s="71">
        <v>8.5999999999999993E-2</v>
      </c>
    </row>
    <row r="12" spans="1:16" x14ac:dyDescent="0.3">
      <c r="A12" t="s">
        <v>127</v>
      </c>
      <c r="B12" s="193">
        <v>9168.8768099999998</v>
      </c>
      <c r="C12" s="71">
        <v>6.7000000000000004E-2</v>
      </c>
      <c r="D12" s="194">
        <v>1732.03125</v>
      </c>
      <c r="E12" s="194">
        <f t="shared" si="0"/>
        <v>577.34375</v>
      </c>
      <c r="G12" s="71">
        <v>6.7000000000000004E-2</v>
      </c>
      <c r="H12" s="194">
        <v>9230.5662300000004</v>
      </c>
      <c r="I12" s="194">
        <v>1732.03125</v>
      </c>
      <c r="J12" s="194">
        <f t="shared" si="1"/>
        <v>577.34375</v>
      </c>
      <c r="L12" t="s">
        <v>127</v>
      </c>
      <c r="M12" s="71">
        <v>6.7000000000000004E-2</v>
      </c>
      <c r="O12" t="s">
        <v>127</v>
      </c>
      <c r="P12" s="71">
        <v>6.6000000000000003E-2</v>
      </c>
    </row>
    <row r="13" spans="1:16" x14ac:dyDescent="0.3">
      <c r="A13" t="s">
        <v>128</v>
      </c>
      <c r="B13" s="193">
        <v>9319.0442399999993</v>
      </c>
      <c r="C13" s="71">
        <v>6.3E-2</v>
      </c>
      <c r="D13" s="194">
        <v>1722.90625</v>
      </c>
      <c r="E13" s="194">
        <f t="shared" si="0"/>
        <v>574.30208333333337</v>
      </c>
      <c r="G13" s="71">
        <v>6.3E-2</v>
      </c>
      <c r="H13" s="194">
        <v>9385.7910800000009</v>
      </c>
      <c r="I13" s="194">
        <v>1722.90625</v>
      </c>
      <c r="J13" s="194">
        <f t="shared" si="1"/>
        <v>574.30208333333337</v>
      </c>
      <c r="L13" t="s">
        <v>128</v>
      </c>
      <c r="M13" s="71">
        <v>6.3E-2</v>
      </c>
      <c r="O13" t="s">
        <v>128</v>
      </c>
      <c r="P13" s="71">
        <v>6.0999999999999999E-2</v>
      </c>
    </row>
    <row r="14" spans="1:16" x14ac:dyDescent="0.3">
      <c r="A14" t="s">
        <v>129</v>
      </c>
      <c r="B14" s="193">
        <v>9450.1090199999999</v>
      </c>
      <c r="C14" s="71">
        <v>5.7999999999999996E-2</v>
      </c>
      <c r="D14" s="194">
        <v>1706.84375</v>
      </c>
      <c r="E14" s="194">
        <f t="shared" si="0"/>
        <v>568.94791666666663</v>
      </c>
      <c r="G14" s="71">
        <v>5.7999999999999996E-2</v>
      </c>
      <c r="H14" s="194">
        <v>9484.4933999999994</v>
      </c>
      <c r="I14" s="194">
        <v>1706.84375</v>
      </c>
      <c r="J14" s="194">
        <f t="shared" si="1"/>
        <v>568.94791666666663</v>
      </c>
      <c r="L14" t="s">
        <v>129</v>
      </c>
      <c r="M14" s="71">
        <v>5.7999999999999996E-2</v>
      </c>
      <c r="O14" t="s">
        <v>129</v>
      </c>
      <c r="P14" s="71">
        <v>0.06</v>
      </c>
    </row>
    <row r="15" spans="1:16" x14ac:dyDescent="0.3">
      <c r="A15" t="s">
        <v>130</v>
      </c>
      <c r="B15" s="193">
        <v>9796.4605699999993</v>
      </c>
      <c r="C15" s="71">
        <v>4.7E-2</v>
      </c>
      <c r="D15" s="194">
        <v>1645.875</v>
      </c>
      <c r="E15" s="194">
        <f t="shared" si="0"/>
        <v>548.625</v>
      </c>
      <c r="G15" s="71">
        <v>4.7E-2</v>
      </c>
      <c r="H15" s="194">
        <v>9912.4973699999991</v>
      </c>
      <c r="I15" s="194">
        <v>1645.875</v>
      </c>
      <c r="J15" s="194">
        <f t="shared" si="1"/>
        <v>548.625</v>
      </c>
      <c r="L15" t="s">
        <v>130</v>
      </c>
      <c r="M15" s="71">
        <v>4.7E-2</v>
      </c>
      <c r="O15" t="s">
        <v>130</v>
      </c>
      <c r="P15" s="71">
        <v>5.2000000000000005E-2</v>
      </c>
    </row>
    <row r="16" spans="1:16" x14ac:dyDescent="0.3">
      <c r="A16" t="s">
        <v>131</v>
      </c>
      <c r="B16" s="193">
        <v>9935.7401399999999</v>
      </c>
      <c r="C16" s="71">
        <v>5.5999999999999994E-2</v>
      </c>
      <c r="D16" s="194">
        <v>1631.125</v>
      </c>
      <c r="E16" s="194">
        <f t="shared" si="0"/>
        <v>543.70833333333337</v>
      </c>
      <c r="G16" s="71">
        <v>5.5999999999999994E-2</v>
      </c>
      <c r="H16" s="194">
        <v>10045.061299999999</v>
      </c>
      <c r="I16" s="194">
        <v>1631.125</v>
      </c>
      <c r="J16" s="194">
        <f t="shared" si="1"/>
        <v>543.70833333333337</v>
      </c>
      <c r="L16" t="s">
        <v>131</v>
      </c>
      <c r="M16" s="71">
        <v>5.5999999999999994E-2</v>
      </c>
      <c r="O16" t="s">
        <v>131</v>
      </c>
      <c r="P16" s="71">
        <v>5.5999999999999994E-2</v>
      </c>
    </row>
    <row r="17" spans="1:16" x14ac:dyDescent="0.3">
      <c r="A17" t="s">
        <v>132</v>
      </c>
      <c r="B17" s="193">
        <v>10065.761</v>
      </c>
      <c r="C17" s="71">
        <v>5.2000000000000005E-2</v>
      </c>
      <c r="D17" s="194">
        <v>1624.625</v>
      </c>
      <c r="E17" s="194">
        <f t="shared" si="0"/>
        <v>541.54166666666663</v>
      </c>
      <c r="G17" s="71">
        <v>5.2000000000000005E-2</v>
      </c>
      <c r="H17" s="194">
        <v>10132.6129</v>
      </c>
      <c r="I17" s="194">
        <v>1624.625</v>
      </c>
      <c r="J17" s="194">
        <f t="shared" si="1"/>
        <v>541.54166666666663</v>
      </c>
      <c r="L17" t="s">
        <v>132</v>
      </c>
      <c r="M17" s="71">
        <v>5.2000000000000005E-2</v>
      </c>
      <c r="O17" t="s">
        <v>132</v>
      </c>
      <c r="P17" s="71">
        <v>5.0999999999999997E-2</v>
      </c>
    </row>
    <row r="18" spans="1:16" x14ac:dyDescent="0.3">
      <c r="A18" t="s">
        <v>133</v>
      </c>
      <c r="B18" s="193">
        <v>10322.3197</v>
      </c>
      <c r="C18" s="71">
        <v>4.7E-2</v>
      </c>
      <c r="D18" s="194">
        <v>1626.375</v>
      </c>
      <c r="E18" s="194">
        <f t="shared" si="0"/>
        <v>542.125</v>
      </c>
      <c r="G18" s="71">
        <v>4.7E-2</v>
      </c>
      <c r="H18" s="194">
        <v>10400.2147</v>
      </c>
      <c r="I18" s="194">
        <v>1626.375</v>
      </c>
      <c r="J18" s="194">
        <f t="shared" si="1"/>
        <v>542.125</v>
      </c>
      <c r="L18" t="s">
        <v>133</v>
      </c>
      <c r="M18" s="71">
        <v>4.7E-2</v>
      </c>
      <c r="O18" t="s">
        <v>133</v>
      </c>
      <c r="P18" s="71">
        <v>4.8000000000000001E-2</v>
      </c>
    </row>
    <row r="19" spans="1:16" x14ac:dyDescent="0.3">
      <c r="A19" t="s">
        <v>134</v>
      </c>
      <c r="B19" s="193">
        <v>10394.712799999999</v>
      </c>
      <c r="C19" s="71">
        <v>0.05</v>
      </c>
      <c r="D19" s="194">
        <v>1655.75</v>
      </c>
      <c r="E19" s="194">
        <f t="shared" si="0"/>
        <v>551.91666666666663</v>
      </c>
      <c r="G19" s="71">
        <v>0.05</v>
      </c>
      <c r="H19" s="194">
        <v>10458.698399999999</v>
      </c>
      <c r="I19" s="194">
        <v>1655.75</v>
      </c>
      <c r="J19" s="194">
        <f t="shared" si="1"/>
        <v>551.91666666666663</v>
      </c>
      <c r="L19" t="s">
        <v>134</v>
      </c>
      <c r="M19" s="71">
        <v>0.05</v>
      </c>
      <c r="O19" t="s">
        <v>134</v>
      </c>
      <c r="P19" s="71">
        <v>5.0999999999999997E-2</v>
      </c>
    </row>
    <row r="20" spans="1:16" x14ac:dyDescent="0.3">
      <c r="A20" t="s">
        <v>135</v>
      </c>
      <c r="B20" s="193">
        <v>10574.3897</v>
      </c>
      <c r="C20" s="71">
        <v>5.4000000000000006E-2</v>
      </c>
      <c r="D20" s="194">
        <v>1666.25</v>
      </c>
      <c r="E20" s="194">
        <f t="shared" si="0"/>
        <v>555.41666666666663</v>
      </c>
      <c r="G20" s="71">
        <v>5.4000000000000006E-2</v>
      </c>
      <c r="H20" s="194">
        <v>10647.7893</v>
      </c>
      <c r="I20" s="194">
        <v>1666.25</v>
      </c>
      <c r="J20" s="194">
        <f t="shared" si="1"/>
        <v>555.41666666666663</v>
      </c>
      <c r="L20" t="s">
        <v>135</v>
      </c>
      <c r="M20" s="71">
        <v>5.4000000000000006E-2</v>
      </c>
      <c r="O20" t="s">
        <v>135</v>
      </c>
      <c r="P20" s="71">
        <v>5.2999999999999999E-2</v>
      </c>
    </row>
    <row r="21" spans="1:16" x14ac:dyDescent="0.3">
      <c r="A21" t="s">
        <v>136</v>
      </c>
      <c r="B21" s="193">
        <v>10767.148499999999</v>
      </c>
      <c r="C21" s="71">
        <v>5.5E-2</v>
      </c>
      <c r="D21" s="194">
        <v>1677.25</v>
      </c>
      <c r="E21" s="194">
        <f t="shared" si="0"/>
        <v>559.08333333333337</v>
      </c>
      <c r="G21" s="71">
        <v>5.5E-2</v>
      </c>
      <c r="H21" s="194">
        <v>10854.0236</v>
      </c>
      <c r="I21" s="194">
        <v>1677.25</v>
      </c>
      <c r="J21" s="194">
        <f t="shared" si="1"/>
        <v>559.08333333333337</v>
      </c>
      <c r="L21" t="s">
        <v>136</v>
      </c>
      <c r="M21" s="71">
        <v>5.5E-2</v>
      </c>
      <c r="O21" t="s">
        <v>136</v>
      </c>
      <c r="P21" s="71">
        <v>5.2999999999999999E-2</v>
      </c>
    </row>
    <row r="22" spans="1:16" x14ac:dyDescent="0.3">
      <c r="A22" t="s">
        <v>137</v>
      </c>
      <c r="B22" s="193">
        <v>10899.499400000001</v>
      </c>
      <c r="C22" s="71">
        <v>5.7999999999999996E-2</v>
      </c>
      <c r="D22" s="194">
        <v>1688.75</v>
      </c>
      <c r="E22" s="194">
        <f t="shared" si="0"/>
        <v>562.91666666666663</v>
      </c>
      <c r="G22" s="71">
        <v>5.7999999999999996E-2</v>
      </c>
      <c r="H22" s="194">
        <v>10998.4231</v>
      </c>
      <c r="I22" s="194">
        <v>1688.75</v>
      </c>
      <c r="J22" s="194">
        <f t="shared" si="1"/>
        <v>562.91666666666663</v>
      </c>
      <c r="L22" t="s">
        <v>137</v>
      </c>
      <c r="M22" s="71">
        <v>5.7999999999999996E-2</v>
      </c>
      <c r="O22" t="s">
        <v>137</v>
      </c>
      <c r="P22" s="71">
        <v>5.7999999999999996E-2</v>
      </c>
    </row>
    <row r="23" spans="1:16" x14ac:dyDescent="0.3">
      <c r="A23" t="s">
        <v>138</v>
      </c>
      <c r="B23" s="193">
        <v>10879.549499999999</v>
      </c>
      <c r="C23" s="71">
        <v>7.2000000000000008E-2</v>
      </c>
      <c r="D23" s="194">
        <v>1701.0625</v>
      </c>
      <c r="E23" s="194">
        <f t="shared" si="0"/>
        <v>567.02083333333337</v>
      </c>
      <c r="G23" s="71">
        <v>7.2000000000000008E-2</v>
      </c>
      <c r="H23" s="194">
        <v>10961.294099999999</v>
      </c>
      <c r="I23" s="194">
        <v>1701.0625</v>
      </c>
      <c r="J23" s="194">
        <f t="shared" si="1"/>
        <v>567.02083333333337</v>
      </c>
      <c r="L23" t="s">
        <v>138</v>
      </c>
      <c r="M23" s="71">
        <v>7.2000000000000008E-2</v>
      </c>
      <c r="O23" t="s">
        <v>138</v>
      </c>
      <c r="P23" s="71">
        <v>7.2000000000000008E-2</v>
      </c>
    </row>
    <row r="24" spans="1:16" x14ac:dyDescent="0.3">
      <c r="A24" t="s">
        <v>139</v>
      </c>
      <c r="B24" s="193">
        <v>10998.745199999999</v>
      </c>
      <c r="C24" s="71">
        <v>6.4000000000000001E-2</v>
      </c>
      <c r="D24" s="194">
        <v>1713.4375</v>
      </c>
      <c r="E24" s="194">
        <f t="shared" si="0"/>
        <v>571.14583333333337</v>
      </c>
      <c r="G24" s="71">
        <v>6.4000000000000001E-2</v>
      </c>
      <c r="H24" s="194">
        <v>11073.280199999999</v>
      </c>
      <c r="I24" s="194">
        <v>1713.4375</v>
      </c>
      <c r="J24" s="194">
        <f t="shared" si="1"/>
        <v>571.14583333333337</v>
      </c>
      <c r="L24" t="s">
        <v>139</v>
      </c>
      <c r="M24" s="71">
        <v>6.4000000000000001E-2</v>
      </c>
      <c r="O24" t="s">
        <v>139</v>
      </c>
      <c r="P24" s="71">
        <v>6.3E-2</v>
      </c>
    </row>
    <row r="25" spans="1:16" x14ac:dyDescent="0.3">
      <c r="A25" t="s">
        <v>140</v>
      </c>
      <c r="B25" s="193">
        <v>11121.214099999999</v>
      </c>
      <c r="C25" s="71">
        <v>5.7999999999999996E-2</v>
      </c>
      <c r="D25" s="194">
        <v>1726.1875</v>
      </c>
      <c r="E25" s="194">
        <f t="shared" si="0"/>
        <v>575.39583333333337</v>
      </c>
      <c r="G25" s="71">
        <v>5.7999999999999996E-2</v>
      </c>
      <c r="H25" s="194">
        <v>11210.4419</v>
      </c>
      <c r="I25" s="194">
        <v>1726.1875</v>
      </c>
      <c r="J25" s="194">
        <f t="shared" si="1"/>
        <v>575.39583333333337</v>
      </c>
      <c r="L25" t="s">
        <v>140</v>
      </c>
      <c r="M25" s="71">
        <v>5.7999999999999996E-2</v>
      </c>
      <c r="O25" t="s">
        <v>140</v>
      </c>
      <c r="P25" s="71">
        <v>5.7000000000000002E-2</v>
      </c>
    </row>
    <row r="26" spans="1:16" x14ac:dyDescent="0.3">
      <c r="A26" t="s">
        <v>141</v>
      </c>
      <c r="B26" s="193">
        <v>11250.5581</v>
      </c>
      <c r="C26" s="71">
        <v>6.7000000000000004E-2</v>
      </c>
      <c r="D26" s="194">
        <v>1739.3125</v>
      </c>
      <c r="E26" s="194">
        <f t="shared" si="0"/>
        <v>579.77083333333337</v>
      </c>
      <c r="G26" s="71">
        <v>6.7000000000000004E-2</v>
      </c>
      <c r="H26" s="194">
        <v>11305.9262</v>
      </c>
      <c r="I26" s="194">
        <v>1739.3125</v>
      </c>
      <c r="J26" s="194">
        <f t="shared" si="1"/>
        <v>579.77083333333337</v>
      </c>
      <c r="L26" t="s">
        <v>141</v>
      </c>
      <c r="M26" s="71">
        <v>6.7000000000000004E-2</v>
      </c>
      <c r="O26" t="s">
        <v>141</v>
      </c>
      <c r="P26" s="71">
        <v>6.7000000000000004E-2</v>
      </c>
    </row>
    <row r="27" spans="1:16" x14ac:dyDescent="0.3">
      <c r="A27" t="s">
        <v>142</v>
      </c>
      <c r="B27" s="193">
        <v>11513.3346</v>
      </c>
      <c r="C27" s="71">
        <v>6.6000000000000003E-2</v>
      </c>
      <c r="D27" s="194">
        <v>1783.125</v>
      </c>
      <c r="E27" s="194">
        <f t="shared" si="0"/>
        <v>594.375</v>
      </c>
      <c r="G27" s="71">
        <v>6.6000000000000003E-2</v>
      </c>
      <c r="H27" s="194">
        <v>11569.7534</v>
      </c>
      <c r="I27" s="194">
        <v>1783.125</v>
      </c>
      <c r="J27" s="194">
        <f t="shared" si="1"/>
        <v>594.375</v>
      </c>
      <c r="L27" t="s">
        <v>142</v>
      </c>
      <c r="M27" s="71">
        <v>6.6000000000000003E-2</v>
      </c>
      <c r="O27" t="s">
        <v>142</v>
      </c>
      <c r="P27" s="71">
        <v>6.7000000000000004E-2</v>
      </c>
    </row>
    <row r="28" spans="1:16" x14ac:dyDescent="0.3">
      <c r="A28" t="s">
        <v>143</v>
      </c>
      <c r="B28" s="193">
        <v>11573.0075</v>
      </c>
      <c r="C28" s="71">
        <v>6.5000000000000002E-2</v>
      </c>
      <c r="D28" s="194">
        <v>1784.875</v>
      </c>
      <c r="E28" s="194">
        <f t="shared" si="0"/>
        <v>594.95833333333337</v>
      </c>
      <c r="G28" s="71">
        <v>6.5000000000000002E-2</v>
      </c>
      <c r="H28" s="194">
        <v>11655.3516</v>
      </c>
      <c r="I28" s="194">
        <v>1784.875</v>
      </c>
      <c r="J28" s="194">
        <f t="shared" si="1"/>
        <v>594.95833333333337</v>
      </c>
      <c r="L28" t="s">
        <v>143</v>
      </c>
      <c r="M28" s="71">
        <v>6.5000000000000002E-2</v>
      </c>
      <c r="O28" t="s">
        <v>143</v>
      </c>
      <c r="P28" s="71">
        <v>6.3E-2</v>
      </c>
    </row>
    <row r="29" spans="1:16" x14ac:dyDescent="0.3">
      <c r="A29" t="s">
        <v>144</v>
      </c>
      <c r="B29" s="193">
        <v>11634.9043</v>
      </c>
      <c r="C29" s="71">
        <v>6.7000000000000004E-2</v>
      </c>
      <c r="D29" s="194">
        <v>1774.875</v>
      </c>
      <c r="E29" s="194">
        <f t="shared" si="0"/>
        <v>591.625</v>
      </c>
      <c r="G29" s="71">
        <v>6.7000000000000004E-2</v>
      </c>
      <c r="H29" s="194">
        <v>11681.482</v>
      </c>
      <c r="I29" s="194">
        <v>1774.875</v>
      </c>
      <c r="J29" s="194">
        <f t="shared" si="1"/>
        <v>591.625</v>
      </c>
      <c r="L29" t="s">
        <v>144</v>
      </c>
      <c r="M29" s="71">
        <v>6.7000000000000004E-2</v>
      </c>
      <c r="O29" t="s">
        <v>144</v>
      </c>
      <c r="P29" s="71">
        <v>6.6000000000000003E-2</v>
      </c>
    </row>
    <row r="30" spans="1:16" x14ac:dyDescent="0.3">
      <c r="A30" t="s">
        <v>145</v>
      </c>
      <c r="B30" s="193">
        <v>11798.984</v>
      </c>
      <c r="C30" s="71">
        <v>6.8000000000000005E-2</v>
      </c>
      <c r="D30" s="194">
        <v>1753.125</v>
      </c>
      <c r="E30" s="194">
        <f t="shared" si="0"/>
        <v>584.375</v>
      </c>
      <c r="G30" s="71">
        <v>6.8000000000000005E-2</v>
      </c>
      <c r="H30" s="194">
        <v>11880.014499999999</v>
      </c>
      <c r="I30" s="194">
        <v>1753.125</v>
      </c>
      <c r="J30" s="194">
        <f t="shared" si="1"/>
        <v>584.375</v>
      </c>
      <c r="L30" t="s">
        <v>145</v>
      </c>
      <c r="M30" s="71">
        <v>6.8000000000000005E-2</v>
      </c>
      <c r="O30" t="s">
        <v>145</v>
      </c>
      <c r="P30" s="71">
        <v>6.7000000000000004E-2</v>
      </c>
    </row>
    <row r="31" spans="1:16" x14ac:dyDescent="0.3">
      <c r="A31" t="s">
        <v>146</v>
      </c>
      <c r="B31" s="193">
        <v>11884.4946</v>
      </c>
      <c r="C31" s="71">
        <v>6.0999999999999999E-2</v>
      </c>
      <c r="D31" s="194">
        <v>1649.46875</v>
      </c>
      <c r="E31" s="194">
        <f t="shared" si="0"/>
        <v>549.82291666666663</v>
      </c>
      <c r="G31" s="71">
        <v>6.0999999999999999E-2</v>
      </c>
      <c r="H31" s="194">
        <v>11902.270200000001</v>
      </c>
      <c r="I31" s="194">
        <v>1649.46875</v>
      </c>
      <c r="J31" s="194">
        <f t="shared" si="1"/>
        <v>549.82291666666663</v>
      </c>
      <c r="L31" t="s">
        <v>146</v>
      </c>
      <c r="M31" s="71">
        <v>6.0999999999999999E-2</v>
      </c>
      <c r="O31" t="s">
        <v>146</v>
      </c>
      <c r="P31" s="71">
        <v>6.2E-2</v>
      </c>
    </row>
    <row r="32" spans="1:16" x14ac:dyDescent="0.3">
      <c r="A32" t="s">
        <v>147</v>
      </c>
      <c r="B32" s="193">
        <v>12154.242700000001</v>
      </c>
      <c r="C32" s="71">
        <v>0.06</v>
      </c>
      <c r="D32" s="194">
        <v>1632.28125</v>
      </c>
      <c r="E32" s="194">
        <f t="shared" si="0"/>
        <v>544.09375</v>
      </c>
      <c r="G32" s="71">
        <v>0.06</v>
      </c>
      <c r="H32" s="194">
        <v>12176.6981</v>
      </c>
      <c r="I32" s="194">
        <v>1632.28125</v>
      </c>
      <c r="J32" s="194">
        <f t="shared" si="1"/>
        <v>544.09375</v>
      </c>
      <c r="L32" t="s">
        <v>147</v>
      </c>
      <c r="M32" s="71">
        <v>0.06</v>
      </c>
      <c r="O32" t="s">
        <v>147</v>
      </c>
      <c r="P32" s="71">
        <v>5.9000000000000004E-2</v>
      </c>
    </row>
    <row r="33" spans="1:16" x14ac:dyDescent="0.3">
      <c r="A33" t="s">
        <v>148</v>
      </c>
      <c r="B33" s="193">
        <v>12404.919400000001</v>
      </c>
      <c r="C33" s="71">
        <v>6.5000000000000002E-2</v>
      </c>
      <c r="D33" s="194">
        <v>1631.40625</v>
      </c>
      <c r="E33" s="194">
        <f t="shared" si="0"/>
        <v>543.80208333333337</v>
      </c>
      <c r="G33" s="71">
        <v>6.5000000000000002E-2</v>
      </c>
      <c r="H33" s="194">
        <v>12427.155199999999</v>
      </c>
      <c r="I33" s="194">
        <v>1631.40625</v>
      </c>
      <c r="J33" s="194">
        <f t="shared" si="1"/>
        <v>543.80208333333337</v>
      </c>
      <c r="L33" t="s">
        <v>148</v>
      </c>
      <c r="M33" s="71">
        <v>6.5000000000000002E-2</v>
      </c>
      <c r="O33" t="s">
        <v>148</v>
      </c>
      <c r="P33" s="71">
        <v>6.4000000000000001E-2</v>
      </c>
    </row>
    <row r="34" spans="1:16" x14ac:dyDescent="0.3">
      <c r="A34" t="s">
        <v>149</v>
      </c>
      <c r="B34" s="193">
        <v>12611.191999999999</v>
      </c>
      <c r="C34" s="71">
        <v>6.3E-2</v>
      </c>
      <c r="D34" s="194">
        <v>1646.84375</v>
      </c>
      <c r="E34" s="194">
        <f t="shared" si="0"/>
        <v>548.94791666666663</v>
      </c>
      <c r="G34" s="71">
        <v>6.3E-2</v>
      </c>
      <c r="H34" s="194">
        <v>12622.6769</v>
      </c>
      <c r="I34" s="194">
        <v>1646.84375</v>
      </c>
      <c r="J34" s="194">
        <f t="shared" si="1"/>
        <v>548.94791666666663</v>
      </c>
      <c r="L34" t="s">
        <v>149</v>
      </c>
      <c r="M34" s="71">
        <v>6.3E-2</v>
      </c>
      <c r="O34" t="s">
        <v>149</v>
      </c>
      <c r="P34" s="71">
        <v>6.0999999999999999E-2</v>
      </c>
    </row>
    <row r="35" spans="1:16" x14ac:dyDescent="0.3">
      <c r="A35" t="s">
        <v>150</v>
      </c>
      <c r="B35" s="193">
        <v>12468.519899999999</v>
      </c>
      <c r="C35" s="71">
        <v>6.4000000000000001E-2</v>
      </c>
      <c r="D35" s="194">
        <v>1757.5</v>
      </c>
      <c r="E35" s="194">
        <f t="shared" si="0"/>
        <v>585.83333333333337</v>
      </c>
      <c r="G35" s="71">
        <v>6.4000000000000001E-2</v>
      </c>
      <c r="H35" s="194">
        <v>12501.5021</v>
      </c>
      <c r="I35" s="194">
        <v>1757.5</v>
      </c>
      <c r="J35" s="194">
        <f t="shared" si="1"/>
        <v>585.83333333333337</v>
      </c>
      <c r="L35" t="s">
        <v>150</v>
      </c>
      <c r="M35" s="71">
        <v>6.4000000000000001E-2</v>
      </c>
      <c r="O35" t="s">
        <v>150</v>
      </c>
      <c r="P35" s="71">
        <v>6.6000000000000003E-2</v>
      </c>
    </row>
    <row r="36" spans="1:16" x14ac:dyDescent="0.3">
      <c r="A36" t="s">
        <v>151</v>
      </c>
      <c r="B36" s="193">
        <v>12766.4694</v>
      </c>
      <c r="C36" s="71">
        <v>7.400000000000001E-2</v>
      </c>
      <c r="D36" s="194">
        <v>1774</v>
      </c>
      <c r="E36" s="194">
        <f t="shared" si="0"/>
        <v>591.33333333333337</v>
      </c>
      <c r="G36" s="71">
        <v>7.400000000000001E-2</v>
      </c>
      <c r="H36" s="194">
        <v>12784.435100000001</v>
      </c>
      <c r="I36" s="194">
        <v>1774</v>
      </c>
      <c r="J36" s="194">
        <f t="shared" si="1"/>
        <v>591.33333333333337</v>
      </c>
      <c r="L36" t="s">
        <v>151</v>
      </c>
      <c r="M36" s="71">
        <v>7.400000000000001E-2</v>
      </c>
      <c r="O36" t="s">
        <v>151</v>
      </c>
      <c r="P36" s="71">
        <v>7.400000000000001E-2</v>
      </c>
    </row>
    <row r="37" spans="1:16" x14ac:dyDescent="0.3">
      <c r="A37" t="s">
        <v>152</v>
      </c>
      <c r="B37" s="193">
        <v>12962.837799999999</v>
      </c>
      <c r="C37" s="71">
        <v>6.8000000000000005E-2</v>
      </c>
      <c r="D37" s="194">
        <v>1775.25</v>
      </c>
      <c r="E37" s="194">
        <f t="shared" si="0"/>
        <v>591.75</v>
      </c>
      <c r="G37" s="71">
        <v>6.8000000000000005E-2</v>
      </c>
      <c r="H37" s="194">
        <v>12981.7989</v>
      </c>
      <c r="I37" s="194">
        <v>1775.25</v>
      </c>
      <c r="J37" s="194">
        <f t="shared" si="1"/>
        <v>591.75</v>
      </c>
      <c r="L37" t="s">
        <v>152</v>
      </c>
      <c r="M37" s="71">
        <v>6.8000000000000005E-2</v>
      </c>
      <c r="O37" t="s">
        <v>152</v>
      </c>
      <c r="P37" s="71">
        <v>6.8000000000000005E-2</v>
      </c>
    </row>
    <row r="38" spans="1:16" x14ac:dyDescent="0.3">
      <c r="A38" t="s">
        <v>153</v>
      </c>
      <c r="B38" s="193">
        <v>12725.6921</v>
      </c>
      <c r="C38" s="71">
        <v>7.9000000000000001E-2</v>
      </c>
      <c r="D38" s="194">
        <v>1761.25</v>
      </c>
      <c r="E38" s="194">
        <f t="shared" si="0"/>
        <v>587.08333333333337</v>
      </c>
      <c r="G38" s="71">
        <v>7.9000000000000001E-2</v>
      </c>
      <c r="H38" s="194">
        <v>12747.0121</v>
      </c>
      <c r="I38" s="194">
        <v>1761.25</v>
      </c>
      <c r="J38" s="194">
        <f t="shared" si="1"/>
        <v>587.08333333333337</v>
      </c>
      <c r="L38" t="s">
        <v>153</v>
      </c>
      <c r="M38" s="71">
        <v>7.9000000000000001E-2</v>
      </c>
      <c r="O38" t="s">
        <v>153</v>
      </c>
      <c r="P38" s="71">
        <v>0.08</v>
      </c>
    </row>
    <row r="39" spans="1:16" x14ac:dyDescent="0.3">
      <c r="A39" t="s">
        <v>154</v>
      </c>
      <c r="B39" s="193">
        <v>12712.4866</v>
      </c>
      <c r="C39" s="71">
        <v>8.5000000000000006E-2</v>
      </c>
      <c r="D39" s="194">
        <v>1651.53125</v>
      </c>
      <c r="E39" s="194">
        <f t="shared" si="0"/>
        <v>550.51041666666663</v>
      </c>
      <c r="G39" s="71">
        <v>8.5000000000000006E-2</v>
      </c>
      <c r="H39" s="194">
        <v>12786.2066</v>
      </c>
      <c r="I39" s="194">
        <v>1651.53125</v>
      </c>
      <c r="J39" s="194">
        <f t="shared" si="1"/>
        <v>550.51041666666663</v>
      </c>
      <c r="L39" t="s">
        <v>154</v>
      </c>
      <c r="M39" s="71">
        <v>8.5000000000000006E-2</v>
      </c>
      <c r="O39" t="s">
        <v>154</v>
      </c>
      <c r="P39" s="71">
        <v>8.3000000000000004E-2</v>
      </c>
    </row>
    <row r="40" spans="1:16" x14ac:dyDescent="0.3">
      <c r="A40" t="s">
        <v>155</v>
      </c>
      <c r="B40" s="193">
        <v>12872.734700000001</v>
      </c>
      <c r="C40" s="71">
        <v>8.6999999999999994E-2</v>
      </c>
      <c r="D40" s="194">
        <v>1639.21875</v>
      </c>
      <c r="E40" s="194">
        <f t="shared" si="0"/>
        <v>546.40625</v>
      </c>
      <c r="G40" s="71">
        <v>8.6999999999999994E-2</v>
      </c>
      <c r="H40" s="194">
        <v>12941.8472</v>
      </c>
      <c r="I40" s="194">
        <v>1639.21875</v>
      </c>
      <c r="J40" s="194">
        <f t="shared" si="1"/>
        <v>546.40625</v>
      </c>
      <c r="L40" t="s">
        <v>155</v>
      </c>
      <c r="M40" s="71">
        <v>8.6999999999999994E-2</v>
      </c>
      <c r="O40" t="s">
        <v>155</v>
      </c>
      <c r="P40" s="71">
        <v>8.8000000000000009E-2</v>
      </c>
    </row>
    <row r="41" spans="1:16" x14ac:dyDescent="0.3">
      <c r="A41" t="s">
        <v>156</v>
      </c>
      <c r="B41" s="193">
        <v>13245.093800000001</v>
      </c>
      <c r="C41" s="71">
        <v>9.1999999999999998E-2</v>
      </c>
      <c r="D41" s="194">
        <v>1643.84375</v>
      </c>
      <c r="E41" s="194">
        <f t="shared" si="0"/>
        <v>547.94791666666663</v>
      </c>
      <c r="G41" s="71">
        <v>9.1999999999999998E-2</v>
      </c>
      <c r="H41" s="194">
        <v>13297.051799999999</v>
      </c>
      <c r="I41" s="194">
        <v>1643.84375</v>
      </c>
      <c r="J41" s="194">
        <f t="shared" si="1"/>
        <v>547.94791666666663</v>
      </c>
      <c r="L41" t="s">
        <v>156</v>
      </c>
      <c r="M41" s="71">
        <v>9.1999999999999998E-2</v>
      </c>
      <c r="O41" t="s">
        <v>156</v>
      </c>
      <c r="P41" s="71">
        <v>9.5000000000000001E-2</v>
      </c>
    </row>
    <row r="42" spans="1:16" x14ac:dyDescent="0.3">
      <c r="A42" t="s">
        <v>157</v>
      </c>
      <c r="B42" s="193">
        <v>13336.073</v>
      </c>
      <c r="C42" s="71">
        <v>9.9000000000000005E-2</v>
      </c>
      <c r="D42" s="194">
        <v>1665.40625</v>
      </c>
      <c r="E42" s="194">
        <f t="shared" si="0"/>
        <v>555.13541666666663</v>
      </c>
      <c r="G42" s="71">
        <v>9.9000000000000005E-2</v>
      </c>
      <c r="H42" s="194">
        <v>13394.8406</v>
      </c>
      <c r="I42" s="194">
        <v>1665.40625</v>
      </c>
      <c r="J42" s="194">
        <f t="shared" si="1"/>
        <v>555.13541666666663</v>
      </c>
      <c r="L42" t="s">
        <v>157</v>
      </c>
      <c r="M42" s="71">
        <v>9.9000000000000005E-2</v>
      </c>
      <c r="O42" t="s">
        <v>157</v>
      </c>
      <c r="P42" s="71">
        <v>0.1</v>
      </c>
    </row>
    <row r="43" spans="1:16" x14ac:dyDescent="0.3">
      <c r="A43" t="s">
        <v>158</v>
      </c>
      <c r="B43" s="193">
        <v>13162.574000000001</v>
      </c>
      <c r="C43" s="71">
        <v>0.10300000000000001</v>
      </c>
      <c r="D43" s="194">
        <v>1778.4375</v>
      </c>
      <c r="E43" s="194">
        <f t="shared" si="0"/>
        <v>592.8125</v>
      </c>
      <c r="G43" s="71">
        <v>0.10300000000000001</v>
      </c>
      <c r="H43" s="194">
        <v>13169.5342</v>
      </c>
      <c r="I43" s="194">
        <v>1778.4375</v>
      </c>
      <c r="J43" s="194">
        <f t="shared" si="1"/>
        <v>592.8125</v>
      </c>
      <c r="L43" t="s">
        <v>158</v>
      </c>
      <c r="M43" s="71">
        <v>0.10300000000000001</v>
      </c>
      <c r="O43" t="s">
        <v>158</v>
      </c>
      <c r="P43" s="71">
        <v>0.10300000000000001</v>
      </c>
    </row>
    <row r="44" spans="1:16" x14ac:dyDescent="0.3">
      <c r="A44" t="s">
        <v>159</v>
      </c>
      <c r="B44" s="193">
        <v>13331.3061</v>
      </c>
      <c r="C44" s="71">
        <v>9.9000000000000005E-2</v>
      </c>
      <c r="D44" s="194">
        <v>1804.0625</v>
      </c>
      <c r="E44" s="194">
        <f t="shared" si="0"/>
        <v>601.35416666666663</v>
      </c>
      <c r="G44" s="71">
        <v>9.9000000000000005E-2</v>
      </c>
      <c r="H44" s="194">
        <v>13316.228800000001</v>
      </c>
      <c r="I44" s="194">
        <v>1804.0625</v>
      </c>
      <c r="J44" s="194">
        <f t="shared" si="1"/>
        <v>601.35416666666663</v>
      </c>
      <c r="L44" t="s">
        <v>159</v>
      </c>
      <c r="M44" s="71">
        <v>9.9000000000000005E-2</v>
      </c>
      <c r="O44" t="s">
        <v>159</v>
      </c>
      <c r="P44" s="71">
        <v>9.9000000000000005E-2</v>
      </c>
    </row>
    <row r="45" spans="1:16" x14ac:dyDescent="0.3">
      <c r="A45" t="s">
        <v>160</v>
      </c>
      <c r="B45" s="193">
        <v>13488.6374</v>
      </c>
      <c r="C45" s="71">
        <v>0.10400000000000001</v>
      </c>
      <c r="D45" s="194">
        <v>1816.8125</v>
      </c>
      <c r="E45" s="194">
        <f t="shared" si="0"/>
        <v>605.60416666666663</v>
      </c>
      <c r="G45" s="71">
        <v>0.10400000000000001</v>
      </c>
      <c r="H45" s="194">
        <v>13507.2791</v>
      </c>
      <c r="I45" s="194">
        <v>1816.8125</v>
      </c>
      <c r="J45" s="194">
        <f t="shared" si="1"/>
        <v>605.60416666666663</v>
      </c>
      <c r="L45" t="s">
        <v>160</v>
      </c>
      <c r="M45" s="71">
        <v>0.10400000000000001</v>
      </c>
      <c r="O45" t="s">
        <v>160</v>
      </c>
      <c r="P45" s="71">
        <v>0.10099999999999999</v>
      </c>
    </row>
    <row r="46" spans="1:16" x14ac:dyDescent="0.3">
      <c r="A46" t="s">
        <v>161</v>
      </c>
      <c r="B46" s="193">
        <v>13481.3341</v>
      </c>
      <c r="C46" s="71">
        <v>9.3000000000000013E-2</v>
      </c>
      <c r="D46" s="194">
        <v>1816.6875</v>
      </c>
      <c r="E46" s="194">
        <f t="shared" si="0"/>
        <v>605.5625</v>
      </c>
      <c r="G46" s="71">
        <v>9.3000000000000013E-2</v>
      </c>
      <c r="H46" s="194">
        <v>13534.7423</v>
      </c>
      <c r="I46" s="194">
        <v>1816.6875</v>
      </c>
      <c r="J46" s="194">
        <f t="shared" si="1"/>
        <v>605.5625</v>
      </c>
      <c r="L46" t="s">
        <v>161</v>
      </c>
      <c r="M46" s="71">
        <v>9.3000000000000013E-2</v>
      </c>
      <c r="O46" t="s">
        <v>161</v>
      </c>
      <c r="P46" s="71">
        <v>9.3000000000000013E-2</v>
      </c>
    </row>
    <row r="47" spans="1:16" x14ac:dyDescent="0.3">
      <c r="A47" t="s">
        <v>162</v>
      </c>
      <c r="B47" s="193">
        <v>13450.458500000001</v>
      </c>
      <c r="C47" s="71">
        <v>8.6999999999999994E-2</v>
      </c>
      <c r="D47" s="194">
        <v>1767.4375</v>
      </c>
      <c r="E47" s="194">
        <f t="shared" si="0"/>
        <v>589.14583333333337</v>
      </c>
      <c r="G47" s="71">
        <v>8.6999999999999994E-2</v>
      </c>
      <c r="H47" s="194">
        <v>13709.097900000001</v>
      </c>
      <c r="I47" s="194">
        <v>1767.4375</v>
      </c>
      <c r="J47" s="194">
        <f t="shared" si="1"/>
        <v>589.14583333333337</v>
      </c>
      <c r="L47" t="s">
        <v>162</v>
      </c>
      <c r="M47" s="71">
        <v>8.6999999999999994E-2</v>
      </c>
      <c r="O47" t="s">
        <v>162</v>
      </c>
      <c r="P47" s="71">
        <v>8.8000000000000009E-2</v>
      </c>
    </row>
    <row r="48" spans="1:16" x14ac:dyDescent="0.3">
      <c r="A48" t="s">
        <v>163</v>
      </c>
      <c r="B48" s="193">
        <v>13646.9103</v>
      </c>
      <c r="C48" s="71">
        <v>9.3000000000000013E-2</v>
      </c>
      <c r="D48" s="194">
        <v>1756.0625</v>
      </c>
      <c r="E48" s="194">
        <f t="shared" si="0"/>
        <v>585.35416666666663</v>
      </c>
      <c r="G48" s="71">
        <v>9.3000000000000013E-2</v>
      </c>
      <c r="H48" s="194">
        <v>13901.0429</v>
      </c>
      <c r="I48" s="194">
        <v>1756.0625</v>
      </c>
      <c r="J48" s="194">
        <f t="shared" si="1"/>
        <v>585.35416666666663</v>
      </c>
      <c r="L48" t="s">
        <v>163</v>
      </c>
      <c r="M48" s="71">
        <v>9.3000000000000013E-2</v>
      </c>
      <c r="O48" t="s">
        <v>163</v>
      </c>
      <c r="P48" s="71">
        <v>9.0999999999999998E-2</v>
      </c>
    </row>
    <row r="49" spans="1:16" x14ac:dyDescent="0.3">
      <c r="A49" t="s">
        <v>164</v>
      </c>
      <c r="B49" s="193">
        <v>13878.487300000001</v>
      </c>
      <c r="C49" s="71">
        <v>7.0999999999999994E-2</v>
      </c>
      <c r="D49" s="194">
        <v>1746.3125</v>
      </c>
      <c r="E49" s="194">
        <f t="shared" si="0"/>
        <v>582.10416666666663</v>
      </c>
      <c r="G49" s="71">
        <v>7.2000000000000008E-2</v>
      </c>
      <c r="H49" s="194">
        <v>14173.843000000001</v>
      </c>
      <c r="I49" s="194">
        <v>1746.3125</v>
      </c>
      <c r="J49" s="194">
        <f t="shared" si="1"/>
        <v>582.10416666666663</v>
      </c>
      <c r="L49" t="s">
        <v>164</v>
      </c>
      <c r="M49" s="71">
        <v>7.2000000000000008E-2</v>
      </c>
      <c r="O49" t="s">
        <v>164</v>
      </c>
      <c r="P49" s="71">
        <v>7.2999999999999995E-2</v>
      </c>
    </row>
    <row r="50" spans="1:16" x14ac:dyDescent="0.3">
      <c r="A50" t="s">
        <v>165</v>
      </c>
      <c r="B50" s="193">
        <v>14048.4468</v>
      </c>
      <c r="C50" s="71">
        <v>7.400000000000001E-2</v>
      </c>
      <c r="D50" s="194">
        <v>1738.1875</v>
      </c>
      <c r="E50" s="194">
        <f t="shared" si="0"/>
        <v>579.39583333333337</v>
      </c>
      <c r="G50" s="71">
        <v>7.2000000000000008E-2</v>
      </c>
      <c r="H50" s="194">
        <v>14194.0774</v>
      </c>
      <c r="I50" s="194">
        <v>1738.1875</v>
      </c>
      <c r="J50" s="194">
        <f t="shared" si="1"/>
        <v>579.39583333333337</v>
      </c>
      <c r="L50" t="s">
        <v>165</v>
      </c>
      <c r="M50" s="71">
        <v>7.2000000000000008E-2</v>
      </c>
      <c r="O50" t="s">
        <v>165</v>
      </c>
      <c r="P50" s="71">
        <v>7.400000000000001E-2</v>
      </c>
    </row>
    <row r="51" spans="1:16" x14ac:dyDescent="0.3">
      <c r="A51" t="s">
        <v>166</v>
      </c>
      <c r="B51" s="193">
        <v>14272.4506</v>
      </c>
      <c r="C51" s="71">
        <v>0.08</v>
      </c>
      <c r="D51" s="194">
        <v>1731.6875</v>
      </c>
      <c r="E51" s="194">
        <f t="shared" si="0"/>
        <v>577.22916666666663</v>
      </c>
      <c r="G51" s="71">
        <v>0.08</v>
      </c>
      <c r="H51" s="194">
        <v>14102.2065</v>
      </c>
      <c r="I51" s="194">
        <v>1731.6875</v>
      </c>
      <c r="J51" s="194">
        <f t="shared" si="1"/>
        <v>577.22916666666663</v>
      </c>
      <c r="L51" t="s">
        <v>166</v>
      </c>
      <c r="M51" s="71">
        <v>0.08</v>
      </c>
      <c r="O51" t="s">
        <v>166</v>
      </c>
      <c r="P51" s="71">
        <v>7.9000000000000001E-2</v>
      </c>
    </row>
    <row r="52" spans="1:16" x14ac:dyDescent="0.3">
      <c r="A52" t="s">
        <v>167</v>
      </c>
      <c r="B52" s="193">
        <v>14370.099099999999</v>
      </c>
      <c r="C52" s="71">
        <v>8.4000000000000005E-2</v>
      </c>
      <c r="D52" s="194">
        <v>1726.8125</v>
      </c>
      <c r="E52" s="194">
        <f t="shared" si="0"/>
        <v>575.60416666666663</v>
      </c>
      <c r="G52" s="71">
        <v>8.4000000000000005E-2</v>
      </c>
      <c r="H52" s="194">
        <v>14190.627500000001</v>
      </c>
      <c r="I52" s="194">
        <v>1726.8125</v>
      </c>
      <c r="J52" s="194">
        <f t="shared" si="1"/>
        <v>575.60416666666663</v>
      </c>
      <c r="L52" t="s">
        <v>167</v>
      </c>
      <c r="M52" s="71">
        <v>8.4000000000000005E-2</v>
      </c>
      <c r="O52" t="s">
        <v>167</v>
      </c>
      <c r="P52" s="71">
        <v>8.4000000000000005E-2</v>
      </c>
    </row>
    <row r="53" spans="1:16" x14ac:dyDescent="0.3">
      <c r="A53" t="s">
        <v>168</v>
      </c>
      <c r="B53" s="193">
        <v>14528.8591</v>
      </c>
      <c r="C53" s="71">
        <v>9.0999999999999998E-2</v>
      </c>
      <c r="D53" s="194">
        <v>1723.5625</v>
      </c>
      <c r="E53" s="194">
        <f t="shared" si="0"/>
        <v>574.52083333333337</v>
      </c>
      <c r="G53" s="71">
        <v>9.3000000000000013E-2</v>
      </c>
      <c r="H53" s="194">
        <v>14331.0152</v>
      </c>
      <c r="I53" s="194">
        <v>1723.5625</v>
      </c>
      <c r="J53" s="194">
        <f t="shared" si="1"/>
        <v>574.52083333333337</v>
      </c>
      <c r="L53" t="s">
        <v>168</v>
      </c>
      <c r="M53" s="71">
        <v>9.3000000000000013E-2</v>
      </c>
      <c r="O53" t="s">
        <v>168</v>
      </c>
      <c r="P53" s="71">
        <v>8.900000000000001E-2</v>
      </c>
    </row>
    <row r="54" spans="1:16" x14ac:dyDescent="0.3">
      <c r="A54" t="s">
        <v>169</v>
      </c>
      <c r="B54" s="193">
        <v>14722.02</v>
      </c>
      <c r="C54" s="71">
        <v>9.6000000000000002E-2</v>
      </c>
      <c r="D54" s="194">
        <v>1721.9375</v>
      </c>
      <c r="E54" s="194">
        <f t="shared" si="0"/>
        <v>573.97916666666663</v>
      </c>
      <c r="G54" s="71">
        <v>9.4E-2</v>
      </c>
      <c r="H54" s="194">
        <v>14514.749299999999</v>
      </c>
      <c r="I54" s="194">
        <v>1721.9375</v>
      </c>
      <c r="J54" s="194">
        <f t="shared" si="1"/>
        <v>573.97916666666663</v>
      </c>
      <c r="L54" t="s">
        <v>169</v>
      </c>
      <c r="M54" s="71">
        <v>9.4E-2</v>
      </c>
      <c r="O54" t="s">
        <v>169</v>
      </c>
      <c r="P54" s="71">
        <v>9.1999999999999998E-2</v>
      </c>
    </row>
    <row r="55" spans="1:16" x14ac:dyDescent="0.3">
      <c r="A55" t="s">
        <v>170</v>
      </c>
      <c r="B55" s="193">
        <v>14922.23</v>
      </c>
      <c r="C55" s="71">
        <v>8.6000110000000005E-2</v>
      </c>
      <c r="D55" s="194">
        <v>1726.355</v>
      </c>
      <c r="E55" s="194">
        <f t="shared" si="0"/>
        <v>575.45166666666671</v>
      </c>
      <c r="G55" s="71">
        <v>8.4000000000000005E-2</v>
      </c>
      <c r="H55" s="194">
        <v>14717.4769</v>
      </c>
      <c r="I55" s="194">
        <v>1726.355</v>
      </c>
      <c r="J55" s="194">
        <f t="shared" si="1"/>
        <v>575.45166666666671</v>
      </c>
      <c r="L55" t="s">
        <v>170</v>
      </c>
      <c r="M55" s="71">
        <v>8.4000000000000005E-2</v>
      </c>
      <c r="O55" t="s">
        <v>170</v>
      </c>
      <c r="P55" s="71">
        <v>8.8000000000000009E-2</v>
      </c>
    </row>
    <row r="56" spans="1:16" x14ac:dyDescent="0.3">
      <c r="A56" t="s">
        <v>171</v>
      </c>
      <c r="B56" s="193">
        <v>15102.48</v>
      </c>
      <c r="C56" s="71">
        <v>7.8295169999999997E-2</v>
      </c>
      <c r="D56" s="194">
        <v>1728.704</v>
      </c>
      <c r="E56" s="194">
        <f t="shared" si="0"/>
        <v>576.23466666666661</v>
      </c>
      <c r="G56" s="71">
        <v>7.0999999999999994E-2</v>
      </c>
      <c r="H56" s="194">
        <v>14828.1818</v>
      </c>
      <c r="I56" s="194">
        <v>1728.704</v>
      </c>
      <c r="J56" s="194">
        <f t="shared" si="1"/>
        <v>576.23466666666661</v>
      </c>
      <c r="L56" t="s">
        <v>171</v>
      </c>
      <c r="M56" s="71">
        <v>7.0999999999999994E-2</v>
      </c>
      <c r="O56" t="s">
        <v>171</v>
      </c>
      <c r="P56" s="71">
        <v>7.400000000000001E-2</v>
      </c>
    </row>
    <row r="57" spans="1:16" x14ac:dyDescent="0.3">
      <c r="A57" t="s">
        <v>172</v>
      </c>
      <c r="B57" s="193">
        <v>15282.72</v>
      </c>
      <c r="C57" s="71">
        <v>6.7434110000000005E-2</v>
      </c>
      <c r="D57" s="194">
        <v>1731.0709999999999</v>
      </c>
      <c r="E57" s="194">
        <f t="shared" si="0"/>
        <v>577.0236666666666</v>
      </c>
      <c r="G57" s="71">
        <v>6.3E-2</v>
      </c>
      <c r="H57" s="194">
        <v>15026.170700000001</v>
      </c>
      <c r="I57" s="194">
        <v>1731.0709999999999</v>
      </c>
      <c r="J57" s="194">
        <f t="shared" si="1"/>
        <v>577.0236666666666</v>
      </c>
      <c r="L57" t="s">
        <v>172</v>
      </c>
      <c r="M57" s="71">
        <v>6.3E-2</v>
      </c>
      <c r="O57" t="s">
        <v>172</v>
      </c>
      <c r="P57" s="71">
        <v>6.2E-2</v>
      </c>
    </row>
    <row r="58" spans="1:16" x14ac:dyDescent="0.3">
      <c r="A58" t="s">
        <v>173</v>
      </c>
      <c r="B58" s="193">
        <v>15400.39</v>
      </c>
      <c r="C58" s="71">
        <v>7.5499999999999998E-2</v>
      </c>
      <c r="D58" s="194">
        <v>1733.4659999999999</v>
      </c>
      <c r="E58" s="194">
        <f t="shared" si="0"/>
        <v>577.822</v>
      </c>
      <c r="G58" s="71">
        <v>7.0000000000000007E-2</v>
      </c>
      <c r="H58" s="194">
        <v>15207.028</v>
      </c>
      <c r="I58" s="194">
        <v>1733.4659999999999</v>
      </c>
      <c r="J58" s="194">
        <f t="shared" si="1"/>
        <v>577.822</v>
      </c>
      <c r="L58" t="s">
        <v>173</v>
      </c>
      <c r="M58" s="71">
        <v>7.0000000000000007E-2</v>
      </c>
      <c r="O58" t="s">
        <v>173</v>
      </c>
      <c r="P58" s="71">
        <v>7.5999999999999998E-2</v>
      </c>
    </row>
    <row r="59" spans="1:16" x14ac:dyDescent="0.3">
      <c r="A59" t="s">
        <v>174</v>
      </c>
      <c r="B59" s="193">
        <v>15526.16</v>
      </c>
      <c r="C59" s="71">
        <v>7.4499999999999997E-2</v>
      </c>
      <c r="D59" s="194">
        <v>1736.002</v>
      </c>
      <c r="E59" s="194">
        <f t="shared" si="0"/>
        <v>578.66733333333332</v>
      </c>
      <c r="G59" s="71">
        <v>7.2000049999999996E-2</v>
      </c>
      <c r="H59" s="194">
        <v>15343.6</v>
      </c>
      <c r="I59">
        <v>1749.7149999999999</v>
      </c>
      <c r="J59" s="194">
        <f t="shared" ref="J59:J78" si="2">+I59/3</f>
        <v>583.23833333333334</v>
      </c>
      <c r="L59" t="s">
        <v>174</v>
      </c>
      <c r="M59" s="71">
        <v>7.0999869999999993E-2</v>
      </c>
      <c r="O59" t="s">
        <v>174</v>
      </c>
      <c r="P59" s="71">
        <v>7.6999999999999999E-2</v>
      </c>
    </row>
    <row r="60" spans="1:16" x14ac:dyDescent="0.3">
      <c r="A60" t="s">
        <v>175</v>
      </c>
      <c r="B60" s="193">
        <v>15683.38</v>
      </c>
      <c r="C60" s="71">
        <v>7.3499980000000006E-2</v>
      </c>
      <c r="D60" s="194">
        <v>1738.4090000000001</v>
      </c>
      <c r="E60" s="194">
        <f t="shared" si="0"/>
        <v>579.46966666666674</v>
      </c>
      <c r="G60" s="71">
        <v>6.7062290000000011E-2</v>
      </c>
      <c r="H60" s="194">
        <v>15427.8</v>
      </c>
      <c r="I60">
        <v>1750.376</v>
      </c>
      <c r="J60" s="194">
        <f t="shared" si="2"/>
        <v>583.45866666666666</v>
      </c>
      <c r="L60" t="s">
        <v>175</v>
      </c>
      <c r="M60" s="71">
        <v>7.2000069999999999E-2</v>
      </c>
      <c r="O60" t="s">
        <v>175</v>
      </c>
      <c r="P60" s="71">
        <v>6.7000000000000004E-2</v>
      </c>
    </row>
    <row r="61" spans="1:16" x14ac:dyDescent="0.3">
      <c r="A61" t="s">
        <v>176</v>
      </c>
      <c r="B61" s="193">
        <v>15846.82</v>
      </c>
      <c r="C61" s="71">
        <v>7.249984000000001E-2</v>
      </c>
      <c r="D61" s="194">
        <v>1740.779</v>
      </c>
      <c r="E61" s="194">
        <f t="shared" si="0"/>
        <v>580.2596666666667</v>
      </c>
      <c r="G61" s="71">
        <v>6.7062640000000007E-2</v>
      </c>
      <c r="H61" s="194">
        <v>15588.54</v>
      </c>
      <c r="I61">
        <v>1751.008</v>
      </c>
      <c r="J61" s="194">
        <f t="shared" si="2"/>
        <v>583.66933333333338</v>
      </c>
      <c r="L61" t="s">
        <v>176</v>
      </c>
      <c r="M61" s="71">
        <v>7.6999829999999991E-2</v>
      </c>
      <c r="O61" t="s">
        <v>176</v>
      </c>
      <c r="P61" s="71">
        <v>7.5999999999999998E-2</v>
      </c>
    </row>
    <row r="62" spans="1:16" x14ac:dyDescent="0.3">
      <c r="A62" t="s">
        <v>177</v>
      </c>
      <c r="B62" s="193">
        <v>16016.46</v>
      </c>
      <c r="C62" s="71">
        <v>7.1500090000000002E-2</v>
      </c>
      <c r="D62" s="194">
        <v>1743.114</v>
      </c>
      <c r="E62" s="194">
        <f t="shared" si="0"/>
        <v>581.03800000000001</v>
      </c>
      <c r="G62" s="71">
        <v>6.6937659999999996E-2</v>
      </c>
      <c r="H62" s="194">
        <v>15753.25</v>
      </c>
      <c r="I62">
        <v>1751.6030000000001</v>
      </c>
      <c r="J62" s="194">
        <f t="shared" si="2"/>
        <v>583.86766666666665</v>
      </c>
      <c r="L62" t="s">
        <v>177</v>
      </c>
      <c r="M62" s="71">
        <v>7.3406150000000003E-2</v>
      </c>
      <c r="O62" t="s">
        <v>177</v>
      </c>
      <c r="P62" s="71">
        <v>6.9000000000000006E-2</v>
      </c>
    </row>
    <row r="63" spans="1:16" x14ac:dyDescent="0.3">
      <c r="A63" t="s">
        <v>178</v>
      </c>
      <c r="B63" s="193">
        <v>16200.58</v>
      </c>
      <c r="C63" s="71">
        <v>7.050025E-2</v>
      </c>
      <c r="D63" s="194">
        <v>1745.4159999999999</v>
      </c>
      <c r="E63" s="194">
        <f t="shared" si="0"/>
        <v>581.80533333333335</v>
      </c>
      <c r="G63" s="71">
        <v>6.6687560000000007E-2</v>
      </c>
      <c r="H63" s="194">
        <v>15921.99</v>
      </c>
      <c r="I63">
        <v>1752.152</v>
      </c>
      <c r="J63" s="194">
        <f t="shared" si="2"/>
        <v>584.05066666666664</v>
      </c>
      <c r="L63" t="s">
        <v>178</v>
      </c>
      <c r="M63" s="71">
        <v>7.2906310000000002E-2</v>
      </c>
      <c r="O63" t="s">
        <v>178</v>
      </c>
      <c r="P63" s="71">
        <v>7.4999869999999996E-2</v>
      </c>
    </row>
    <row r="64" spans="1:16" x14ac:dyDescent="0.3">
      <c r="A64" t="s">
        <v>179</v>
      </c>
      <c r="B64" s="193">
        <v>16379.36</v>
      </c>
      <c r="C64" s="71">
        <v>6.9499950000000005E-2</v>
      </c>
      <c r="D64" s="194">
        <v>1747.694</v>
      </c>
      <c r="E64" s="194">
        <f t="shared" si="0"/>
        <v>582.56466666666665</v>
      </c>
      <c r="G64" s="71">
        <v>6.6312639999999992E-2</v>
      </c>
      <c r="H64" s="194">
        <v>16094.64</v>
      </c>
      <c r="I64">
        <v>1752.7049999999999</v>
      </c>
      <c r="J64" s="194">
        <f t="shared" si="2"/>
        <v>584.23500000000001</v>
      </c>
      <c r="L64" t="s">
        <v>179</v>
      </c>
      <c r="M64" s="71">
        <v>7.2343870000000005E-2</v>
      </c>
      <c r="O64" t="s">
        <v>179</v>
      </c>
      <c r="P64" s="71">
        <v>7.3999759999999998E-2</v>
      </c>
    </row>
    <row r="65" spans="1:16" x14ac:dyDescent="0.3">
      <c r="A65" t="s">
        <v>180</v>
      </c>
      <c r="B65" s="193">
        <v>16561.05</v>
      </c>
      <c r="C65" s="71">
        <v>6.8499920000000006E-2</v>
      </c>
      <c r="D65" s="194">
        <v>1749.941</v>
      </c>
      <c r="E65" s="194">
        <f t="shared" si="0"/>
        <v>583.31366666666668</v>
      </c>
      <c r="G65" s="71">
        <v>6.5812510000000005E-2</v>
      </c>
      <c r="H65" s="194">
        <v>16271.26</v>
      </c>
      <c r="I65">
        <v>1753.1969999999999</v>
      </c>
      <c r="J65" s="194">
        <f t="shared" si="2"/>
        <v>584.399</v>
      </c>
      <c r="L65" t="s">
        <v>180</v>
      </c>
      <c r="M65" s="71">
        <v>7.1718589999999999E-2</v>
      </c>
      <c r="O65" t="s">
        <v>180</v>
      </c>
      <c r="P65" s="71">
        <v>7.4000269999999993E-2</v>
      </c>
    </row>
    <row r="66" spans="1:16" x14ac:dyDescent="0.3">
      <c r="A66" t="s">
        <v>181</v>
      </c>
      <c r="B66" s="193">
        <v>16745.64</v>
      </c>
      <c r="C66" s="71">
        <v>6.7500020000000008E-2</v>
      </c>
      <c r="D66" s="194">
        <v>1752.154</v>
      </c>
      <c r="E66" s="194">
        <f t="shared" si="0"/>
        <v>584.05133333333333</v>
      </c>
      <c r="G66" s="71">
        <v>6.5187530000000007E-2</v>
      </c>
      <c r="H66" s="194">
        <v>16451.830000000002</v>
      </c>
      <c r="I66">
        <v>1753.6769999999999</v>
      </c>
      <c r="J66" s="194">
        <f t="shared" si="2"/>
        <v>584.55899999999997</v>
      </c>
      <c r="L66" t="s">
        <v>181</v>
      </c>
      <c r="M66" s="71">
        <v>7.1031250000000004E-2</v>
      </c>
      <c r="O66" t="s">
        <v>181</v>
      </c>
      <c r="P66" s="71">
        <v>7.8999810000000004E-2</v>
      </c>
    </row>
    <row r="67" spans="1:16" x14ac:dyDescent="0.3">
      <c r="A67" t="s">
        <v>182</v>
      </c>
      <c r="B67" s="193">
        <v>16942.25</v>
      </c>
      <c r="C67" s="71">
        <v>6.6031469999999995E-2</v>
      </c>
      <c r="D67" s="194">
        <v>1754.3330000000001</v>
      </c>
      <c r="E67" s="194">
        <f t="shared" si="0"/>
        <v>584.77766666666673</v>
      </c>
      <c r="G67" s="71">
        <v>6.3656039999999997E-2</v>
      </c>
      <c r="H67" s="194">
        <v>16644.349999999999</v>
      </c>
      <c r="I67">
        <v>1754.136</v>
      </c>
      <c r="J67" s="194">
        <f t="shared" si="2"/>
        <v>584.71199999999999</v>
      </c>
      <c r="L67" t="s">
        <v>182</v>
      </c>
      <c r="M67" s="71">
        <v>7.0125049999999994E-2</v>
      </c>
      <c r="O67" t="s">
        <v>182</v>
      </c>
      <c r="P67" s="71">
        <v>7.2169469999999999E-2</v>
      </c>
    </row>
    <row r="68" spans="1:16" x14ac:dyDescent="0.3">
      <c r="A68" t="s">
        <v>183</v>
      </c>
      <c r="B68" s="193">
        <v>17129.03</v>
      </c>
      <c r="C68" s="71">
        <v>6.5218890000000002E-2</v>
      </c>
      <c r="D68" s="194">
        <v>1756.4770000000001</v>
      </c>
      <c r="E68" s="194">
        <f t="shared" ref="E68:E78" si="3">+D68/3</f>
        <v>585.49233333333336</v>
      </c>
      <c r="G68" s="71">
        <v>6.3093589999999991E-2</v>
      </c>
      <c r="H68" s="194">
        <v>16829.650000000001</v>
      </c>
      <c r="I68">
        <v>1754.5550000000001</v>
      </c>
      <c r="J68" s="194">
        <f t="shared" si="2"/>
        <v>584.85166666666669</v>
      </c>
      <c r="L68" t="s">
        <v>183</v>
      </c>
      <c r="M68" s="71">
        <v>6.9375039999999999E-2</v>
      </c>
      <c r="O68" t="s">
        <v>183</v>
      </c>
      <c r="P68" s="71">
        <v>7.1452829999999995E-2</v>
      </c>
    </row>
    <row r="69" spans="1:16" x14ac:dyDescent="0.3">
      <c r="A69" t="s">
        <v>184</v>
      </c>
      <c r="B69" s="193">
        <v>17315.080000000002</v>
      </c>
      <c r="C69" s="71">
        <v>6.4593830000000005E-2</v>
      </c>
      <c r="D69" s="194">
        <v>1758.5840000000001</v>
      </c>
      <c r="E69" s="194">
        <f t="shared" si="3"/>
        <v>586.19466666666665</v>
      </c>
      <c r="G69" s="71">
        <v>6.2718590000000005E-2</v>
      </c>
      <c r="H69" s="194">
        <v>17015.71</v>
      </c>
      <c r="I69">
        <v>1754.943</v>
      </c>
      <c r="J69" s="194">
        <f t="shared" si="2"/>
        <v>584.98099999999999</v>
      </c>
      <c r="L69" t="s">
        <v>184</v>
      </c>
      <c r="M69" s="71">
        <v>6.8625069999999996E-2</v>
      </c>
      <c r="O69" t="s">
        <v>184</v>
      </c>
      <c r="P69" s="71">
        <v>7.064187999999999E-2</v>
      </c>
    </row>
    <row r="70" spans="1:16" x14ac:dyDescent="0.3">
      <c r="A70" t="s">
        <v>185</v>
      </c>
      <c r="B70" s="193">
        <v>17500.41</v>
      </c>
      <c r="C70" s="71">
        <v>6.4156030000000003E-2</v>
      </c>
      <c r="D70" s="194">
        <v>1760.652</v>
      </c>
      <c r="E70" s="194">
        <f t="shared" si="3"/>
        <v>586.88400000000001</v>
      </c>
      <c r="G70" s="71">
        <v>6.2531199999999995E-2</v>
      </c>
      <c r="H70" s="194">
        <v>17202.52</v>
      </c>
      <c r="I70">
        <v>1755.297</v>
      </c>
      <c r="J70" s="194">
        <f t="shared" si="2"/>
        <v>585.09900000000005</v>
      </c>
      <c r="L70" t="s">
        <v>185</v>
      </c>
      <c r="M70" s="71">
        <v>6.7874710000000005E-2</v>
      </c>
      <c r="O70" t="s">
        <v>185</v>
      </c>
      <c r="P70" s="71">
        <v>6.9736220000000002E-2</v>
      </c>
    </row>
    <row r="71" spans="1:16" x14ac:dyDescent="0.3">
      <c r="A71" t="s">
        <v>186</v>
      </c>
      <c r="B71" s="193">
        <v>17684.97</v>
      </c>
      <c r="C71" s="71">
        <v>6.4296779999999998E-2</v>
      </c>
      <c r="D71" s="194">
        <v>1762.681</v>
      </c>
      <c r="E71" s="194">
        <f t="shared" si="3"/>
        <v>587.56033333333335</v>
      </c>
      <c r="G71" s="71">
        <v>6.4401669999999994E-2</v>
      </c>
      <c r="H71" s="194">
        <v>17391.48</v>
      </c>
      <c r="I71">
        <v>1755.6120000000001</v>
      </c>
      <c r="J71" s="194">
        <f t="shared" si="2"/>
        <v>585.20400000000006</v>
      </c>
      <c r="L71" t="s">
        <v>186</v>
      </c>
      <c r="M71" s="71">
        <v>6.7125080000000004E-2</v>
      </c>
      <c r="O71" t="s">
        <v>186</v>
      </c>
      <c r="P71" s="71">
        <v>6.8187249999999991E-2</v>
      </c>
    </row>
    <row r="72" spans="1:16" x14ac:dyDescent="0.3">
      <c r="A72" t="s">
        <v>187</v>
      </c>
      <c r="B72" s="193">
        <v>17868.849999999999</v>
      </c>
      <c r="C72" s="71">
        <v>6.407829000000001E-2</v>
      </c>
      <c r="D72" s="194">
        <v>1764.6690000000001</v>
      </c>
      <c r="E72" s="194">
        <f t="shared" si="3"/>
        <v>588.22300000000007</v>
      </c>
      <c r="G72" s="71">
        <v>6.3840939999999999E-2</v>
      </c>
      <c r="H72" s="194">
        <v>17579.27</v>
      </c>
      <c r="I72">
        <v>1755.884</v>
      </c>
      <c r="J72" s="194">
        <f t="shared" si="2"/>
        <v>585.29466666666667</v>
      </c>
      <c r="L72" t="s">
        <v>187</v>
      </c>
      <c r="M72" s="71">
        <v>6.6375160000000002E-2</v>
      </c>
      <c r="O72" t="s">
        <v>187</v>
      </c>
      <c r="P72" s="71">
        <v>6.7312499999999997E-2</v>
      </c>
    </row>
    <row r="73" spans="1:16" x14ac:dyDescent="0.3">
      <c r="A73" t="s">
        <v>188</v>
      </c>
      <c r="B73" s="193">
        <v>18052.009999999998</v>
      </c>
      <c r="C73" s="71">
        <v>6.3890589999999997E-2</v>
      </c>
      <c r="D73" s="194">
        <v>1766.615</v>
      </c>
      <c r="E73" s="194">
        <f t="shared" si="3"/>
        <v>588.87166666666667</v>
      </c>
      <c r="G73" s="71">
        <v>6.2719719999999993E-2</v>
      </c>
      <c r="H73" s="194">
        <v>17767.27</v>
      </c>
      <c r="I73">
        <v>1756.1120000000001</v>
      </c>
      <c r="J73" s="194">
        <f t="shared" si="2"/>
        <v>585.37066666666669</v>
      </c>
      <c r="L73" t="s">
        <v>188</v>
      </c>
      <c r="M73" s="71">
        <v>6.5624879999999997E-2</v>
      </c>
      <c r="O73" t="s">
        <v>188</v>
      </c>
      <c r="P73" s="71">
        <v>6.6562659999999996E-2</v>
      </c>
    </row>
    <row r="74" spans="1:16" x14ac:dyDescent="0.3">
      <c r="A74" t="s">
        <v>189</v>
      </c>
      <c r="B74" s="193">
        <v>18234.46</v>
      </c>
      <c r="C74" s="71">
        <v>6.373440000000001E-2</v>
      </c>
      <c r="D74" s="194">
        <v>1768.519</v>
      </c>
      <c r="E74" s="194">
        <f t="shared" si="3"/>
        <v>589.50633333333337</v>
      </c>
      <c r="G74" s="71">
        <v>6.1037710000000002E-2</v>
      </c>
      <c r="H74" s="194">
        <v>17955.490000000002</v>
      </c>
      <c r="I74">
        <v>1756.296</v>
      </c>
      <c r="J74" s="194">
        <f t="shared" si="2"/>
        <v>585.43200000000002</v>
      </c>
      <c r="L74" t="s">
        <v>189</v>
      </c>
      <c r="M74" s="71">
        <v>6.4874899999999999E-2</v>
      </c>
      <c r="O74" t="s">
        <v>189</v>
      </c>
      <c r="P74" s="71">
        <v>6.5937659999999995E-2</v>
      </c>
    </row>
    <row r="75" spans="1:16" x14ac:dyDescent="0.3">
      <c r="A75" t="s">
        <v>190</v>
      </c>
      <c r="B75" s="193">
        <v>18416.189999999999</v>
      </c>
      <c r="C75" s="71">
        <v>6.3609410000000005E-2</v>
      </c>
      <c r="D75" s="194">
        <v>1770.3779999999999</v>
      </c>
      <c r="E75" s="194">
        <f t="shared" si="3"/>
        <v>590.12599999999998</v>
      </c>
      <c r="G75" s="71">
        <v>5.8794899999999997E-2</v>
      </c>
      <c r="H75" s="194">
        <v>18143.91</v>
      </c>
      <c r="I75">
        <v>1756.432</v>
      </c>
      <c r="J75" s="194">
        <f t="shared" si="2"/>
        <v>585.47733333333338</v>
      </c>
      <c r="L75" t="s">
        <v>190</v>
      </c>
      <c r="M75" s="71">
        <v>6.3968469999999999E-2</v>
      </c>
      <c r="O75" t="s">
        <v>190</v>
      </c>
      <c r="P75" s="71">
        <v>6.6219020000000003E-2</v>
      </c>
    </row>
    <row r="76" spans="1:16" x14ac:dyDescent="0.3">
      <c r="A76" t="s">
        <v>191</v>
      </c>
      <c r="B76" s="193">
        <v>18597.2</v>
      </c>
      <c r="C76" s="71">
        <v>6.35154E-2</v>
      </c>
      <c r="D76" s="194">
        <v>1772.193</v>
      </c>
      <c r="E76" s="194">
        <f t="shared" si="3"/>
        <v>590.73099999999999</v>
      </c>
      <c r="G76" s="71">
        <v>5.5991070000000004E-2</v>
      </c>
      <c r="H76" s="194">
        <v>18332.55</v>
      </c>
      <c r="I76">
        <v>1756.521</v>
      </c>
      <c r="J76" s="194">
        <f t="shared" si="2"/>
        <v>585.50699999999995</v>
      </c>
      <c r="L76" t="s">
        <v>191</v>
      </c>
      <c r="M76" s="71">
        <v>6.3280929999999999E-2</v>
      </c>
      <c r="O76" t="s">
        <v>191</v>
      </c>
      <c r="P76" s="71">
        <v>6.5531039999999999E-2</v>
      </c>
    </row>
    <row r="77" spans="1:16" x14ac:dyDescent="0.3">
      <c r="A77" t="s">
        <v>192</v>
      </c>
      <c r="B77" s="193">
        <v>18777.5</v>
      </c>
      <c r="C77" s="71">
        <v>6.3453129999999996E-2</v>
      </c>
      <c r="D77" s="194">
        <v>1773.962</v>
      </c>
      <c r="E77" s="194">
        <f t="shared" si="3"/>
        <v>591.32066666666663</v>
      </c>
      <c r="G77" s="71">
        <v>5.2626799999999994E-2</v>
      </c>
      <c r="H77" s="194">
        <v>18521.400000000001</v>
      </c>
      <c r="I77">
        <v>1756.558</v>
      </c>
      <c r="J77" s="194">
        <f t="shared" si="2"/>
        <v>585.51933333333329</v>
      </c>
      <c r="L77" t="s">
        <v>192</v>
      </c>
      <c r="M77" s="71">
        <v>6.2655909999999995E-2</v>
      </c>
      <c r="O77" t="s">
        <v>192</v>
      </c>
      <c r="P77" s="71">
        <v>6.4656290000000005E-2</v>
      </c>
    </row>
    <row r="78" spans="1:16" x14ac:dyDescent="0.3">
      <c r="A78" t="s">
        <v>193</v>
      </c>
      <c r="B78" s="193">
        <v>18957.080000000002</v>
      </c>
      <c r="C78" s="71">
        <v>6.3421969999999994E-2</v>
      </c>
      <c r="D78" s="194">
        <v>1775.6849999999999</v>
      </c>
      <c r="E78" s="194">
        <f t="shared" si="3"/>
        <v>591.89499999999998</v>
      </c>
      <c r="G78" s="71">
        <v>4.8701990000000001E-2</v>
      </c>
      <c r="H78" s="194">
        <v>18710.46</v>
      </c>
      <c r="I78">
        <v>1756.5440000000001</v>
      </c>
      <c r="J78" s="194">
        <f t="shared" si="2"/>
        <v>585.5146666666667</v>
      </c>
      <c r="L78" t="s">
        <v>193</v>
      </c>
      <c r="M78" s="71">
        <v>6.2093709999999996E-2</v>
      </c>
      <c r="O78" t="s">
        <v>193</v>
      </c>
      <c r="P78" s="71">
        <v>6.3593549999999999E-2</v>
      </c>
    </row>
    <row r="79" spans="1:16" x14ac:dyDescent="0.3">
      <c r="L79" t="s">
        <v>290</v>
      </c>
      <c r="M79" s="71">
        <v>6.1593790000000002E-2</v>
      </c>
      <c r="O79" t="s">
        <v>290</v>
      </c>
      <c r="P79" s="71">
        <v>6.2343830000000003E-2</v>
      </c>
    </row>
    <row r="80" spans="1:16" x14ac:dyDescent="0.3">
      <c r="L80" t="s">
        <v>291</v>
      </c>
      <c r="M80" s="71">
        <v>6.1156160000000001E-2</v>
      </c>
      <c r="O80" t="s">
        <v>291</v>
      </c>
      <c r="P80" s="71">
        <v>6.0906349999999998E-2</v>
      </c>
    </row>
    <row r="81" spans="12:16" x14ac:dyDescent="0.3">
      <c r="L81" t="s">
        <v>292</v>
      </c>
      <c r="M81" s="71">
        <v>6.0781049999999996E-2</v>
      </c>
      <c r="O81" t="s">
        <v>292</v>
      </c>
      <c r="P81" s="71">
        <v>5.928129E-2</v>
      </c>
    </row>
    <row r="82" spans="12:16" x14ac:dyDescent="0.3">
      <c r="L82" t="s">
        <v>293</v>
      </c>
      <c r="M82" s="71">
        <v>6.0468630000000002E-2</v>
      </c>
      <c r="O82" t="s">
        <v>293</v>
      </c>
      <c r="P82" s="71">
        <v>5.7468579999999998E-2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8" sqref="B18"/>
    </sheetView>
  </sheetViews>
  <sheetFormatPr defaultRowHeight="12.45" x14ac:dyDescent="0.3"/>
  <cols>
    <col min="1" max="1" width="14.15234375" bestFit="1" customWidth="1"/>
  </cols>
  <sheetData>
    <row r="1" spans="1:5" x14ac:dyDescent="0.3">
      <c r="B1" t="s">
        <v>79</v>
      </c>
      <c r="C1" t="s">
        <v>80</v>
      </c>
      <c r="D1" t="s">
        <v>116</v>
      </c>
    </row>
    <row r="2" spans="1:5" x14ac:dyDescent="0.3">
      <c r="A2">
        <v>2003</v>
      </c>
      <c r="B2" s="70">
        <f>SUM('Purchased Power Model '!C3:C14)</f>
        <v>3992.7999999999993</v>
      </c>
      <c r="C2" s="70">
        <f>SUM('Purchased Power Model '!D3:D14)</f>
        <v>208.7</v>
      </c>
      <c r="D2" s="71">
        <v>1.0186171336798953</v>
      </c>
    </row>
    <row r="3" spans="1:5" x14ac:dyDescent="0.3">
      <c r="A3">
        <v>2004</v>
      </c>
      <c r="B3" s="70">
        <f>SUM('Purchased Power Model '!C15:C26)</f>
        <v>3838.6999999999994</v>
      </c>
      <c r="C3" s="70">
        <f>SUM('Purchased Power Model '!D15:D26)</f>
        <v>165.2</v>
      </c>
      <c r="D3" s="71">
        <f>+'Rate Class Customer Model'!J4/'Rate Class Customer Model'!J3</f>
        <v>1.0132849095504697</v>
      </c>
    </row>
    <row r="4" spans="1:5" x14ac:dyDescent="0.3">
      <c r="A4">
        <v>2005</v>
      </c>
      <c r="B4" s="70">
        <f>SUM('Purchased Power Model '!C27:C38)</f>
        <v>3770.6999999999994</v>
      </c>
      <c r="C4" s="70">
        <f>SUM('Purchased Power Model '!D27:D38)</f>
        <v>384.5</v>
      </c>
      <c r="D4" s="71">
        <f>+'Rate Class Customer Model'!J5/'Rate Class Customer Model'!J4</f>
        <v>1.015051804428704</v>
      </c>
    </row>
    <row r="5" spans="1:5" x14ac:dyDescent="0.3">
      <c r="A5">
        <v>2006</v>
      </c>
      <c r="B5" s="70">
        <f>SUM('Purchased Power Model '!C39:C50)</f>
        <v>3410.1999999999994</v>
      </c>
      <c r="C5" s="70">
        <f>SUM('Purchased Power Model '!D39:D50)</f>
        <v>243.79999999999998</v>
      </c>
      <c r="D5" s="71">
        <f>+'Rate Class Customer Model'!J6/'Rate Class Customer Model'!J5</f>
        <v>1.0211022486140118</v>
      </c>
    </row>
    <row r="6" spans="1:5" x14ac:dyDescent="0.3">
      <c r="A6">
        <v>2007</v>
      </c>
      <c r="B6" s="70">
        <f>SUM('Purchased Power Model '!C51:C62)</f>
        <v>2890.1</v>
      </c>
      <c r="C6" s="70">
        <f>SUM('Purchased Power Model '!D51:D62)</f>
        <v>179</v>
      </c>
      <c r="D6" s="71">
        <f>+'Rate Class Customer Model'!J7/'Rate Class Customer Model'!J6</f>
        <v>1.0219885826933344</v>
      </c>
    </row>
    <row r="7" spans="1:5" x14ac:dyDescent="0.3">
      <c r="A7">
        <v>2008</v>
      </c>
      <c r="B7" s="70">
        <f>SUM('Purchased Power Model '!C63:C74)</f>
        <v>2408.6999999999998</v>
      </c>
      <c r="C7" s="70">
        <f>SUM('Purchased Power Model '!D63:D74)</f>
        <v>130</v>
      </c>
      <c r="D7" s="71">
        <f>+'Rate Class Customer Model'!J8/'Rate Class Customer Model'!J7</f>
        <v>1.0182202504380253</v>
      </c>
    </row>
    <row r="8" spans="1:5" x14ac:dyDescent="0.3">
      <c r="A8">
        <v>2009</v>
      </c>
      <c r="B8" s="70">
        <f>SUM('Purchased Power Model '!C75:C86)</f>
        <v>3612.7000000000003</v>
      </c>
      <c r="C8" s="70">
        <f>SUM('Purchased Power Model '!D75:D86)</f>
        <v>138.60000000000002</v>
      </c>
      <c r="D8" s="71">
        <f>+'Rate Class Customer Model'!J9/'Rate Class Customer Model'!J8</f>
        <v>1.0123688718041819</v>
      </c>
    </row>
    <row r="9" spans="1:5" x14ac:dyDescent="0.3">
      <c r="A9">
        <v>2010</v>
      </c>
      <c r="B9" s="70">
        <f>SUM('Purchased Power Model '!C87:C98)</f>
        <v>3437.7</v>
      </c>
      <c r="C9" s="70">
        <f>SUM('Purchased Power Model '!D87:D98)</f>
        <v>309.10000000000002</v>
      </c>
      <c r="D9" s="71">
        <f>+'Rate Class Customer Model'!J10/'Rate Class Customer Model'!J9</f>
        <v>1.0119448602794412</v>
      </c>
    </row>
    <row r="10" spans="1:5" x14ac:dyDescent="0.3">
      <c r="A10">
        <v>2011</v>
      </c>
      <c r="B10" s="70">
        <f>SUM('Purchased Power Model '!C99:C110)</f>
        <v>3649.0999999999995</v>
      </c>
      <c r="C10" s="70">
        <f>SUM('Purchased Power Model '!D99:D110)</f>
        <v>295.99999999999994</v>
      </c>
      <c r="D10" s="71">
        <f>+'Rate Class Customer Model'!J11/'Rate Class Customer Model'!J10</f>
        <v>1.0097158442999352</v>
      </c>
    </row>
    <row r="11" spans="1:5" x14ac:dyDescent="0.3">
      <c r="A11">
        <v>2012</v>
      </c>
      <c r="B11" s="70">
        <f>SUM('Purchased Power Model '!C111:C122)</f>
        <v>3217.3999999999996</v>
      </c>
      <c r="C11" s="70">
        <f>SUM('Purchased Power Model '!D111:D122)</f>
        <v>368.59999999999997</v>
      </c>
      <c r="D11" s="71">
        <f>+'Rate Class Customer Model'!J12/'Rate Class Customer Model'!J11</f>
        <v>1.0061427405016443</v>
      </c>
    </row>
    <row r="12" spans="1:5" x14ac:dyDescent="0.3">
      <c r="A12" s="31">
        <v>2013</v>
      </c>
      <c r="B12" s="70">
        <f>SUM('Purchased Power Model '!C123:C134)</f>
        <v>3579.1000000000004</v>
      </c>
      <c r="C12" s="70">
        <f ca="1">SUM('Purchased Power Model '!D123:D134)</f>
        <v>221.79999999999995</v>
      </c>
      <c r="D12" s="71">
        <f>+'Rate Class Customer Model'!J13/'Rate Class Customer Model'!J12</f>
        <v>1.0099655679767015</v>
      </c>
      <c r="E12" t="s">
        <v>81</v>
      </c>
    </row>
    <row r="13" spans="1:5" x14ac:dyDescent="0.3">
      <c r="A13" s="31">
        <v>2014</v>
      </c>
      <c r="B13" s="70">
        <f>SUM('Purchased Power Model '!C135:C146)</f>
        <v>3973.8999999999996</v>
      </c>
      <c r="C13" s="70">
        <f>SUM('Purchased Power Model '!D135:D146)</f>
        <v>177</v>
      </c>
      <c r="D13" s="71">
        <f>+'Rate Class Customer Model'!J14/'Rate Class Customer Model'!J13</f>
        <v>1.0130586927790459</v>
      </c>
    </row>
    <row r="14" spans="1:5" x14ac:dyDescent="0.3">
      <c r="A14" s="140">
        <v>2015</v>
      </c>
      <c r="B14" s="177">
        <f>TREND(B$2:B$13,A$2:A$13,A14)</f>
        <v>3427.7560606060615</v>
      </c>
      <c r="C14" s="177">
        <f ca="1">TREND(C$2:C$13,A$2:A$13,A14)</f>
        <v>251.31212121212138</v>
      </c>
      <c r="D14" s="424">
        <f>TREND(D$2:D$13,B$2:B$13,B14)</f>
        <v>1.0144488980396373</v>
      </c>
    </row>
    <row r="15" spans="1:5" x14ac:dyDescent="0.3">
      <c r="A15" s="140">
        <v>2016</v>
      </c>
      <c r="B15" s="177">
        <f t="shared" ref="B15:B18" si="0">TREND(B$2:B$13,A$2:A$13,A15)</f>
        <v>3419.4480186480214</v>
      </c>
      <c r="C15" s="177">
        <f t="shared" ref="C15:C18" ca="1" si="1">TREND(C$2:C$13,A$2:A$13,A15)</f>
        <v>253.79219114219086</v>
      </c>
      <c r="D15" s="424">
        <f t="shared" ref="D15:D18" si="2">TREND(D$2:D$13,B$2:B$13,B15)</f>
        <v>1.0144735809810508</v>
      </c>
    </row>
    <row r="16" spans="1:5" x14ac:dyDescent="0.3">
      <c r="A16" s="140">
        <v>2017</v>
      </c>
      <c r="B16" s="177">
        <f t="shared" si="0"/>
        <v>3411.1399766899776</v>
      </c>
      <c r="C16" s="177">
        <f t="shared" ca="1" si="1"/>
        <v>256.27226107226124</v>
      </c>
      <c r="D16" s="424">
        <f t="shared" si="2"/>
        <v>1.0144982639224644</v>
      </c>
    </row>
    <row r="17" spans="1:4" x14ac:dyDescent="0.3">
      <c r="A17" s="140">
        <v>2018</v>
      </c>
      <c r="B17" s="177">
        <f t="shared" si="0"/>
        <v>3402.8319347319375</v>
      </c>
      <c r="C17" s="177">
        <f t="shared" ca="1" si="1"/>
        <v>258.75233100233072</v>
      </c>
      <c r="D17" s="424">
        <f t="shared" si="2"/>
        <v>1.0145229468638779</v>
      </c>
    </row>
    <row r="18" spans="1:4" x14ac:dyDescent="0.3">
      <c r="A18" s="140">
        <v>2019</v>
      </c>
      <c r="B18" s="177">
        <f t="shared" si="0"/>
        <v>3394.5238927738937</v>
      </c>
      <c r="C18" s="177">
        <f t="shared" ca="1" si="1"/>
        <v>261.23240093240111</v>
      </c>
      <c r="D18" s="424">
        <f t="shared" si="2"/>
        <v>1.0145476298052916</v>
      </c>
    </row>
    <row r="19" spans="1:4" x14ac:dyDescent="0.3">
      <c r="B19" s="70"/>
      <c r="C19" s="70"/>
      <c r="D19" s="72"/>
    </row>
    <row r="20" spans="1:4" x14ac:dyDescent="0.3">
      <c r="A20" t="s">
        <v>115</v>
      </c>
      <c r="B20" s="70">
        <f>AVERAGE(B2:B18)</f>
        <v>3460.9882284382293</v>
      </c>
      <c r="C20" s="70">
        <f ca="1">AVERAGE(C2:C18)</f>
        <v>241.39184149184143</v>
      </c>
      <c r="D20" s="71">
        <f>AVERAGE(D2:D18)</f>
        <v>1.0143501662739831</v>
      </c>
    </row>
    <row r="21" spans="1:4" x14ac:dyDescent="0.3">
      <c r="A21" t="s">
        <v>197</v>
      </c>
      <c r="B21" s="70">
        <v>3394.9600000000009</v>
      </c>
      <c r="C21" s="70">
        <v>244.84</v>
      </c>
      <c r="D21" s="71" t="s">
        <v>199</v>
      </c>
    </row>
    <row r="22" spans="1:4" x14ac:dyDescent="0.3">
      <c r="A22" s="66" t="s">
        <v>263</v>
      </c>
      <c r="B22" s="70">
        <v>3668.0866666666702</v>
      </c>
      <c r="C22" s="70">
        <v>231.33999999999963</v>
      </c>
      <c r="D22" s="71" t="s">
        <v>199</v>
      </c>
    </row>
    <row r="23" spans="1:4" x14ac:dyDescent="0.3">
      <c r="A23" s="66" t="s">
        <v>264</v>
      </c>
      <c r="B23" s="70">
        <v>3563.1949999999997</v>
      </c>
      <c r="C23" s="70">
        <v>235.185</v>
      </c>
      <c r="D23" s="71" t="s">
        <v>199</v>
      </c>
    </row>
    <row r="24" spans="1:4" x14ac:dyDescent="0.3">
      <c r="A24" t="s">
        <v>198</v>
      </c>
      <c r="B24" s="70">
        <v>3349.7836842105257</v>
      </c>
      <c r="C24" s="70">
        <v>247.89631578947362</v>
      </c>
      <c r="D24" t="s">
        <v>199</v>
      </c>
    </row>
    <row r="27" spans="1:4" x14ac:dyDescent="0.3">
      <c r="B27" s="70"/>
      <c r="C27" s="70"/>
    </row>
    <row r="28" spans="1:4" x14ac:dyDescent="0.3">
      <c r="B28" s="70"/>
      <c r="C28" s="70"/>
    </row>
    <row r="29" spans="1:4" x14ac:dyDescent="0.3">
      <c r="B29" s="70"/>
      <c r="C29" s="70"/>
    </row>
    <row r="30" spans="1:4" x14ac:dyDescent="0.3">
      <c r="B30" s="70"/>
      <c r="C30" s="70"/>
    </row>
    <row r="31" spans="1:4" x14ac:dyDescent="0.3">
      <c r="B31" s="70"/>
      <c r="C31" s="70"/>
    </row>
    <row r="32" spans="1:4" x14ac:dyDescent="0.3">
      <c r="B32" s="70"/>
      <c r="C32" s="70"/>
    </row>
    <row r="33" spans="2:3" x14ac:dyDescent="0.3">
      <c r="B33" s="70"/>
      <c r="C33" s="70"/>
    </row>
    <row r="34" spans="2:3" x14ac:dyDescent="0.3">
      <c r="B34" s="70"/>
      <c r="C34" s="70"/>
    </row>
    <row r="35" spans="2:3" x14ac:dyDescent="0.3">
      <c r="B35" s="70"/>
      <c r="C35" s="70"/>
    </row>
    <row r="36" spans="2:3" x14ac:dyDescent="0.3">
      <c r="B36" s="70"/>
      <c r="C36" s="70"/>
    </row>
    <row r="37" spans="2:3" x14ac:dyDescent="0.3">
      <c r="B37" s="248"/>
      <c r="C37" s="248"/>
    </row>
    <row r="38" spans="2:3" x14ac:dyDescent="0.3">
      <c r="B38" s="248"/>
      <c r="C38" s="248"/>
    </row>
    <row r="39" spans="2:3" x14ac:dyDescent="0.3">
      <c r="B39" s="248"/>
      <c r="C39" s="248"/>
    </row>
    <row r="40" spans="2:3" x14ac:dyDescent="0.3">
      <c r="B40" s="248"/>
      <c r="C40" s="248"/>
    </row>
    <row r="41" spans="2:3" x14ac:dyDescent="0.3">
      <c r="B41" s="248"/>
      <c r="C41" s="248"/>
    </row>
    <row r="42" spans="2:3" x14ac:dyDescent="0.3">
      <c r="B42" s="248"/>
      <c r="C42" s="248"/>
    </row>
    <row r="43" spans="2:3" x14ac:dyDescent="0.3">
      <c r="B43" s="248"/>
      <c r="C43" s="248"/>
    </row>
    <row r="44" spans="2:3" x14ac:dyDescent="0.3">
      <c r="B44" s="70"/>
    </row>
    <row r="45" spans="2:3" x14ac:dyDescent="0.3">
      <c r="B45" s="7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4"/>
  <sheetViews>
    <sheetView workbookViewId="0">
      <pane xSplit="1" ySplit="2" topLeftCell="K198" activePane="bottomRight" state="frozen"/>
      <selection pane="topRight"/>
      <selection pane="bottomLeft"/>
      <selection pane="bottomRight" activeCell="P235" sqref="P235"/>
    </sheetView>
  </sheetViews>
  <sheetFormatPr defaultColWidth="9.15234375" defaultRowHeight="12.45" x14ac:dyDescent="0.3"/>
  <cols>
    <col min="1" max="1" width="11.84375" style="110" customWidth="1"/>
    <col min="2" max="2" width="18" style="110" customWidth="1"/>
    <col min="3" max="3" width="13.3828125" style="110" bestFit="1" customWidth="1"/>
    <col min="4" max="4" width="13.3828125" style="110" customWidth="1"/>
    <col min="5" max="5" width="14.3828125" style="110" customWidth="1"/>
    <col min="6" max="6" width="14" style="110" bestFit="1" customWidth="1"/>
    <col min="7" max="7" width="12.69140625" style="110" bestFit="1" customWidth="1"/>
    <col min="8" max="8" width="17.53515625" style="110" bestFit="1" customWidth="1"/>
    <col min="9" max="9" width="17" style="110" customWidth="1"/>
    <col min="10" max="10" width="13" style="110" customWidth="1"/>
    <col min="11" max="11" width="2.53515625" style="110" customWidth="1"/>
    <col min="12" max="12" width="31.53515625" style="110" bestFit="1" customWidth="1"/>
    <col min="13" max="13" width="15.53515625" style="110" bestFit="1" customWidth="1"/>
    <col min="14" max="14" width="25.15234375" style="110" bestFit="1" customWidth="1"/>
    <col min="15" max="15" width="24.15234375" style="110" bestFit="1" customWidth="1"/>
    <col min="16" max="16" width="17.15234375" style="110" bestFit="1" customWidth="1"/>
    <col min="17" max="17" width="17.84375" style="110" bestFit="1" customWidth="1"/>
    <col min="18" max="18" width="17.15234375" style="110" bestFit="1" customWidth="1"/>
    <col min="19" max="19" width="15.53515625" style="110" bestFit="1" customWidth="1"/>
    <col min="20" max="20" width="14.53515625" style="110" bestFit="1" customWidth="1"/>
    <col min="21" max="21" width="11.3046875" style="110" customWidth="1"/>
    <col min="22" max="22" width="11.53515625" style="110" customWidth="1"/>
    <col min="23" max="23" width="9.3046875" style="110" customWidth="1"/>
    <col min="24" max="24" width="9.15234375" style="110"/>
    <col min="25" max="25" width="11.69140625" style="110" bestFit="1" customWidth="1"/>
    <col min="26" max="26" width="10.69140625" style="110" bestFit="1" customWidth="1"/>
    <col min="27" max="16384" width="9.15234375" style="110"/>
  </cols>
  <sheetData>
    <row r="1" spans="1:28" x14ac:dyDescent="0.3">
      <c r="B1" s="111"/>
      <c r="C1" s="112"/>
      <c r="D1" s="112"/>
      <c r="E1" s="113"/>
      <c r="F1" s="112"/>
      <c r="G1" s="112"/>
      <c r="H1" s="112"/>
      <c r="I1" s="112"/>
      <c r="J1" s="112"/>
      <c r="T1" s="111"/>
      <c r="U1" s="111"/>
      <c r="V1" s="111"/>
      <c r="W1" s="111"/>
      <c r="X1" s="111"/>
      <c r="Y1" s="111"/>
      <c r="Z1" s="111"/>
      <c r="AA1" s="111"/>
      <c r="AB1" s="111"/>
    </row>
    <row r="2" spans="1:28" ht="37.299999999999997" x14ac:dyDescent="0.3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14" t="s">
        <v>10</v>
      </c>
      <c r="I2" s="114" t="s">
        <v>11</v>
      </c>
      <c r="L2" t="s">
        <v>18</v>
      </c>
      <c r="M2"/>
      <c r="N2"/>
      <c r="O2"/>
      <c r="P2"/>
      <c r="Q2"/>
      <c r="R2"/>
      <c r="S2"/>
      <c r="T2"/>
      <c r="U2" s="115"/>
      <c r="V2" s="115"/>
      <c r="W2" s="111"/>
      <c r="X2" s="111"/>
      <c r="Y2" s="111"/>
      <c r="Z2" s="111"/>
      <c r="AA2" s="111"/>
      <c r="AB2" s="111"/>
    </row>
    <row r="3" spans="1:28" ht="12.9" thickBot="1" x14ac:dyDescent="0.35">
      <c r="A3" s="116">
        <v>37622</v>
      </c>
      <c r="B3" s="41">
        <f>+'Purchased Power Model '!B3</f>
        <v>126011890</v>
      </c>
      <c r="C3" s="96">
        <f>+'Purchased Power Model '!C3</f>
        <v>786</v>
      </c>
      <c r="D3" s="96">
        <f>+'Purchased Power Model '!D3</f>
        <v>0</v>
      </c>
      <c r="E3" s="103">
        <f>+'Purchased Power Model '!E3</f>
        <v>5.2000000000000005E-2</v>
      </c>
      <c r="F3" s="10">
        <f>+'Purchased Power Model '!F3</f>
        <v>31</v>
      </c>
      <c r="G3" s="10">
        <f>+'Purchased Power Model '!G3</f>
        <v>0</v>
      </c>
      <c r="H3" s="117">
        <f>$M$18+C3*$M$19+D3*$M$20+E3*$M$21+F3*$M$22+G3*$M$23</f>
        <v>121608461.13549522</v>
      </c>
      <c r="I3" s="118">
        <f t="shared" ref="I3" si="0">H3-B3</f>
        <v>-4403428.8645047843</v>
      </c>
      <c r="J3" s="5">
        <f t="shared" ref="J3" si="1">I3/B3</f>
        <v>-3.4944550585700958E-2</v>
      </c>
      <c r="K3"/>
      <c r="L3"/>
      <c r="M3"/>
      <c r="N3"/>
      <c r="O3"/>
      <c r="P3"/>
      <c r="Q3"/>
      <c r="R3"/>
      <c r="S3"/>
      <c r="T3"/>
      <c r="U3" s="111"/>
      <c r="V3" s="111"/>
      <c r="W3" s="111"/>
      <c r="X3" s="111"/>
      <c r="Y3" s="111"/>
      <c r="Z3" s="111"/>
      <c r="AA3" s="111"/>
      <c r="AB3" s="111"/>
    </row>
    <row r="4" spans="1:28" ht="12.9" x14ac:dyDescent="0.35">
      <c r="A4" s="116">
        <v>37653</v>
      </c>
      <c r="B4" s="41">
        <f>+'Purchased Power Model '!B4</f>
        <v>112581000</v>
      </c>
      <c r="C4" s="96">
        <f>+'Purchased Power Model '!C4</f>
        <v>686.5</v>
      </c>
      <c r="D4" s="96">
        <f>+'Purchased Power Model '!D4</f>
        <v>0</v>
      </c>
      <c r="E4" s="103">
        <f>+'Purchased Power Model '!E4</f>
        <v>5.2000000000000005E-2</v>
      </c>
      <c r="F4" s="10">
        <f>+'Purchased Power Model '!F4</f>
        <v>28</v>
      </c>
      <c r="G4" s="10">
        <f>+'Purchased Power Model '!G4</f>
        <v>0</v>
      </c>
      <c r="H4" s="117">
        <f t="shared" ref="H4:H67" si="2">$M$18+C4*$M$19+D4*$M$20+E4*$M$21+F4*$M$22+G4*$M$23</f>
        <v>109132496.12756082</v>
      </c>
      <c r="I4" s="118">
        <f t="shared" ref="I4:I67" si="3">H4-B4</f>
        <v>-3448503.8724391758</v>
      </c>
      <c r="J4" s="5">
        <f t="shared" ref="J4:J67" si="4">I4/B4</f>
        <v>-3.0631313209504053E-2</v>
      </c>
      <c r="K4"/>
      <c r="L4" s="53" t="s">
        <v>19</v>
      </c>
      <c r="M4" s="53"/>
      <c r="N4"/>
      <c r="O4"/>
      <c r="P4"/>
      <c r="Q4"/>
      <c r="R4"/>
      <c r="S4"/>
      <c r="T4"/>
      <c r="U4" s="111"/>
      <c r="V4" s="111"/>
      <c r="W4" s="111"/>
      <c r="X4" s="111"/>
      <c r="Y4" s="111"/>
      <c r="Z4" s="111"/>
      <c r="AA4" s="111"/>
      <c r="AB4" s="111"/>
    </row>
    <row r="5" spans="1:28" x14ac:dyDescent="0.3">
      <c r="A5" s="116">
        <v>37681</v>
      </c>
      <c r="B5" s="41">
        <f>+'Purchased Power Model '!B5</f>
        <v>110536430</v>
      </c>
      <c r="C5" s="96">
        <f>+'Purchased Power Model '!C5</f>
        <v>572.5</v>
      </c>
      <c r="D5" s="96">
        <f>+'Purchased Power Model '!D5</f>
        <v>0</v>
      </c>
      <c r="E5" s="103">
        <f>+'Purchased Power Model '!E5</f>
        <v>5.2000000000000005E-2</v>
      </c>
      <c r="F5" s="10">
        <f>+'Purchased Power Model '!F5</f>
        <v>31</v>
      </c>
      <c r="G5" s="10">
        <f>+'Purchased Power Model '!G5</f>
        <v>1</v>
      </c>
      <c r="H5" s="117">
        <f t="shared" si="2"/>
        <v>105879506.48495534</v>
      </c>
      <c r="I5" s="118">
        <f t="shared" si="3"/>
        <v>-4656923.5150446594</v>
      </c>
      <c r="J5" s="5">
        <f t="shared" si="4"/>
        <v>-4.2130214582148703E-2</v>
      </c>
      <c r="K5"/>
      <c r="L5" s="35" t="s">
        <v>20</v>
      </c>
      <c r="M5" s="95">
        <v>0.93108949266954033</v>
      </c>
      <c r="N5"/>
      <c r="O5"/>
      <c r="P5"/>
      <c r="Q5"/>
      <c r="R5"/>
      <c r="S5"/>
      <c r="T5"/>
      <c r="U5" s="111"/>
      <c r="V5" s="111"/>
      <c r="W5" s="111"/>
      <c r="X5" s="111"/>
      <c r="Y5" s="111"/>
      <c r="Z5" s="111"/>
      <c r="AA5" s="111"/>
      <c r="AB5" s="111"/>
    </row>
    <row r="6" spans="1:28" x14ac:dyDescent="0.3">
      <c r="A6" s="116">
        <v>37712</v>
      </c>
      <c r="B6" s="41">
        <f>+'Purchased Power Model '!B6</f>
        <v>97712940</v>
      </c>
      <c r="C6" s="96">
        <f>+'Purchased Power Model '!C6</f>
        <v>403.9</v>
      </c>
      <c r="D6" s="96">
        <f>+'Purchased Power Model '!D6</f>
        <v>0</v>
      </c>
      <c r="E6" s="103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17">
        <f t="shared" si="2"/>
        <v>95727068.133391276</v>
      </c>
      <c r="I6" s="118">
        <f t="shared" si="3"/>
        <v>-1985871.866608724</v>
      </c>
      <c r="J6" s="5">
        <f t="shared" si="4"/>
        <v>-2.0323529991101732E-2</v>
      </c>
      <c r="K6"/>
      <c r="L6" s="35" t="s">
        <v>21</v>
      </c>
      <c r="M6" s="95">
        <v>0.86692764335962202</v>
      </c>
      <c r="N6"/>
      <c r="O6"/>
      <c r="P6"/>
      <c r="Q6"/>
      <c r="R6"/>
      <c r="S6"/>
      <c r="T6"/>
      <c r="U6" s="111"/>
      <c r="V6" s="111"/>
      <c r="W6" s="111"/>
      <c r="X6" s="111"/>
      <c r="Y6" s="111"/>
      <c r="Z6" s="111"/>
      <c r="AA6" s="111"/>
      <c r="AB6" s="111"/>
    </row>
    <row r="7" spans="1:28" x14ac:dyDescent="0.3">
      <c r="A7" s="116">
        <v>37742</v>
      </c>
      <c r="B7" s="41">
        <f>+'Purchased Power Model '!B7</f>
        <v>90261150</v>
      </c>
      <c r="C7" s="96">
        <f>+'Purchased Power Model '!C7</f>
        <v>192</v>
      </c>
      <c r="D7" s="96">
        <f>+'Purchased Power Model '!D7</f>
        <v>0</v>
      </c>
      <c r="E7" s="103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17">
        <f t="shared" si="2"/>
        <v>89920096.43658556</v>
      </c>
      <c r="I7" s="118">
        <f t="shared" si="3"/>
        <v>-341053.56341443956</v>
      </c>
      <c r="J7" s="5">
        <f t="shared" si="4"/>
        <v>-3.7785200323111278E-3</v>
      </c>
      <c r="K7"/>
      <c r="L7" s="35" t="s">
        <v>22</v>
      </c>
      <c r="M7" s="95">
        <v>0.86210618116250692</v>
      </c>
      <c r="N7"/>
      <c r="O7"/>
      <c r="P7"/>
      <c r="Q7"/>
      <c r="R7"/>
      <c r="S7"/>
      <c r="T7"/>
      <c r="U7" s="111"/>
      <c r="V7" s="111"/>
      <c r="W7" s="111"/>
      <c r="X7" s="111"/>
      <c r="Y7" s="111"/>
      <c r="Z7" s="111"/>
      <c r="AA7" s="111"/>
      <c r="AB7" s="111"/>
    </row>
    <row r="8" spans="1:28" x14ac:dyDescent="0.3">
      <c r="A8" s="116">
        <v>37773</v>
      </c>
      <c r="B8" s="41">
        <f>+'Purchased Power Model '!B8</f>
        <v>92476040</v>
      </c>
      <c r="C8" s="96">
        <f>+'Purchased Power Model '!C8</f>
        <v>55.1</v>
      </c>
      <c r="D8" s="96">
        <f>+'Purchased Power Model '!D8</f>
        <v>31</v>
      </c>
      <c r="E8" s="103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17">
        <f t="shared" si="2"/>
        <v>93060780.436009645</v>
      </c>
      <c r="I8" s="118">
        <f t="shared" si="3"/>
        <v>584740.43600964546</v>
      </c>
      <c r="J8" s="5">
        <f t="shared" si="4"/>
        <v>6.323156095456136E-3</v>
      </c>
      <c r="K8"/>
      <c r="L8" s="35" t="s">
        <v>23</v>
      </c>
      <c r="M8" s="67">
        <v>3874064.0358141405</v>
      </c>
      <c r="N8"/>
      <c r="O8"/>
      <c r="P8"/>
      <c r="Q8"/>
      <c r="R8"/>
      <c r="S8"/>
      <c r="T8"/>
      <c r="U8" s="111"/>
      <c r="V8" s="111"/>
      <c r="W8" s="111"/>
      <c r="X8" s="111"/>
      <c r="Y8" s="111"/>
      <c r="Z8" s="111"/>
      <c r="AA8" s="111"/>
      <c r="AB8" s="111"/>
    </row>
    <row r="9" spans="1:28" ht="12.9" thickBot="1" x14ac:dyDescent="0.35">
      <c r="A9" s="116">
        <v>37803</v>
      </c>
      <c r="B9" s="41">
        <f>+'Purchased Power Model '!B9</f>
        <v>100371630</v>
      </c>
      <c r="C9" s="96">
        <f>+'Purchased Power Model '!C9</f>
        <v>5.7</v>
      </c>
      <c r="D9" s="96">
        <f>+'Purchased Power Model '!D9</f>
        <v>59.1</v>
      </c>
      <c r="E9" s="103">
        <f>+'Purchased Power Model '!E9</f>
        <v>5.0999999999999997E-2</v>
      </c>
      <c r="F9" s="10">
        <f>+'Purchased Power Model '!F9</f>
        <v>31</v>
      </c>
      <c r="G9" s="10">
        <f>+'Purchased Power Model '!G9</f>
        <v>0</v>
      </c>
      <c r="H9" s="117">
        <f t="shared" si="2"/>
        <v>98522297.294301718</v>
      </c>
      <c r="I9" s="118">
        <f t="shared" si="3"/>
        <v>-1849332.7056982815</v>
      </c>
      <c r="J9" s="5">
        <f t="shared" si="4"/>
        <v>-1.8424854769204021E-2</v>
      </c>
      <c r="K9"/>
      <c r="L9" s="51" t="s">
        <v>24</v>
      </c>
      <c r="M9" s="68">
        <v>144</v>
      </c>
      <c r="N9"/>
      <c r="O9"/>
      <c r="P9"/>
      <c r="Q9"/>
      <c r="R9"/>
      <c r="S9"/>
      <c r="T9"/>
      <c r="U9" s="111"/>
      <c r="V9" s="111"/>
      <c r="W9" s="111"/>
      <c r="X9" s="111"/>
      <c r="Y9" s="111"/>
      <c r="Z9" s="111"/>
      <c r="AA9" s="111"/>
      <c r="AB9" s="111"/>
    </row>
    <row r="10" spans="1:28" x14ac:dyDescent="0.3">
      <c r="A10" s="116">
        <v>37834</v>
      </c>
      <c r="B10" s="41">
        <f>+'Purchased Power Model '!B10</f>
        <v>101507680</v>
      </c>
      <c r="C10" s="96">
        <f>+'Purchased Power Model '!C10</f>
        <v>10.4</v>
      </c>
      <c r="D10" s="96">
        <f>+'Purchased Power Model '!D10</f>
        <v>106.5</v>
      </c>
      <c r="E10" s="103">
        <f>+'Purchased Power Model '!E10</f>
        <v>5.0999999999999997E-2</v>
      </c>
      <c r="F10" s="10">
        <f>+'Purchased Power Model '!F10</f>
        <v>31</v>
      </c>
      <c r="G10" s="10">
        <f>+'Purchased Power Model '!G10</f>
        <v>0</v>
      </c>
      <c r="H10" s="117">
        <f t="shared" si="2"/>
        <v>105549214.85777354</v>
      </c>
      <c r="I10" s="118">
        <f t="shared" si="3"/>
        <v>4041534.8577735424</v>
      </c>
      <c r="J10" s="5">
        <f t="shared" si="4"/>
        <v>3.9815064808628689E-2</v>
      </c>
      <c r="K10"/>
      <c r="L10"/>
      <c r="M10"/>
      <c r="N10"/>
      <c r="O10"/>
      <c r="P10"/>
      <c r="Q10"/>
      <c r="R10"/>
      <c r="S10"/>
      <c r="T10"/>
      <c r="U10" s="111"/>
      <c r="V10" s="111"/>
      <c r="W10" s="111"/>
      <c r="X10" s="111"/>
      <c r="Y10" s="111"/>
      <c r="Z10" s="111"/>
      <c r="AA10" s="111"/>
      <c r="AB10" s="111"/>
    </row>
    <row r="11" spans="1:28" ht="12.9" thickBot="1" x14ac:dyDescent="0.35">
      <c r="A11" s="116">
        <v>37865</v>
      </c>
      <c r="B11" s="41">
        <f>+'Purchased Power Model '!B11</f>
        <v>91341000</v>
      </c>
      <c r="C11" s="96">
        <f>+'Purchased Power Model '!C11</f>
        <v>55.2</v>
      </c>
      <c r="D11" s="96">
        <f>+'Purchased Power Model '!D11</f>
        <v>12.1</v>
      </c>
      <c r="E11" s="103">
        <f>+'Purchased Power Model '!E11</f>
        <v>5.0999999999999997E-2</v>
      </c>
      <c r="F11" s="10">
        <f>+'Purchased Power Model '!F11</f>
        <v>30</v>
      </c>
      <c r="G11" s="10">
        <f>+'Purchased Power Model '!G11</f>
        <v>1</v>
      </c>
      <c r="H11" s="117">
        <f t="shared" si="2"/>
        <v>83900187.669904038</v>
      </c>
      <c r="I11" s="118">
        <f t="shared" si="3"/>
        <v>-7440812.3300959617</v>
      </c>
      <c r="J11" s="5">
        <f t="shared" si="4"/>
        <v>-8.1461910096188583E-2</v>
      </c>
      <c r="K11"/>
      <c r="L11" t="s">
        <v>25</v>
      </c>
      <c r="M11"/>
      <c r="N11"/>
      <c r="O11"/>
      <c r="P11"/>
      <c r="Q11"/>
      <c r="R11"/>
      <c r="S11"/>
      <c r="T11"/>
      <c r="U11" s="111"/>
      <c r="V11" s="111"/>
      <c r="W11" s="111"/>
      <c r="X11" s="111"/>
      <c r="Y11" s="111"/>
      <c r="Z11" s="111"/>
      <c r="AA11" s="111"/>
      <c r="AB11" s="111"/>
    </row>
    <row r="12" spans="1:28" ht="12.9" x14ac:dyDescent="0.35">
      <c r="A12" s="116">
        <v>37895</v>
      </c>
      <c r="B12" s="41">
        <f>+'Purchased Power Model '!B12</f>
        <v>95672250</v>
      </c>
      <c r="C12" s="96">
        <f>+'Purchased Power Model '!C12</f>
        <v>289.7</v>
      </c>
      <c r="D12" s="96">
        <f>+'Purchased Power Model '!D12</f>
        <v>0</v>
      </c>
      <c r="E12" s="103">
        <f>+'Purchased Power Model '!E12</f>
        <v>4.8000000000000001E-2</v>
      </c>
      <c r="F12" s="10">
        <f>+'Purchased Power Model '!F12</f>
        <v>31</v>
      </c>
      <c r="G12" s="10">
        <f>+'Purchased Power Model '!G12</f>
        <v>1</v>
      </c>
      <c r="H12" s="117">
        <f t="shared" si="2"/>
        <v>94865847.206289545</v>
      </c>
      <c r="I12" s="118">
        <f t="shared" si="3"/>
        <v>-806402.7937104553</v>
      </c>
      <c r="J12" s="5">
        <f t="shared" si="4"/>
        <v>-8.4288055701674768E-3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11"/>
      <c r="V12" s="111"/>
      <c r="W12" s="111"/>
      <c r="X12" s="111"/>
      <c r="Y12" s="111"/>
      <c r="Z12" s="111"/>
      <c r="AA12" s="111"/>
      <c r="AB12" s="111"/>
    </row>
    <row r="13" spans="1:28" x14ac:dyDescent="0.3">
      <c r="A13" s="116">
        <v>37926</v>
      </c>
      <c r="B13" s="41">
        <f>+'Purchased Power Model '!B13</f>
        <v>101404920</v>
      </c>
      <c r="C13" s="96">
        <f>+'Purchased Power Model '!C13</f>
        <v>387.6</v>
      </c>
      <c r="D13" s="96">
        <f>+'Purchased Power Model '!D13</f>
        <v>0</v>
      </c>
      <c r="E13" s="103">
        <f>+'Purchased Power Model '!E13</f>
        <v>4.8000000000000001E-2</v>
      </c>
      <c r="F13" s="10">
        <f>+'Purchased Power Model '!F13</f>
        <v>30</v>
      </c>
      <c r="G13" s="10">
        <f>+'Purchased Power Model '!G13</f>
        <v>1</v>
      </c>
      <c r="H13" s="117">
        <f t="shared" si="2"/>
        <v>96037013.229520619</v>
      </c>
      <c r="I13" s="118">
        <f t="shared" si="3"/>
        <v>-5367906.7704793811</v>
      </c>
      <c r="J13" s="5">
        <f t="shared" si="4"/>
        <v>-5.2935368130849876E-2</v>
      </c>
      <c r="K13"/>
      <c r="L13" s="35" t="s">
        <v>26</v>
      </c>
      <c r="M13" s="67">
        <v>5</v>
      </c>
      <c r="N13" s="67">
        <v>1.3492973884104858E+16</v>
      </c>
      <c r="O13" s="67">
        <v>2698594776820971.5</v>
      </c>
      <c r="P13" s="67">
        <v>179.80596091333791</v>
      </c>
      <c r="Q13" s="67">
        <v>1.3085487673335761E-58</v>
      </c>
      <c r="R13"/>
      <c r="S13"/>
      <c r="T13"/>
      <c r="U13" s="111"/>
      <c r="V13" s="111"/>
      <c r="W13" s="111"/>
      <c r="X13" s="111"/>
      <c r="Y13" s="111"/>
      <c r="Z13" s="111"/>
      <c r="AA13" s="111"/>
      <c r="AB13" s="111"/>
    </row>
    <row r="14" spans="1:28" x14ac:dyDescent="0.3">
      <c r="A14" s="116">
        <v>37956</v>
      </c>
      <c r="B14" s="41">
        <f>+'Purchased Power Model '!B14</f>
        <v>112847240</v>
      </c>
      <c r="C14" s="96">
        <f>+'Purchased Power Model '!C14</f>
        <v>548.20000000000005</v>
      </c>
      <c r="D14" s="96">
        <f>+'Purchased Power Model '!D14</f>
        <v>0</v>
      </c>
      <c r="E14" s="103">
        <f>+'Purchased Power Model '!E14</f>
        <v>4.8000000000000001E-2</v>
      </c>
      <c r="F14" s="10">
        <f>+'Purchased Power Model '!F14</f>
        <v>31</v>
      </c>
      <c r="G14" s="10">
        <f>+'Purchased Power Model '!G14</f>
        <v>0</v>
      </c>
      <c r="H14" s="117">
        <f t="shared" si="2"/>
        <v>112424725.14902994</v>
      </c>
      <c r="I14" s="118">
        <f t="shared" si="3"/>
        <v>-422514.85097005963</v>
      </c>
      <c r="J14" s="5">
        <f t="shared" si="4"/>
        <v>-3.7441310125977353E-3</v>
      </c>
      <c r="K14"/>
      <c r="L14" s="35" t="s">
        <v>27</v>
      </c>
      <c r="M14" s="67">
        <v>138</v>
      </c>
      <c r="N14" s="67">
        <v>2071155357195219.5</v>
      </c>
      <c r="O14" s="67">
        <v>15008372153588.547</v>
      </c>
      <c r="P14" s="67"/>
      <c r="Q14" s="67"/>
      <c r="R14"/>
      <c r="S14"/>
      <c r="T14"/>
      <c r="U14" s="111"/>
      <c r="V14" s="111"/>
      <c r="W14" s="111"/>
      <c r="X14" s="111"/>
      <c r="Y14" s="111"/>
      <c r="Z14" s="111"/>
      <c r="AA14" s="111"/>
      <c r="AB14" s="111"/>
    </row>
    <row r="15" spans="1:28" ht="12.9" thickBot="1" x14ac:dyDescent="0.35">
      <c r="A15" s="116">
        <v>37987</v>
      </c>
      <c r="B15" s="41">
        <f>+'Purchased Power Model '!B15</f>
        <v>127196340</v>
      </c>
      <c r="C15" s="96">
        <f>+'Purchased Power Model '!C15</f>
        <v>828.8</v>
      </c>
      <c r="D15" s="96">
        <f>+'Purchased Power Model '!D15</f>
        <v>0</v>
      </c>
      <c r="E15" s="103">
        <f>+'Purchased Power Model '!E15</f>
        <v>5.0999999999999997E-2</v>
      </c>
      <c r="F15" s="10">
        <f>+'Purchased Power Model '!F15</f>
        <v>31</v>
      </c>
      <c r="G15" s="10">
        <f>+'Purchased Power Model '!G15</f>
        <v>0</v>
      </c>
      <c r="H15" s="117">
        <f t="shared" si="2"/>
        <v>123470519.50837895</v>
      </c>
      <c r="I15" s="118">
        <f t="shared" si="3"/>
        <v>-3725820.4916210473</v>
      </c>
      <c r="J15" s="5">
        <f t="shared" si="4"/>
        <v>-2.9291884433318184E-2</v>
      </c>
      <c r="K15"/>
      <c r="L15" s="51" t="s">
        <v>9</v>
      </c>
      <c r="M15" s="68">
        <v>143</v>
      </c>
      <c r="N15" s="68">
        <v>1.5564129241300078E+16</v>
      </c>
      <c r="O15" s="68"/>
      <c r="P15" s="68"/>
      <c r="Q15" s="68"/>
      <c r="R15"/>
      <c r="S15"/>
      <c r="T15"/>
      <c r="U15" s="111"/>
      <c r="V15" s="111"/>
      <c r="W15" s="111"/>
      <c r="X15" s="111"/>
      <c r="Y15" s="111"/>
      <c r="Z15" s="111"/>
      <c r="AA15" s="111"/>
      <c r="AB15" s="111"/>
    </row>
    <row r="16" spans="1:28" ht="12.9" thickBot="1" x14ac:dyDescent="0.35">
      <c r="A16" s="116">
        <v>38018</v>
      </c>
      <c r="B16" s="41">
        <f>+'Purchased Power Model '!B16</f>
        <v>108928270</v>
      </c>
      <c r="C16" s="96">
        <f>+'Purchased Power Model '!C16</f>
        <v>615.6</v>
      </c>
      <c r="D16" s="96">
        <f>+'Purchased Power Model '!D16</f>
        <v>0</v>
      </c>
      <c r="E16" s="103">
        <f>+'Purchased Power Model '!E16</f>
        <v>5.0999999999999997E-2</v>
      </c>
      <c r="F16" s="10">
        <f>+'Purchased Power Model '!F16</f>
        <v>29</v>
      </c>
      <c r="G16" s="10">
        <f>+'Purchased Power Model '!G16</f>
        <v>0</v>
      </c>
      <c r="H16" s="117">
        <f t="shared" si="2"/>
        <v>109180882.07684086</v>
      </c>
      <c r="I16" s="118">
        <f t="shared" si="3"/>
        <v>252612.07684086263</v>
      </c>
      <c r="J16" s="5">
        <f t="shared" si="4"/>
        <v>2.3190681063865481E-3</v>
      </c>
      <c r="K16"/>
      <c r="L16"/>
      <c r="M16"/>
      <c r="N16"/>
      <c r="O16"/>
      <c r="P16"/>
      <c r="Q16"/>
      <c r="R16"/>
      <c r="S16"/>
      <c r="T16"/>
      <c r="U16" s="111"/>
      <c r="V16" s="111"/>
      <c r="W16" s="111"/>
      <c r="X16" s="111"/>
      <c r="Y16" s="111"/>
      <c r="Z16" s="111"/>
      <c r="AA16" s="111"/>
      <c r="AB16" s="111"/>
    </row>
    <row r="17" spans="1:28" ht="12.9" x14ac:dyDescent="0.35">
      <c r="A17" s="116">
        <v>38047</v>
      </c>
      <c r="B17" s="41">
        <f>+'Purchased Power Model '!B17</f>
        <v>105064150</v>
      </c>
      <c r="C17" s="96">
        <f>+'Purchased Power Model '!C17</f>
        <v>487.1</v>
      </c>
      <c r="D17" s="96">
        <f>+'Purchased Power Model '!D17</f>
        <v>0</v>
      </c>
      <c r="E17" s="103">
        <f>+'Purchased Power Model '!E17</f>
        <v>5.0999999999999997E-2</v>
      </c>
      <c r="F17" s="10">
        <f>+'Purchased Power Model '!F17</f>
        <v>31</v>
      </c>
      <c r="G17" s="10">
        <f>+'Purchased Power Model '!G17</f>
        <v>1</v>
      </c>
      <c r="H17" s="117">
        <f t="shared" si="2"/>
        <v>102528316.72317006</v>
      </c>
      <c r="I17" s="118">
        <f t="shared" si="3"/>
        <v>-2535833.2768299431</v>
      </c>
      <c r="J17" s="5">
        <f t="shared" si="4"/>
        <v>-2.4136047137200873E-2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11"/>
      <c r="V17" s="111"/>
      <c r="W17" s="111"/>
      <c r="X17" s="111"/>
      <c r="Y17" s="111"/>
      <c r="Z17" s="111"/>
      <c r="AA17" s="111"/>
      <c r="AB17" s="111"/>
    </row>
    <row r="18" spans="1:28" x14ac:dyDescent="0.3">
      <c r="A18" s="116">
        <v>38078</v>
      </c>
      <c r="B18" s="41">
        <f>+'Purchased Power Model '!B18</f>
        <v>91322380</v>
      </c>
      <c r="C18" s="96">
        <f>+'Purchased Power Model '!C18</f>
        <v>345</v>
      </c>
      <c r="D18" s="96">
        <f>+'Purchased Power Model '!D18</f>
        <v>0</v>
      </c>
      <c r="E18" s="103">
        <f>+'Purchased Power Model '!E18</f>
        <v>5.2999999999999999E-2</v>
      </c>
      <c r="F18" s="10">
        <f>+'Purchased Power Model '!F18</f>
        <v>30</v>
      </c>
      <c r="G18" s="10">
        <f>+'Purchased Power Model '!G18</f>
        <v>1</v>
      </c>
      <c r="H18" s="117">
        <f t="shared" si="2"/>
        <v>93696695.860283449</v>
      </c>
      <c r="I18" s="118">
        <f t="shared" si="3"/>
        <v>2374315.8602834493</v>
      </c>
      <c r="J18" s="5">
        <f t="shared" si="4"/>
        <v>2.5999277069689262E-2</v>
      </c>
      <c r="K18"/>
      <c r="L18" s="35" t="s">
        <v>28</v>
      </c>
      <c r="M18" s="67">
        <v>8860950.216936864</v>
      </c>
      <c r="N18" s="67">
        <v>12653679.844812186</v>
      </c>
      <c r="O18" s="67">
        <v>0.70026666753147837</v>
      </c>
      <c r="P18" s="67">
        <v>0.48493968415084332</v>
      </c>
      <c r="Q18" s="67">
        <v>-16159215.759894215</v>
      </c>
      <c r="R18" s="67">
        <v>33881116.193767942</v>
      </c>
      <c r="S18" s="67">
        <v>-16159215.759894215</v>
      </c>
      <c r="T18" s="67">
        <v>33881116.193767942</v>
      </c>
      <c r="U18" s="111"/>
      <c r="V18" s="111"/>
      <c r="W18" s="111"/>
      <c r="X18" s="111"/>
      <c r="Y18" s="111"/>
      <c r="Z18" s="111"/>
      <c r="AA18" s="111"/>
      <c r="AB18" s="111"/>
    </row>
    <row r="19" spans="1:28" x14ac:dyDescent="0.3">
      <c r="A19" s="116">
        <v>38108</v>
      </c>
      <c r="B19" s="41">
        <f>+'Purchased Power Model '!B19</f>
        <v>86885250</v>
      </c>
      <c r="C19" s="96">
        <f>+'Purchased Power Model '!C19</f>
        <v>177.5</v>
      </c>
      <c r="D19" s="96">
        <f>+'Purchased Power Model '!D19</f>
        <v>0</v>
      </c>
      <c r="E19" s="103">
        <f>+'Purchased Power Model '!E19</f>
        <v>5.2999999999999999E-2</v>
      </c>
      <c r="F19" s="10">
        <f>+'Purchased Power Model '!F19</f>
        <v>31</v>
      </c>
      <c r="G19" s="10">
        <f>+'Purchased Power Model '!G19</f>
        <v>1</v>
      </c>
      <c r="H19" s="117">
        <f t="shared" si="2"/>
        <v>89695248.478448913</v>
      </c>
      <c r="I19" s="118">
        <f t="shared" si="3"/>
        <v>2809998.4784489125</v>
      </c>
      <c r="J19" s="5">
        <f t="shared" si="4"/>
        <v>3.2341490396228502E-2</v>
      </c>
      <c r="K19"/>
      <c r="L19" s="35" t="s">
        <v>3</v>
      </c>
      <c r="M19" s="67">
        <v>40664.962048900314</v>
      </c>
      <c r="N19" s="67">
        <v>1974.5590070506544</v>
      </c>
      <c r="O19" s="67">
        <v>20.594452687256215</v>
      </c>
      <c r="P19" s="67">
        <v>6.3711837372287355E-44</v>
      </c>
      <c r="Q19" s="67">
        <v>36760.659530316443</v>
      </c>
      <c r="R19" s="67">
        <v>44569.264567484184</v>
      </c>
      <c r="S19" s="67">
        <v>36760.659530316443</v>
      </c>
      <c r="T19" s="67">
        <v>44569.264567484184</v>
      </c>
      <c r="U19" s="111"/>
      <c r="V19" s="111"/>
      <c r="W19" s="111"/>
      <c r="X19" s="111"/>
      <c r="Y19" s="111"/>
      <c r="Z19" s="111"/>
      <c r="AA19" s="111"/>
      <c r="AB19" s="111"/>
    </row>
    <row r="20" spans="1:28" x14ac:dyDescent="0.3">
      <c r="A20" s="116">
        <v>38139</v>
      </c>
      <c r="B20" s="41">
        <f>+'Purchased Power Model '!B20</f>
        <v>86876500</v>
      </c>
      <c r="C20" s="96">
        <f>+'Purchased Power Model '!C20</f>
        <v>73.2</v>
      </c>
      <c r="D20" s="96">
        <f>+'Purchased Power Model '!D20</f>
        <v>15.6</v>
      </c>
      <c r="E20" s="103">
        <f>+'Purchased Power Model '!E20</f>
        <v>5.2999999999999999E-2</v>
      </c>
      <c r="F20" s="10">
        <f>+'Purchased Power Model '!F20</f>
        <v>30</v>
      </c>
      <c r="G20" s="10">
        <f>+'Purchased Power Model '!G20</f>
        <v>0</v>
      </c>
      <c r="H20" s="117">
        <f t="shared" si="2"/>
        <v>91940698.837199494</v>
      </c>
      <c r="I20" s="118">
        <f t="shared" si="3"/>
        <v>5064198.8371994942</v>
      </c>
      <c r="J20" s="5">
        <f t="shared" si="4"/>
        <v>5.8291929776170703E-2</v>
      </c>
      <c r="K20"/>
      <c r="L20" s="35" t="s">
        <v>4</v>
      </c>
      <c r="M20" s="67">
        <v>144215.02619919807</v>
      </c>
      <c r="N20" s="67">
        <v>15275.223181131068</v>
      </c>
      <c r="O20" s="67">
        <v>9.4411076348358485</v>
      </c>
      <c r="P20" s="67">
        <v>1.2524911828936526E-16</v>
      </c>
      <c r="Q20" s="67">
        <v>114011.27329788466</v>
      </c>
      <c r="R20" s="67">
        <v>174418.77910051146</v>
      </c>
      <c r="S20" s="67">
        <v>114011.27329788466</v>
      </c>
      <c r="T20" s="67">
        <v>174418.77910051146</v>
      </c>
      <c r="U20" s="111"/>
      <c r="V20" s="111"/>
      <c r="W20" s="111"/>
      <c r="X20" s="111"/>
      <c r="Y20" s="111"/>
      <c r="Z20" s="111"/>
      <c r="AA20" s="111"/>
      <c r="AB20" s="111"/>
    </row>
    <row r="21" spans="1:28" x14ac:dyDescent="0.3">
      <c r="A21" s="116">
        <v>38169</v>
      </c>
      <c r="B21" s="41">
        <f>+'Purchased Power Model '!B21</f>
        <v>92903530</v>
      </c>
      <c r="C21" s="96">
        <f>+'Purchased Power Model '!C21</f>
        <v>2</v>
      </c>
      <c r="D21" s="96">
        <f>+'Purchased Power Model '!D21</f>
        <v>69.3</v>
      </c>
      <c r="E21" s="103">
        <f>+'Purchased Power Model '!E21</f>
        <v>5.2999999999999999E-2</v>
      </c>
      <c r="F21" s="10">
        <f>+'Purchased Power Model '!F21</f>
        <v>31</v>
      </c>
      <c r="G21" s="10">
        <f>+'Purchased Power Model '!G21</f>
        <v>0</v>
      </c>
      <c r="H21" s="117">
        <f t="shared" si="2"/>
        <v>99599634.207571</v>
      </c>
      <c r="I21" s="118">
        <f t="shared" si="3"/>
        <v>6696104.2075709999</v>
      </c>
      <c r="J21" s="5">
        <f t="shared" si="4"/>
        <v>7.2075885680242716E-2</v>
      </c>
      <c r="K21"/>
      <c r="L21" s="35" t="s">
        <v>218</v>
      </c>
      <c r="M21" s="67">
        <v>-121597997.19080326</v>
      </c>
      <c r="N21" s="67">
        <v>21684816.545596559</v>
      </c>
      <c r="O21" s="67">
        <v>-5.6075179116742691</v>
      </c>
      <c r="P21" s="67">
        <v>1.0791074287329415E-7</v>
      </c>
      <c r="Q21" s="67">
        <v>-164475461.75463122</v>
      </c>
      <c r="R21" s="67">
        <v>-78720532.626975298</v>
      </c>
      <c r="S21" s="67">
        <v>-164475461.75463122</v>
      </c>
      <c r="T21" s="67">
        <v>-78720532.626975298</v>
      </c>
      <c r="U21" s="111"/>
      <c r="V21" s="111"/>
      <c r="W21" s="111"/>
      <c r="X21" s="111"/>
      <c r="Y21" s="111"/>
      <c r="Z21" s="111"/>
      <c r="AA21" s="111"/>
      <c r="AB21" s="111"/>
    </row>
    <row r="22" spans="1:28" x14ac:dyDescent="0.3">
      <c r="A22" s="116">
        <v>38200</v>
      </c>
      <c r="B22" s="41">
        <f>+'Purchased Power Model '!B22</f>
        <v>94121760</v>
      </c>
      <c r="C22" s="96">
        <f>+'Purchased Power Model '!C22</f>
        <v>19.600000000000001</v>
      </c>
      <c r="D22" s="96">
        <f>+'Purchased Power Model '!D22</f>
        <v>53.6</v>
      </c>
      <c r="E22" s="103">
        <f>+'Purchased Power Model '!E22</f>
        <v>5.2999999999999999E-2</v>
      </c>
      <c r="F22" s="10">
        <f>+'Purchased Power Model '!F22</f>
        <v>31</v>
      </c>
      <c r="G22" s="10">
        <f>+'Purchased Power Model '!G22</f>
        <v>0</v>
      </c>
      <c r="H22" s="117">
        <f t="shared" si="2"/>
        <v>98051161.628304228</v>
      </c>
      <c r="I22" s="118">
        <f t="shared" si="3"/>
        <v>3929401.6283042282</v>
      </c>
      <c r="J22" s="5">
        <f t="shared" si="4"/>
        <v>4.1748067910164749E-2</v>
      </c>
      <c r="K22"/>
      <c r="L22" s="35" t="s">
        <v>5</v>
      </c>
      <c r="M22" s="67">
        <v>2809933.7613562737</v>
      </c>
      <c r="N22" s="67">
        <v>413889.83860015869</v>
      </c>
      <c r="O22" s="67">
        <v>6.7890861270233573</v>
      </c>
      <c r="P22" s="67">
        <v>3.0716683705617651E-10</v>
      </c>
      <c r="Q22" s="67">
        <v>1991547.9174829256</v>
      </c>
      <c r="R22" s="67">
        <v>3628319.6052296218</v>
      </c>
      <c r="S22" s="67">
        <v>1991547.9174829256</v>
      </c>
      <c r="T22" s="67">
        <v>3628319.6052296218</v>
      </c>
      <c r="U22" s="111"/>
      <c r="V22" s="111"/>
      <c r="W22" s="111"/>
      <c r="X22" s="111"/>
      <c r="Y22" s="111"/>
      <c r="Z22" s="111"/>
      <c r="AA22" s="111"/>
      <c r="AB22" s="111"/>
    </row>
    <row r="23" spans="1:28" ht="12.9" thickBot="1" x14ac:dyDescent="0.35">
      <c r="A23" s="116">
        <v>38231</v>
      </c>
      <c r="B23" s="41">
        <f>+'Purchased Power Model '!B23</f>
        <v>88536700</v>
      </c>
      <c r="C23" s="96">
        <f>+'Purchased Power Model '!C23</f>
        <v>41.7</v>
      </c>
      <c r="D23" s="96">
        <f>+'Purchased Power Model '!D23</f>
        <v>26.7</v>
      </c>
      <c r="E23" s="103">
        <f>+'Purchased Power Model '!E23</f>
        <v>5.2999999999999999E-2</v>
      </c>
      <c r="F23" s="10">
        <f>+'Purchased Power Model '!F23</f>
        <v>30</v>
      </c>
      <c r="G23" s="10">
        <f>+'Purchased Power Model '!G23</f>
        <v>1</v>
      </c>
      <c r="H23" s="117">
        <f t="shared" si="2"/>
        <v>85213554.07037057</v>
      </c>
      <c r="I23" s="118">
        <f t="shared" si="3"/>
        <v>-3323145.9296294302</v>
      </c>
      <c r="J23" s="5">
        <f t="shared" si="4"/>
        <v>-3.7534106530166929E-2</v>
      </c>
      <c r="K23"/>
      <c r="L23" s="51" t="s">
        <v>17</v>
      </c>
      <c r="M23" s="68">
        <v>-7046985.2530996641</v>
      </c>
      <c r="N23" s="68">
        <v>834637.93948855624</v>
      </c>
      <c r="O23" s="68">
        <v>-8.4431642987830955</v>
      </c>
      <c r="P23" s="68">
        <v>3.7993072229728816E-14</v>
      </c>
      <c r="Q23" s="68">
        <v>-8697317.8071610499</v>
      </c>
      <c r="R23" s="68">
        <v>-5396652.6990382783</v>
      </c>
      <c r="S23" s="68">
        <v>-8697317.8071610499</v>
      </c>
      <c r="T23" s="68">
        <v>-5396652.6990382783</v>
      </c>
      <c r="U23" s="111"/>
      <c r="V23" s="111"/>
      <c r="W23" s="111"/>
      <c r="X23" s="111"/>
      <c r="Y23" s="111"/>
      <c r="Z23" s="111"/>
      <c r="AA23" s="111"/>
      <c r="AB23" s="111"/>
    </row>
    <row r="24" spans="1:28" x14ac:dyDescent="0.3">
      <c r="A24" s="116">
        <v>38261</v>
      </c>
      <c r="B24" s="41">
        <f>+'Purchased Power Model '!B24</f>
        <v>88377710</v>
      </c>
      <c r="C24" s="96">
        <f>+'Purchased Power Model '!C24</f>
        <v>235</v>
      </c>
      <c r="D24" s="96">
        <f>+'Purchased Power Model '!D24</f>
        <v>0</v>
      </c>
      <c r="E24" s="103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17">
        <f t="shared" si="2"/>
        <v>91425493.810306668</v>
      </c>
      <c r="I24" s="118">
        <f t="shared" si="3"/>
        <v>3047783.8103066683</v>
      </c>
      <c r="J24" s="5">
        <f t="shared" si="4"/>
        <v>3.4485888017540489E-2</v>
      </c>
      <c r="K24"/>
      <c r="L24"/>
      <c r="M24"/>
      <c r="N24"/>
      <c r="O24"/>
      <c r="P24"/>
      <c r="Q24"/>
      <c r="R24"/>
      <c r="S24"/>
      <c r="T24"/>
      <c r="U24" s="111"/>
      <c r="V24" s="111"/>
      <c r="W24" s="111"/>
      <c r="X24" s="111"/>
      <c r="Y24" s="111"/>
      <c r="Z24" s="111"/>
      <c r="AA24" s="111"/>
      <c r="AB24" s="111"/>
    </row>
    <row r="25" spans="1:28" x14ac:dyDescent="0.3">
      <c r="A25" s="116">
        <v>38292</v>
      </c>
      <c r="B25" s="41">
        <f>+'Purchased Power Model '!B25</f>
        <v>94905100</v>
      </c>
      <c r="C25" s="96">
        <f>+'Purchased Power Model '!C25</f>
        <v>385.7</v>
      </c>
      <c r="D25" s="96">
        <f>+'Purchased Power Model '!D25</f>
        <v>0</v>
      </c>
      <c r="E25" s="103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17">
        <f t="shared" si="2"/>
        <v>94743769.829719678</v>
      </c>
      <c r="I25" s="118">
        <f t="shared" si="3"/>
        <v>-161330.17028032243</v>
      </c>
      <c r="J25" s="5">
        <f t="shared" si="4"/>
        <v>-1.6999104398006265E-3</v>
      </c>
      <c r="K25"/>
      <c r="L25"/>
      <c r="M25"/>
      <c r="N25"/>
      <c r="O25"/>
      <c r="P25"/>
      <c r="Q25"/>
      <c r="R25"/>
      <c r="S25"/>
      <c r="T25"/>
      <c r="U25" s="111"/>
      <c r="V25" s="111"/>
      <c r="W25" s="111"/>
      <c r="X25" s="111"/>
      <c r="Y25" s="111"/>
      <c r="Z25" s="111"/>
      <c r="AA25" s="111"/>
      <c r="AB25" s="111"/>
    </row>
    <row r="26" spans="1:28" x14ac:dyDescent="0.3">
      <c r="A26" s="116">
        <v>38322</v>
      </c>
      <c r="B26" s="41">
        <f>+'Purchased Power Model '!B26</f>
        <v>113323500</v>
      </c>
      <c r="C26" s="96">
        <f>+'Purchased Power Model '!C26</f>
        <v>627.5</v>
      </c>
      <c r="D26" s="96">
        <f>+'Purchased Power Model '!D26</f>
        <v>0</v>
      </c>
      <c r="E26" s="103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17">
        <f t="shared" si="2"/>
        <v>114433476.66759969</v>
      </c>
      <c r="I26" s="118">
        <f t="shared" si="3"/>
        <v>1109976.6675996929</v>
      </c>
      <c r="J26" s="5">
        <f t="shared" si="4"/>
        <v>9.7947616125489672E-3</v>
      </c>
      <c r="K26"/>
      <c r="L26"/>
      <c r="M26"/>
      <c r="N26"/>
      <c r="O26"/>
      <c r="P26"/>
      <c r="Q26"/>
      <c r="R26"/>
      <c r="S26"/>
      <c r="T26"/>
      <c r="U26" s="111"/>
      <c r="V26" s="111"/>
      <c r="W26" s="111"/>
      <c r="X26" s="111"/>
      <c r="Y26" s="111"/>
      <c r="Z26" s="111"/>
      <c r="AA26" s="111"/>
      <c r="AB26" s="111"/>
    </row>
    <row r="27" spans="1:28" x14ac:dyDescent="0.3">
      <c r="A27" s="116">
        <v>38353</v>
      </c>
      <c r="B27" s="41">
        <f>+'Purchased Power Model '!B27</f>
        <v>118166820</v>
      </c>
      <c r="C27" s="96">
        <f>+'Purchased Power Model '!C27</f>
        <v>745.5</v>
      </c>
      <c r="D27" s="96">
        <f>+'Purchased Power Model '!D27</f>
        <v>0</v>
      </c>
      <c r="E27" s="103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17">
        <f t="shared" si="2"/>
        <v>117529570.22869869</v>
      </c>
      <c r="I27" s="118">
        <f t="shared" si="3"/>
        <v>-637249.77130131423</v>
      </c>
      <c r="J27" s="5">
        <f t="shared" si="4"/>
        <v>-5.3927978370012343E-3</v>
      </c>
      <c r="K27"/>
      <c r="L27"/>
      <c r="M27"/>
      <c r="N27"/>
      <c r="T27" s="111"/>
      <c r="U27" s="111"/>
      <c r="V27" s="111"/>
      <c r="W27" s="111"/>
      <c r="X27" s="111"/>
      <c r="Y27" s="111"/>
      <c r="Z27" s="111"/>
      <c r="AA27" s="111"/>
      <c r="AB27" s="111"/>
    </row>
    <row r="28" spans="1:28" x14ac:dyDescent="0.3">
      <c r="A28" s="116">
        <v>38384</v>
      </c>
      <c r="B28" s="41">
        <f>+'Purchased Power Model '!B28</f>
        <v>100566840</v>
      </c>
      <c r="C28" s="96">
        <f>+'Purchased Power Model '!C28</f>
        <v>589.5</v>
      </c>
      <c r="D28" s="96">
        <f>+'Purchased Power Model '!D28</f>
        <v>0</v>
      </c>
      <c r="E28" s="103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17">
        <f t="shared" si="2"/>
        <v>102756034.86500144</v>
      </c>
      <c r="I28" s="118">
        <f t="shared" si="3"/>
        <v>2189194.86500144</v>
      </c>
      <c r="J28" s="5">
        <f t="shared" si="4"/>
        <v>2.1768555768496255E-2</v>
      </c>
      <c r="K28"/>
      <c r="L28"/>
      <c r="M28"/>
      <c r="N28"/>
      <c r="T28" s="111"/>
      <c r="U28" s="111"/>
      <c r="V28" s="111"/>
      <c r="W28" s="111"/>
      <c r="X28" s="111"/>
      <c r="Y28" s="111"/>
      <c r="Z28" s="111"/>
      <c r="AA28" s="111"/>
      <c r="AB28" s="111"/>
    </row>
    <row r="29" spans="1:28" x14ac:dyDescent="0.3">
      <c r="A29" s="116">
        <v>38412</v>
      </c>
      <c r="B29" s="41">
        <f>+'Purchased Power Model '!B29</f>
        <v>104158730</v>
      </c>
      <c r="C29" s="96">
        <f>+'Purchased Power Model '!C29</f>
        <v>578.29999999999995</v>
      </c>
      <c r="D29" s="96">
        <f>+'Purchased Power Model '!D29</f>
        <v>0</v>
      </c>
      <c r="E29" s="103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17">
        <f t="shared" si="2"/>
        <v>103683403.32102288</v>
      </c>
      <c r="I29" s="118">
        <f t="shared" si="3"/>
        <v>-475326.67897711694</v>
      </c>
      <c r="J29" s="5">
        <f t="shared" si="4"/>
        <v>-4.5634838191394708E-3</v>
      </c>
      <c r="K29"/>
      <c r="L29"/>
      <c r="M29"/>
      <c r="N29"/>
      <c r="T29" s="111"/>
      <c r="U29" s="111"/>
      <c r="V29" s="111"/>
      <c r="W29" s="111"/>
      <c r="X29" s="111"/>
      <c r="Y29" s="111"/>
      <c r="Z29" s="111"/>
      <c r="AA29" s="111"/>
      <c r="AB29" s="111"/>
    </row>
    <row r="30" spans="1:28" x14ac:dyDescent="0.3">
      <c r="A30" s="116">
        <v>38443</v>
      </c>
      <c r="B30" s="41">
        <f>+'Purchased Power Model '!B30</f>
        <v>84434840</v>
      </c>
      <c r="C30" s="96">
        <f>+'Purchased Power Model '!C30</f>
        <v>325.3</v>
      </c>
      <c r="D30" s="96">
        <f>+'Purchased Power Model '!D30</f>
        <v>0</v>
      </c>
      <c r="E30" s="103">
        <f>+'Purchased Power Model '!E30</f>
        <v>6.3E-2</v>
      </c>
      <c r="F30" s="10">
        <f>+'Purchased Power Model '!F30</f>
        <v>30</v>
      </c>
      <c r="G30" s="10">
        <f>+'Purchased Power Model '!G30</f>
        <v>1</v>
      </c>
      <c r="H30" s="117">
        <f t="shared" si="2"/>
        <v>91679616.136012077</v>
      </c>
      <c r="I30" s="118">
        <f t="shared" si="3"/>
        <v>7244776.1360120773</v>
      </c>
      <c r="J30" s="5">
        <f t="shared" si="4"/>
        <v>8.5803160591197636E-2</v>
      </c>
      <c r="K30"/>
      <c r="L30"/>
      <c r="M30"/>
      <c r="N30"/>
      <c r="T30" s="111"/>
      <c r="U30" s="111"/>
      <c r="V30" s="111"/>
      <c r="W30" s="111"/>
      <c r="X30" s="111"/>
      <c r="Y30" s="111"/>
      <c r="Z30" s="111"/>
      <c r="AA30" s="111"/>
      <c r="AB30" s="111"/>
    </row>
    <row r="31" spans="1:28" x14ac:dyDescent="0.3">
      <c r="A31" s="116">
        <v>38473</v>
      </c>
      <c r="B31" s="41">
        <f>+'Purchased Power Model '!B31</f>
        <v>81831370</v>
      </c>
      <c r="C31" s="96">
        <f>+'Purchased Power Model '!C31</f>
        <v>216.1</v>
      </c>
      <c r="D31" s="96">
        <f>+'Purchased Power Model '!D31</f>
        <v>0.3</v>
      </c>
      <c r="E31" s="103">
        <f>+'Purchased Power Model '!E31</f>
        <v>6.3E-2</v>
      </c>
      <c r="F31" s="10">
        <f>+'Purchased Power Model '!F31</f>
        <v>31</v>
      </c>
      <c r="G31" s="10">
        <f>+'Purchased Power Model '!G31</f>
        <v>1</v>
      </c>
      <c r="H31" s="117">
        <f t="shared" si="2"/>
        <v>90092200.549488187</v>
      </c>
      <c r="I31" s="118">
        <f t="shared" si="3"/>
        <v>8260830.5494881868</v>
      </c>
      <c r="J31" s="5">
        <f t="shared" si="4"/>
        <v>0.10094943478873918</v>
      </c>
      <c r="K31"/>
      <c r="L31"/>
      <c r="M31"/>
      <c r="N31"/>
      <c r="T31" s="111"/>
      <c r="U31" s="111"/>
      <c r="V31" s="111"/>
      <c r="W31" s="111"/>
      <c r="X31" s="111"/>
      <c r="Y31" s="111"/>
      <c r="Z31" s="111"/>
      <c r="AA31" s="111"/>
      <c r="AB31" s="111"/>
    </row>
    <row r="32" spans="1:28" x14ac:dyDescent="0.3">
      <c r="A32" s="116">
        <v>38504</v>
      </c>
      <c r="B32" s="41">
        <f>+'Purchased Power Model '!B32</f>
        <v>98362500</v>
      </c>
      <c r="C32" s="96">
        <f>+'Purchased Power Model '!C32</f>
        <v>13.7</v>
      </c>
      <c r="D32" s="96">
        <f>+'Purchased Power Model '!D32</f>
        <v>89.9</v>
      </c>
      <c r="E32" s="103">
        <f>+'Purchased Power Model '!E32</f>
        <v>6.3E-2</v>
      </c>
      <c r="F32" s="10">
        <f>+'Purchased Power Model '!F32</f>
        <v>30</v>
      </c>
      <c r="G32" s="10">
        <f>+'Purchased Power Model '!G32</f>
        <v>0</v>
      </c>
      <c r="H32" s="117">
        <f t="shared" si="2"/>
        <v>99020330.06998232</v>
      </c>
      <c r="I32" s="118">
        <f t="shared" si="3"/>
        <v>657830.06998232007</v>
      </c>
      <c r="J32" s="5">
        <f t="shared" si="4"/>
        <v>6.6878136483143483E-3</v>
      </c>
      <c r="K32"/>
      <c r="L32"/>
      <c r="M32"/>
      <c r="N32"/>
      <c r="T32" s="111"/>
      <c r="U32" s="111"/>
      <c r="V32" s="111"/>
      <c r="W32" s="111"/>
      <c r="X32" s="111"/>
      <c r="Y32" s="111"/>
      <c r="Z32" s="111"/>
      <c r="AA32" s="111"/>
      <c r="AB32" s="111"/>
    </row>
    <row r="33" spans="1:28" x14ac:dyDescent="0.3">
      <c r="A33" s="116">
        <v>38534</v>
      </c>
      <c r="B33" s="41">
        <f>+'Purchased Power Model '!B33</f>
        <v>103745750</v>
      </c>
      <c r="C33" s="96">
        <f>+'Purchased Power Model '!C33</f>
        <v>2.2000000000000002</v>
      </c>
      <c r="D33" s="96">
        <f>+'Purchased Power Model '!D33</f>
        <v>153</v>
      </c>
      <c r="E33" s="103">
        <f>+'Purchased Power Model '!E33</f>
        <v>5.7000000000000002E-2</v>
      </c>
      <c r="F33" s="10">
        <f>+'Purchased Power Model '!F33</f>
        <v>31</v>
      </c>
      <c r="G33" s="10">
        <f>+'Purchased Power Model '!G33</f>
        <v>0</v>
      </c>
      <c r="H33" s="117">
        <f t="shared" si="2"/>
        <v>111192172.90409043</v>
      </c>
      <c r="I33" s="118">
        <f t="shared" si="3"/>
        <v>7446422.9040904343</v>
      </c>
      <c r="J33" s="5">
        <f t="shared" si="4"/>
        <v>7.1775691091832045E-2</v>
      </c>
      <c r="K33"/>
      <c r="L33"/>
      <c r="M33"/>
      <c r="N33"/>
      <c r="T33" s="111"/>
      <c r="U33" s="111"/>
      <c r="V33" s="111"/>
      <c r="W33" s="111"/>
      <c r="X33" s="111"/>
      <c r="Y33" s="111"/>
      <c r="Z33" s="111"/>
      <c r="AA33" s="111"/>
      <c r="AB33" s="111"/>
    </row>
    <row r="34" spans="1:28" x14ac:dyDescent="0.3">
      <c r="A34" s="116">
        <v>38565</v>
      </c>
      <c r="B34" s="41">
        <f>+'Purchased Power Model '!B34</f>
        <v>101425330</v>
      </c>
      <c r="C34" s="96">
        <f>+'Purchased Power Model '!C34</f>
        <v>0</v>
      </c>
      <c r="D34" s="96">
        <f>+'Purchased Power Model '!D34</f>
        <v>108</v>
      </c>
      <c r="E34" s="103">
        <f>+'Purchased Power Model '!E34</f>
        <v>5.7000000000000002E-2</v>
      </c>
      <c r="F34" s="10">
        <f>+'Purchased Power Model '!F34</f>
        <v>31</v>
      </c>
      <c r="G34" s="10">
        <f>+'Purchased Power Model '!G34</f>
        <v>0</v>
      </c>
      <c r="H34" s="117">
        <f t="shared" si="2"/>
        <v>104613033.80861895</v>
      </c>
      <c r="I34" s="118">
        <f t="shared" si="3"/>
        <v>3187703.8086189479</v>
      </c>
      <c r="J34" s="5">
        <f t="shared" si="4"/>
        <v>3.1429070121033353E-2</v>
      </c>
      <c r="K34"/>
      <c r="L34"/>
      <c r="M34"/>
      <c r="N34"/>
      <c r="T34" s="111"/>
      <c r="U34" s="111"/>
      <c r="V34" s="111"/>
      <c r="W34" s="111"/>
      <c r="X34" s="111"/>
      <c r="Y34" s="111"/>
      <c r="Z34" s="111"/>
      <c r="AA34" s="111"/>
      <c r="AB34" s="111"/>
    </row>
    <row r="35" spans="1:28" x14ac:dyDescent="0.3">
      <c r="A35" s="116">
        <v>38596</v>
      </c>
      <c r="B35" s="41">
        <f>+'Purchased Power Model '!B35</f>
        <v>87813850</v>
      </c>
      <c r="C35" s="96">
        <f>+'Purchased Power Model '!C35</f>
        <v>36.700000000000003</v>
      </c>
      <c r="D35" s="96">
        <f>+'Purchased Power Model '!D35</f>
        <v>32.799999999999997</v>
      </c>
      <c r="E35" s="103">
        <f>+'Purchased Power Model '!E35</f>
        <v>5.7000000000000002E-2</v>
      </c>
      <c r="F35" s="10">
        <f>+'Purchased Power Model '!F35</f>
        <v>30</v>
      </c>
      <c r="G35" s="10">
        <f>+'Purchased Power Model '!G35</f>
        <v>1</v>
      </c>
      <c r="H35" s="117">
        <f t="shared" si="2"/>
        <v>85403548.931177959</v>
      </c>
      <c r="I35" s="118">
        <f t="shared" si="3"/>
        <v>-2410301.0688220412</v>
      </c>
      <c r="J35" s="5">
        <f t="shared" si="4"/>
        <v>-2.7447846425387806E-2</v>
      </c>
      <c r="K35"/>
      <c r="L35"/>
      <c r="M35"/>
      <c r="N35"/>
      <c r="T35" s="111"/>
      <c r="U35" s="111"/>
      <c r="V35" s="111"/>
      <c r="W35" s="111"/>
      <c r="X35" s="111"/>
      <c r="Y35" s="111"/>
      <c r="Z35" s="111"/>
      <c r="AA35" s="111"/>
      <c r="AB35" s="111"/>
    </row>
    <row r="36" spans="1:28" x14ac:dyDescent="0.3">
      <c r="A36" s="116">
        <v>38626</v>
      </c>
      <c r="B36" s="41">
        <f>+'Purchased Power Model '!B36</f>
        <v>87350690</v>
      </c>
      <c r="C36" s="96">
        <f>+'Purchased Power Model '!C36</f>
        <v>223.8</v>
      </c>
      <c r="D36" s="96">
        <f>+'Purchased Power Model '!D36</f>
        <v>0.5</v>
      </c>
      <c r="E36" s="103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17">
        <f t="shared" si="2"/>
        <v>89947771.77374135</v>
      </c>
      <c r="I36" s="118">
        <f t="shared" si="3"/>
        <v>2597081.7737413496</v>
      </c>
      <c r="J36" s="5">
        <f t="shared" si="4"/>
        <v>2.9731668676473529E-2</v>
      </c>
      <c r="K36"/>
      <c r="L36"/>
      <c r="M36"/>
      <c r="N36"/>
      <c r="T36" s="111"/>
      <c r="U36" s="111"/>
      <c r="V36" s="111"/>
      <c r="W36" s="111"/>
      <c r="X36" s="111"/>
      <c r="Y36" s="111"/>
      <c r="Z36" s="111"/>
      <c r="AA36" s="111"/>
      <c r="AB36" s="111"/>
    </row>
    <row r="37" spans="1:28" x14ac:dyDescent="0.3">
      <c r="A37" s="116">
        <v>38657</v>
      </c>
      <c r="B37" s="41">
        <f>+'Purchased Power Model '!B37</f>
        <v>94515140</v>
      </c>
      <c r="C37" s="96">
        <f>+'Purchased Power Model '!C37</f>
        <v>398.5</v>
      </c>
      <c r="D37" s="96">
        <f>+'Purchased Power Model '!D37</f>
        <v>0</v>
      </c>
      <c r="E37" s="103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17">
        <f t="shared" si="2"/>
        <v>94169899.369228378</v>
      </c>
      <c r="I37" s="118">
        <f t="shared" si="3"/>
        <v>-345240.63077162206</v>
      </c>
      <c r="J37" s="5">
        <f t="shared" si="4"/>
        <v>-3.6527547943284227E-3</v>
      </c>
      <c r="K37"/>
      <c r="L37"/>
      <c r="M37"/>
      <c r="N37"/>
      <c r="T37" s="111"/>
      <c r="U37" s="111"/>
      <c r="V37" s="111"/>
      <c r="W37" s="111"/>
      <c r="X37" s="111"/>
      <c r="Y37" s="111"/>
      <c r="Z37" s="111"/>
      <c r="AA37" s="111"/>
      <c r="AB37" s="111"/>
    </row>
    <row r="38" spans="1:28" x14ac:dyDescent="0.3">
      <c r="A38" s="116">
        <v>38687</v>
      </c>
      <c r="B38" s="41">
        <f>+'Purchased Power Model '!B38</f>
        <v>112129490</v>
      </c>
      <c r="C38" s="96">
        <f>+'Purchased Power Model '!C38</f>
        <v>641.1</v>
      </c>
      <c r="D38" s="96">
        <f>+'Purchased Power Model '!D38</f>
        <v>0</v>
      </c>
      <c r="E38" s="103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17">
        <f t="shared" si="2"/>
        <v>113892138.17674752</v>
      </c>
      <c r="I38" s="118">
        <f t="shared" si="3"/>
        <v>1762648.1767475158</v>
      </c>
      <c r="J38" s="5">
        <f t="shared" si="4"/>
        <v>1.5719755585685048E-2</v>
      </c>
      <c r="K38"/>
      <c r="L38"/>
      <c r="M38"/>
      <c r="N38"/>
      <c r="T38" s="111"/>
      <c r="U38" s="111"/>
      <c r="V38" s="111"/>
      <c r="W38" s="111"/>
      <c r="X38" s="111"/>
      <c r="Y38" s="111"/>
      <c r="Z38" s="111"/>
      <c r="AA38" s="111"/>
      <c r="AB38" s="111"/>
    </row>
    <row r="39" spans="1:28" x14ac:dyDescent="0.3">
      <c r="A39" s="116">
        <v>38718</v>
      </c>
      <c r="B39" s="41">
        <f>+'Purchased Power Model '!B39</f>
        <v>108586490</v>
      </c>
      <c r="C39" s="96">
        <f>+'Purchased Power Model '!C39</f>
        <v>558.20000000000005</v>
      </c>
      <c r="D39" s="96">
        <f>+'Purchased Power Model '!D39</f>
        <v>0</v>
      </c>
      <c r="E39" s="103">
        <f>+'Purchased Power Model '!E39</f>
        <v>6.7000000000000004E-2</v>
      </c>
      <c r="F39" s="10">
        <f>+'Purchased Power Model '!F39</f>
        <v>31</v>
      </c>
      <c r="G39" s="10">
        <f>+'Purchased Power Model '!G39</f>
        <v>0</v>
      </c>
      <c r="H39" s="117">
        <f t="shared" si="2"/>
        <v>110521012.82289368</v>
      </c>
      <c r="I39" s="118">
        <f t="shared" si="3"/>
        <v>1934522.8228936791</v>
      </c>
      <c r="J39" s="5">
        <f t="shared" si="4"/>
        <v>1.7815501936692853E-2</v>
      </c>
      <c r="K39"/>
      <c r="L39"/>
      <c r="M39"/>
      <c r="N39"/>
      <c r="T39" s="111"/>
      <c r="U39" s="111"/>
      <c r="V39" s="111"/>
      <c r="W39" s="111"/>
      <c r="X39" s="111"/>
      <c r="Y39" s="111"/>
      <c r="Z39" s="111"/>
      <c r="AA39" s="111"/>
      <c r="AB39" s="111"/>
    </row>
    <row r="40" spans="1:28" x14ac:dyDescent="0.3">
      <c r="A40" s="116">
        <v>38749</v>
      </c>
      <c r="B40" s="41">
        <f>+'Purchased Power Model '!B40</f>
        <v>101769990</v>
      </c>
      <c r="C40" s="96">
        <f>+'Purchased Power Model '!C40</f>
        <v>608.79999999999995</v>
      </c>
      <c r="D40" s="96">
        <f>+'Purchased Power Model '!D40</f>
        <v>0</v>
      </c>
      <c r="E40" s="103">
        <f>+'Purchased Power Model '!E40</f>
        <v>6.7000000000000004E-2</v>
      </c>
      <c r="F40" s="10">
        <f>+'Purchased Power Model '!F40</f>
        <v>28</v>
      </c>
      <c r="G40" s="10">
        <f>+'Purchased Power Model '!G40</f>
        <v>0</v>
      </c>
      <c r="H40" s="117">
        <f t="shared" si="2"/>
        <v>104148858.61849922</v>
      </c>
      <c r="I40" s="118">
        <f t="shared" si="3"/>
        <v>2378868.6184992194</v>
      </c>
      <c r="J40" s="5">
        <f t="shared" si="4"/>
        <v>2.3374951874312058E-2</v>
      </c>
      <c r="K40"/>
      <c r="L40"/>
      <c r="M40"/>
      <c r="N40"/>
      <c r="T40" s="111"/>
      <c r="U40" s="111"/>
      <c r="V40" s="111"/>
      <c r="W40" s="111"/>
      <c r="X40" s="111"/>
      <c r="Y40" s="111"/>
      <c r="Z40" s="111"/>
      <c r="AA40" s="111"/>
      <c r="AB40" s="111"/>
    </row>
    <row r="41" spans="1:28" x14ac:dyDescent="0.3">
      <c r="A41" s="116">
        <v>38777</v>
      </c>
      <c r="B41" s="41">
        <f>+'Purchased Power Model '!B41</f>
        <v>102729300</v>
      </c>
      <c r="C41" s="96">
        <f>+'Purchased Power Model '!C41</f>
        <v>534</v>
      </c>
      <c r="D41" s="96">
        <f>+'Purchased Power Model '!D41</f>
        <v>0</v>
      </c>
      <c r="E41" s="103">
        <f>+'Purchased Power Model '!E41</f>
        <v>6.7000000000000004E-2</v>
      </c>
      <c r="F41" s="10">
        <f>+'Purchased Power Model '!F41</f>
        <v>31</v>
      </c>
      <c r="G41" s="10">
        <f>+'Purchased Power Model '!G41</f>
        <v>1</v>
      </c>
      <c r="H41" s="117">
        <f t="shared" si="2"/>
        <v>102489935.48821063</v>
      </c>
      <c r="I41" s="118">
        <f t="shared" si="3"/>
        <v>-239364.5117893666</v>
      </c>
      <c r="J41" s="5">
        <f t="shared" si="4"/>
        <v>-2.330051034995533E-3</v>
      </c>
      <c r="K41"/>
      <c r="L41"/>
      <c r="M41"/>
      <c r="N41"/>
      <c r="T41" s="111"/>
      <c r="U41" s="111"/>
      <c r="V41" s="111"/>
      <c r="W41" s="111"/>
      <c r="X41" s="111"/>
      <c r="Y41" s="111"/>
      <c r="Z41" s="111"/>
      <c r="AA41" s="111"/>
      <c r="AB41" s="111"/>
    </row>
    <row r="42" spans="1:28" x14ac:dyDescent="0.3">
      <c r="A42" s="116">
        <v>38808</v>
      </c>
      <c r="B42" s="41">
        <f>+'Purchased Power Model '!B42</f>
        <v>85245280</v>
      </c>
      <c r="C42" s="96">
        <f>+'Purchased Power Model '!C42</f>
        <v>323.60000000000002</v>
      </c>
      <c r="D42" s="96">
        <f>+'Purchased Power Model '!D42</f>
        <v>0</v>
      </c>
      <c r="E42" s="103">
        <f>+'Purchased Power Model '!E42</f>
        <v>6.3E-2</v>
      </c>
      <c r="F42" s="10">
        <f>+'Purchased Power Model '!F42</f>
        <v>30</v>
      </c>
      <c r="G42" s="10">
        <f>+'Purchased Power Model '!G42</f>
        <v>1</v>
      </c>
      <c r="H42" s="117">
        <f t="shared" si="2"/>
        <v>91610485.700528949</v>
      </c>
      <c r="I42" s="118">
        <f t="shared" si="3"/>
        <v>6365205.7005289495</v>
      </c>
      <c r="J42" s="5">
        <f t="shared" si="4"/>
        <v>7.4669303690819588E-2</v>
      </c>
      <c r="K42"/>
      <c r="L42"/>
      <c r="M42"/>
      <c r="N42"/>
      <c r="T42" s="111"/>
      <c r="U42" s="111"/>
      <c r="V42" s="111"/>
      <c r="W42" s="111"/>
      <c r="X42" s="111"/>
      <c r="Y42" s="111"/>
      <c r="Z42" s="111"/>
      <c r="AA42" s="111"/>
      <c r="AB42" s="111"/>
    </row>
    <row r="43" spans="1:28" x14ac:dyDescent="0.3">
      <c r="A43" s="116">
        <v>38838</v>
      </c>
      <c r="B43" s="41">
        <f>+'Purchased Power Model '!B43</f>
        <v>85191000</v>
      </c>
      <c r="C43" s="96">
        <f>+'Purchased Power Model '!C43</f>
        <v>172.6</v>
      </c>
      <c r="D43" s="96">
        <f>+'Purchased Power Model '!D43</f>
        <v>12.8</v>
      </c>
      <c r="E43" s="103">
        <f>+'Purchased Power Model '!E43</f>
        <v>6.3E-2</v>
      </c>
      <c r="F43" s="10">
        <f>+'Purchased Power Model '!F43</f>
        <v>31</v>
      </c>
      <c r="G43" s="10">
        <f>+'Purchased Power Model '!G43</f>
        <v>1</v>
      </c>
      <c r="H43" s="117">
        <f t="shared" si="2"/>
        <v>90125962.527851</v>
      </c>
      <c r="I43" s="118">
        <f t="shared" si="3"/>
        <v>4934962.5278510004</v>
      </c>
      <c r="J43" s="5">
        <f t="shared" si="4"/>
        <v>5.7928214574908155E-2</v>
      </c>
      <c r="K43"/>
      <c r="L43"/>
      <c r="M43"/>
      <c r="N43"/>
      <c r="T43" s="111"/>
      <c r="U43" s="111"/>
      <c r="V43" s="111"/>
      <c r="W43" s="111"/>
      <c r="X43" s="111"/>
      <c r="Y43" s="111"/>
      <c r="Z43" s="111"/>
      <c r="AA43" s="111"/>
      <c r="AB43" s="111"/>
    </row>
    <row r="44" spans="1:28" x14ac:dyDescent="0.3">
      <c r="A44" s="116">
        <v>38869</v>
      </c>
      <c r="B44" s="41">
        <f>+'Purchased Power Model '!B44</f>
        <v>91808310</v>
      </c>
      <c r="C44" s="96">
        <f>+'Purchased Power Model '!C44</f>
        <v>22.6</v>
      </c>
      <c r="D44" s="96">
        <f>+'Purchased Power Model '!D44</f>
        <v>36.200000000000003</v>
      </c>
      <c r="E44" s="103">
        <f>+'Purchased Power Model '!E44</f>
        <v>6.3E-2</v>
      </c>
      <c r="F44" s="10">
        <f>+'Purchased Power Model '!F44</f>
        <v>30</v>
      </c>
      <c r="G44" s="10">
        <f>+'Purchased Power Model '!G44</f>
        <v>0</v>
      </c>
      <c r="H44" s="117">
        <f t="shared" si="2"/>
        <v>91637901.325320587</v>
      </c>
      <c r="I44" s="118">
        <f t="shared" si="3"/>
        <v>-170408.67467941344</v>
      </c>
      <c r="J44" s="5">
        <f t="shared" si="4"/>
        <v>-1.8561356230107431E-3</v>
      </c>
      <c r="K44"/>
      <c r="L44"/>
      <c r="M44"/>
      <c r="N44"/>
      <c r="T44" s="111"/>
      <c r="U44" s="111"/>
      <c r="V44" s="111"/>
      <c r="W44" s="111"/>
      <c r="X44" s="111"/>
      <c r="Y44" s="111"/>
      <c r="Z44" s="111"/>
      <c r="AA44" s="111"/>
      <c r="AB44" s="111"/>
    </row>
    <row r="45" spans="1:28" x14ac:dyDescent="0.3">
      <c r="A45" s="116">
        <v>38899</v>
      </c>
      <c r="B45" s="41">
        <f>+'Purchased Power Model '!B45</f>
        <v>103610940</v>
      </c>
      <c r="C45" s="96">
        <f>+'Purchased Power Model '!C45</f>
        <v>1.7</v>
      </c>
      <c r="D45" s="96">
        <f>+'Purchased Power Model '!D45</f>
        <v>107.6</v>
      </c>
      <c r="E45" s="103">
        <f>+'Purchased Power Model '!E45</f>
        <v>6.6000000000000003E-2</v>
      </c>
      <c r="F45" s="10">
        <f>+'Purchased Power Model '!F45</f>
        <v>31</v>
      </c>
      <c r="G45" s="10">
        <f>+'Purchased Power Model '!G45</f>
        <v>0</v>
      </c>
      <c r="H45" s="117">
        <f t="shared" si="2"/>
        <v>103530096.25890517</v>
      </c>
      <c r="I45" s="118">
        <f t="shared" si="3"/>
        <v>-80843.741094827652</v>
      </c>
      <c r="J45" s="5">
        <f t="shared" si="4"/>
        <v>-7.8026259673763846E-4</v>
      </c>
      <c r="K45"/>
      <c r="L45"/>
      <c r="M45"/>
      <c r="N45"/>
      <c r="T45" s="111"/>
      <c r="U45" s="111"/>
      <c r="V45" s="111"/>
      <c r="W45" s="111"/>
      <c r="X45" s="111"/>
      <c r="Y45" s="111"/>
      <c r="Z45" s="111"/>
      <c r="AA45" s="111"/>
      <c r="AB45" s="111"/>
    </row>
    <row r="46" spans="1:28" x14ac:dyDescent="0.3">
      <c r="A46" s="116">
        <v>38930</v>
      </c>
      <c r="B46" s="41">
        <f>+'Purchased Power Model '!B46</f>
        <v>98252830</v>
      </c>
      <c r="C46" s="96">
        <f>+'Purchased Power Model '!C46</f>
        <v>4.4000000000000004</v>
      </c>
      <c r="D46" s="96">
        <f>+'Purchased Power Model '!D46</f>
        <v>82.1</v>
      </c>
      <c r="E46" s="103">
        <f>+'Purchased Power Model '!E46</f>
        <v>6.6000000000000003E-2</v>
      </c>
      <c r="F46" s="10">
        <f>+'Purchased Power Model '!F46</f>
        <v>31</v>
      </c>
      <c r="G46" s="10">
        <f>+'Purchased Power Model '!G46</f>
        <v>0</v>
      </c>
      <c r="H46" s="117">
        <f t="shared" si="2"/>
        <v>99962408.488357648</v>
      </c>
      <c r="I46" s="118">
        <f t="shared" si="3"/>
        <v>1709578.4883576483</v>
      </c>
      <c r="J46" s="5">
        <f t="shared" si="4"/>
        <v>1.7399788773083159E-2</v>
      </c>
      <c r="K46"/>
      <c r="L46"/>
      <c r="M46"/>
      <c r="N46"/>
      <c r="T46" s="111"/>
      <c r="U46" s="111"/>
      <c r="V46" s="111"/>
      <c r="W46" s="111"/>
      <c r="X46" s="111"/>
      <c r="Y46" s="111"/>
      <c r="Z46" s="111"/>
      <c r="AA46" s="111"/>
      <c r="AB46" s="111"/>
    </row>
    <row r="47" spans="1:28" x14ac:dyDescent="0.3">
      <c r="A47" s="116">
        <v>38961</v>
      </c>
      <c r="B47" s="41">
        <f>+'Purchased Power Model '!B47</f>
        <v>83090470</v>
      </c>
      <c r="C47" s="96">
        <f>+'Purchased Power Model '!C47</f>
        <v>70.7</v>
      </c>
      <c r="D47" s="96">
        <f>+'Purchased Power Model '!D47</f>
        <v>5.0999999999999996</v>
      </c>
      <c r="E47" s="103">
        <f>+'Purchased Power Model '!E47</f>
        <v>6.6000000000000003E-2</v>
      </c>
      <c r="F47" s="10">
        <f>+'Purchased Power Model '!F47</f>
        <v>30</v>
      </c>
      <c r="G47" s="10">
        <f>+'Purchased Power Model '!G47</f>
        <v>1</v>
      </c>
      <c r="H47" s="117">
        <f t="shared" si="2"/>
        <v>81697019.440405563</v>
      </c>
      <c r="I47" s="118">
        <f t="shared" si="3"/>
        <v>-1393450.5595944375</v>
      </c>
      <c r="J47" s="5">
        <f t="shared" si="4"/>
        <v>-1.6770281352295125E-2</v>
      </c>
      <c r="K47"/>
      <c r="L47"/>
      <c r="M47"/>
      <c r="N47"/>
      <c r="T47" s="111"/>
      <c r="U47" s="111"/>
      <c r="V47" s="111"/>
      <c r="W47" s="111"/>
      <c r="X47" s="111"/>
      <c r="Y47" s="111"/>
      <c r="Z47" s="111"/>
      <c r="AA47" s="111"/>
      <c r="AB47" s="111"/>
    </row>
    <row r="48" spans="1:28" x14ac:dyDescent="0.3">
      <c r="A48" s="116">
        <v>38991</v>
      </c>
      <c r="B48" s="41">
        <f>+'Purchased Power Model '!B48</f>
        <v>90859410</v>
      </c>
      <c r="C48" s="96">
        <f>+'Purchased Power Model '!C48</f>
        <v>274.60000000000002</v>
      </c>
      <c r="D48" s="96">
        <f>+'Purchased Power Model '!D48</f>
        <v>0</v>
      </c>
      <c r="E48" s="103">
        <f>+'Purchased Power Model '!E48</f>
        <v>6.7000000000000004E-2</v>
      </c>
      <c r="F48" s="10">
        <f>+'Purchased Power Model '!F48</f>
        <v>31</v>
      </c>
      <c r="G48" s="10">
        <f>+'Purchased Power Model '!G48</f>
        <v>1</v>
      </c>
      <c r="H48" s="117">
        <f t="shared" si="2"/>
        <v>91941444.332725883</v>
      </c>
      <c r="I48" s="118">
        <f t="shared" si="3"/>
        <v>1082034.3327258825</v>
      </c>
      <c r="J48" s="5">
        <f t="shared" si="4"/>
        <v>1.1908885746956562E-2</v>
      </c>
      <c r="K48"/>
      <c r="L48"/>
      <c r="M48"/>
      <c r="N48"/>
      <c r="T48" s="111"/>
      <c r="U48" s="111"/>
      <c r="V48" s="111"/>
      <c r="W48" s="111"/>
      <c r="X48" s="111"/>
      <c r="Y48" s="111"/>
      <c r="Z48" s="111"/>
      <c r="AA48" s="111"/>
      <c r="AB48" s="111"/>
    </row>
    <row r="49" spans="1:28" x14ac:dyDescent="0.3">
      <c r="A49" s="116">
        <v>39022</v>
      </c>
      <c r="B49" s="41">
        <f>+'Purchased Power Model '!B49</f>
        <v>95117460</v>
      </c>
      <c r="C49" s="96">
        <f>+'Purchased Power Model '!C49</f>
        <v>367.5</v>
      </c>
      <c r="D49" s="96">
        <f>+'Purchased Power Model '!D49</f>
        <v>0</v>
      </c>
      <c r="E49" s="103">
        <f>+'Purchased Power Model '!E49</f>
        <v>6.7000000000000004E-2</v>
      </c>
      <c r="F49" s="10">
        <f>+'Purchased Power Model '!F49</f>
        <v>30</v>
      </c>
      <c r="G49" s="10">
        <f>+'Purchased Power Model '!G49</f>
        <v>1</v>
      </c>
      <c r="H49" s="117">
        <f t="shared" si="2"/>
        <v>92909285.545712456</v>
      </c>
      <c r="I49" s="118">
        <f t="shared" si="3"/>
        <v>-2208174.4542875439</v>
      </c>
      <c r="J49" s="5">
        <f t="shared" si="4"/>
        <v>-2.3215237815302721E-2</v>
      </c>
      <c r="K49"/>
      <c r="L49"/>
      <c r="M49"/>
      <c r="N49"/>
      <c r="T49" s="111"/>
      <c r="U49" s="111"/>
      <c r="V49" s="111"/>
      <c r="W49" s="111"/>
      <c r="X49" s="111"/>
      <c r="Y49" s="111"/>
      <c r="Z49" s="111"/>
      <c r="AA49" s="111"/>
      <c r="AB49" s="111"/>
    </row>
    <row r="50" spans="1:28" x14ac:dyDescent="0.3">
      <c r="A50" s="116">
        <v>39052</v>
      </c>
      <c r="B50" s="41">
        <f>+'Purchased Power Model '!B50</f>
        <v>105098960</v>
      </c>
      <c r="C50" s="96">
        <f>+'Purchased Power Model '!C50</f>
        <v>471.5</v>
      </c>
      <c r="D50" s="96">
        <f>+'Purchased Power Model '!D50</f>
        <v>0</v>
      </c>
      <c r="E50" s="103">
        <f>+'Purchased Power Model '!E50</f>
        <v>6.7000000000000004E-2</v>
      </c>
      <c r="F50" s="10">
        <f>+'Purchased Power Model '!F50</f>
        <v>31</v>
      </c>
      <c r="G50" s="10">
        <f>+'Purchased Power Model '!G50</f>
        <v>0</v>
      </c>
      <c r="H50" s="117">
        <f t="shared" si="2"/>
        <v>106995360.61325401</v>
      </c>
      <c r="I50" s="118">
        <f t="shared" si="3"/>
        <v>1896400.6132540107</v>
      </c>
      <c r="J50" s="5">
        <f t="shared" si="4"/>
        <v>1.8043952226111569E-2</v>
      </c>
      <c r="K50"/>
      <c r="L50"/>
      <c r="M50"/>
      <c r="N50"/>
      <c r="T50" s="111"/>
      <c r="U50" s="111"/>
      <c r="V50" s="111"/>
      <c r="W50" s="111"/>
      <c r="X50" s="111"/>
      <c r="Y50" s="111"/>
      <c r="Z50" s="111"/>
      <c r="AA50" s="111"/>
      <c r="AB50" s="111"/>
    </row>
    <row r="51" spans="1:28" x14ac:dyDescent="0.3">
      <c r="A51" s="116">
        <v>39083</v>
      </c>
      <c r="B51" s="41">
        <f>+'Purchased Power Model '!B51</f>
        <v>112093789.99999999</v>
      </c>
      <c r="C51" s="96">
        <f>+'Purchased Power Model '!C51</f>
        <v>573.1</v>
      </c>
      <c r="D51" s="96">
        <f>+'Purchased Power Model '!D51</f>
        <v>0</v>
      </c>
      <c r="E51" s="103">
        <f>+'Purchased Power Model '!E51</f>
        <v>6.2E-2</v>
      </c>
      <c r="F51" s="10">
        <f>+'Purchased Power Model '!F51</f>
        <v>31</v>
      </c>
      <c r="G51" s="10">
        <f>+'Purchased Power Model '!G51</f>
        <v>0</v>
      </c>
      <c r="H51" s="117">
        <f t="shared" si="2"/>
        <v>111734910.74337631</v>
      </c>
      <c r="I51" s="118">
        <f t="shared" si="3"/>
        <v>-358879.25662367046</v>
      </c>
      <c r="J51" s="5">
        <f t="shared" si="4"/>
        <v>-3.2015980245084989E-3</v>
      </c>
      <c r="K51"/>
      <c r="L51"/>
      <c r="M51"/>
      <c r="N51"/>
      <c r="T51" s="111"/>
      <c r="U51" s="111"/>
      <c r="V51" s="111"/>
      <c r="W51" s="111"/>
      <c r="X51" s="111"/>
      <c r="Y51" s="111"/>
      <c r="Z51" s="111"/>
      <c r="AA51" s="111"/>
      <c r="AB51" s="111"/>
    </row>
    <row r="52" spans="1:28" x14ac:dyDescent="0.3">
      <c r="A52" s="116">
        <v>39114</v>
      </c>
      <c r="B52" s="41">
        <f>+'Purchased Power Model '!B52</f>
        <v>109302770</v>
      </c>
      <c r="C52" s="96">
        <f>+'Purchased Power Model '!C52</f>
        <v>693.5</v>
      </c>
      <c r="D52" s="96">
        <f>+'Purchased Power Model '!D52</f>
        <v>0</v>
      </c>
      <c r="E52" s="103">
        <f>+'Purchased Power Model '!E52</f>
        <v>6.2E-2</v>
      </c>
      <c r="F52" s="10">
        <f>+'Purchased Power Model '!F52</f>
        <v>28</v>
      </c>
      <c r="G52" s="10">
        <f>+'Purchased Power Model '!G52</f>
        <v>0</v>
      </c>
      <c r="H52" s="117">
        <f t="shared" si="2"/>
        <v>108201170.8899951</v>
      </c>
      <c r="I52" s="118">
        <f t="shared" si="3"/>
        <v>-1101599.1100049019</v>
      </c>
      <c r="J52" s="5">
        <f t="shared" si="4"/>
        <v>-1.00784189641754E-2</v>
      </c>
      <c r="K52"/>
      <c r="L52"/>
      <c r="M52"/>
      <c r="N52"/>
      <c r="T52" s="111"/>
      <c r="U52" s="111"/>
      <c r="V52" s="111"/>
      <c r="W52" s="111"/>
      <c r="X52" s="111"/>
      <c r="Y52" s="111"/>
      <c r="Z52" s="111"/>
      <c r="AA52" s="111"/>
      <c r="AB52" s="111"/>
    </row>
    <row r="53" spans="1:28" x14ac:dyDescent="0.3">
      <c r="A53" s="116">
        <v>39142</v>
      </c>
      <c r="B53" s="41">
        <f>+'Purchased Power Model '!B53</f>
        <v>106781890</v>
      </c>
      <c r="C53" s="96">
        <f>+'Purchased Power Model '!C53</f>
        <v>477.9</v>
      </c>
      <c r="D53" s="96">
        <f>+'Purchased Power Model '!D53</f>
        <v>0</v>
      </c>
      <c r="E53" s="103">
        <f>+'Purchased Power Model '!E53</f>
        <v>6.2E-2</v>
      </c>
      <c r="F53" s="10">
        <f>+'Purchased Power Model '!F53</f>
        <v>31</v>
      </c>
      <c r="G53" s="10">
        <f>+'Purchased Power Model '!G53</f>
        <v>1</v>
      </c>
      <c r="H53" s="117">
        <f t="shared" si="2"/>
        <v>100816621.10322134</v>
      </c>
      <c r="I53" s="118">
        <f t="shared" si="3"/>
        <v>-5965268.896778658</v>
      </c>
      <c r="J53" s="5">
        <f t="shared" si="4"/>
        <v>-5.5864050512485386E-2</v>
      </c>
      <c r="K53"/>
      <c r="L53"/>
      <c r="M53"/>
      <c r="N53"/>
      <c r="T53" s="111"/>
      <c r="U53" s="111"/>
      <c r="V53" s="111"/>
      <c r="W53" s="111"/>
      <c r="X53" s="111"/>
      <c r="Y53" s="111"/>
      <c r="Z53" s="111"/>
      <c r="AA53" s="111"/>
      <c r="AB53" s="111"/>
    </row>
    <row r="54" spans="1:28" x14ac:dyDescent="0.3">
      <c r="A54" s="116">
        <v>39173</v>
      </c>
      <c r="B54" s="41">
        <f>+'Purchased Power Model '!B54</f>
        <v>92267850</v>
      </c>
      <c r="C54" s="96">
        <f>+'Purchased Power Model '!C54</f>
        <v>280.39999999999998</v>
      </c>
      <c r="D54" s="96">
        <f>+'Purchased Power Model '!D54</f>
        <v>0</v>
      </c>
      <c r="E54" s="103">
        <f>+'Purchased Power Model '!E54</f>
        <v>5.9000000000000004E-2</v>
      </c>
      <c r="F54" s="10">
        <f>+'Purchased Power Model '!F54</f>
        <v>30</v>
      </c>
      <c r="G54" s="10">
        <f>+'Purchased Power Model '!G54</f>
        <v>1</v>
      </c>
      <c r="H54" s="117">
        <f t="shared" si="2"/>
        <v>90340151.328779668</v>
      </c>
      <c r="I54" s="118">
        <f t="shared" si="3"/>
        <v>-1927698.6712203324</v>
      </c>
      <c r="J54" s="5">
        <f t="shared" si="4"/>
        <v>-2.0892419962319837E-2</v>
      </c>
      <c r="K54"/>
      <c r="L54"/>
      <c r="M54"/>
      <c r="N54"/>
      <c r="T54" s="111"/>
      <c r="U54" s="111"/>
      <c r="V54" s="111"/>
      <c r="W54" s="111"/>
      <c r="X54" s="111"/>
      <c r="Y54" s="111"/>
      <c r="Z54" s="111"/>
      <c r="AA54" s="111"/>
      <c r="AB54" s="111"/>
    </row>
    <row r="55" spans="1:28" x14ac:dyDescent="0.3">
      <c r="A55" s="116">
        <v>39203</v>
      </c>
      <c r="B55" s="41">
        <f>+'Purchased Power Model '!B55</f>
        <v>86029130</v>
      </c>
      <c r="C55" s="96">
        <f>+'Purchased Power Model '!C55</f>
        <v>72.8</v>
      </c>
      <c r="D55" s="96">
        <f>+'Purchased Power Model '!D55</f>
        <v>4.5</v>
      </c>
      <c r="E55" s="103">
        <f>+'Purchased Power Model '!E55</f>
        <v>5.9000000000000004E-2</v>
      </c>
      <c r="F55" s="10">
        <f>+'Purchased Power Model '!F55</f>
        <v>31</v>
      </c>
      <c r="G55" s="10">
        <f>+'Purchased Power Model '!G55</f>
        <v>1</v>
      </c>
      <c r="H55" s="117">
        <f t="shared" si="2"/>
        <v>85357006.586680621</v>
      </c>
      <c r="I55" s="118">
        <f t="shared" si="3"/>
        <v>-672123.41331937909</v>
      </c>
      <c r="J55" s="5">
        <f t="shared" si="4"/>
        <v>-7.8127421876680505E-3</v>
      </c>
      <c r="K55"/>
      <c r="L55"/>
      <c r="M55"/>
      <c r="N55"/>
      <c r="T55" s="111"/>
      <c r="U55" s="111"/>
      <c r="V55" s="111"/>
      <c r="W55" s="111"/>
      <c r="X55" s="111"/>
      <c r="Y55" s="111"/>
      <c r="Z55" s="111"/>
      <c r="AA55" s="111"/>
      <c r="AB55" s="111"/>
    </row>
    <row r="56" spans="1:28" x14ac:dyDescent="0.3">
      <c r="A56" s="116">
        <v>39234</v>
      </c>
      <c r="B56" s="41">
        <f>+'Purchased Power Model '!B56</f>
        <v>96829929.999999985</v>
      </c>
      <c r="C56" s="96">
        <f>+'Purchased Power Model '!C56</f>
        <v>6.2</v>
      </c>
      <c r="D56" s="96">
        <f>+'Purchased Power Model '!D56</f>
        <v>32.799999999999997</v>
      </c>
      <c r="E56" s="103">
        <f>+'Purchased Power Model '!E56</f>
        <v>5.9000000000000004E-2</v>
      </c>
      <c r="F56" s="10">
        <f>+'Purchased Power Model '!F56</f>
        <v>30</v>
      </c>
      <c r="G56" s="10">
        <f>+'Purchased Power Model '!G56</f>
        <v>0</v>
      </c>
      <c r="H56" s="117">
        <f t="shared" si="2"/>
        <v>90967056.847404569</v>
      </c>
      <c r="I56" s="118">
        <f t="shared" si="3"/>
        <v>-5862873.1525954157</v>
      </c>
      <c r="J56" s="5">
        <f t="shared" si="4"/>
        <v>-6.054815027332372E-2</v>
      </c>
      <c r="K56"/>
      <c r="L56"/>
      <c r="M56"/>
      <c r="N56"/>
      <c r="T56" s="111"/>
      <c r="U56" s="111"/>
      <c r="V56" s="111"/>
      <c r="W56" s="111"/>
      <c r="X56" s="111"/>
      <c r="Y56" s="111"/>
      <c r="Z56" s="111"/>
      <c r="AA56" s="111"/>
      <c r="AB56" s="111"/>
    </row>
    <row r="57" spans="1:28" x14ac:dyDescent="0.3">
      <c r="A57" s="116">
        <v>39264</v>
      </c>
      <c r="B57" s="41">
        <f>+'Purchased Power Model '!B57</f>
        <v>96919610</v>
      </c>
      <c r="C57" s="96">
        <f>+'Purchased Power Model '!C57</f>
        <v>8.6999999999999993</v>
      </c>
      <c r="D57" s="96">
        <f>+'Purchased Power Model '!D57</f>
        <v>41.6</v>
      </c>
      <c r="E57" s="103">
        <f>+'Purchased Power Model '!E57</f>
        <v>6.4000000000000001E-2</v>
      </c>
      <c r="F57" s="10">
        <f>+'Purchased Power Model '!F57</f>
        <v>31</v>
      </c>
      <c r="G57" s="10">
        <f>+'Purchased Power Model '!G57</f>
        <v>0</v>
      </c>
      <c r="H57" s="117">
        <f t="shared" si="2"/>
        <v>94539755.258482009</v>
      </c>
      <c r="I57" s="118">
        <f t="shared" si="3"/>
        <v>-2379854.7415179908</v>
      </c>
      <c r="J57" s="5">
        <f t="shared" si="4"/>
        <v>-2.4554935183065542E-2</v>
      </c>
      <c r="K57"/>
      <c r="L57"/>
      <c r="M57"/>
      <c r="N57"/>
      <c r="T57" s="111"/>
      <c r="U57" s="111"/>
      <c r="V57" s="111"/>
      <c r="W57" s="111"/>
      <c r="X57" s="111"/>
      <c r="Y57" s="111"/>
      <c r="Z57" s="111"/>
      <c r="AA57" s="111"/>
      <c r="AB57" s="111"/>
    </row>
    <row r="58" spans="1:28" x14ac:dyDescent="0.3">
      <c r="A58" s="116">
        <v>39295</v>
      </c>
      <c r="B58" s="41">
        <f>+'Purchased Power Model '!B58</f>
        <v>103644560</v>
      </c>
      <c r="C58" s="96">
        <f>+'Purchased Power Model '!C58</f>
        <v>4</v>
      </c>
      <c r="D58" s="96">
        <f>+'Purchased Power Model '!D58</f>
        <v>87.8</v>
      </c>
      <c r="E58" s="103">
        <f>+'Purchased Power Model '!E58</f>
        <v>6.4000000000000001E-2</v>
      </c>
      <c r="F58" s="10">
        <f>+'Purchased Power Model '!F58</f>
        <v>31</v>
      </c>
      <c r="G58" s="10">
        <f>+'Purchased Power Model '!G58</f>
        <v>0</v>
      </c>
      <c r="H58" s="117">
        <f t="shared" si="2"/>
        <v>101011364.14725512</v>
      </c>
      <c r="I58" s="118">
        <f t="shared" si="3"/>
        <v>-2633195.8527448773</v>
      </c>
      <c r="J58" s="5">
        <f t="shared" si="4"/>
        <v>-2.5406020853818833E-2</v>
      </c>
      <c r="K58"/>
      <c r="L58"/>
      <c r="M58"/>
      <c r="N58"/>
      <c r="T58" s="111"/>
      <c r="U58" s="111"/>
      <c r="V58" s="111"/>
      <c r="W58" s="111"/>
      <c r="X58" s="111"/>
      <c r="Y58" s="111"/>
      <c r="Z58" s="111"/>
      <c r="AA58" s="111"/>
      <c r="AB58" s="111"/>
    </row>
    <row r="59" spans="1:28" x14ac:dyDescent="0.3">
      <c r="A59" s="116">
        <v>39326</v>
      </c>
      <c r="B59" s="41">
        <f>+'Purchased Power Model '!B59</f>
        <v>87760000</v>
      </c>
      <c r="C59" s="96">
        <f>+'Purchased Power Model '!C59</f>
        <v>20.100000000000001</v>
      </c>
      <c r="D59" s="96">
        <f>+'Purchased Power Model '!D59</f>
        <v>12.3</v>
      </c>
      <c r="E59" s="103">
        <f>+'Purchased Power Model '!E59</f>
        <v>6.4000000000000001E-2</v>
      </c>
      <c r="F59" s="10">
        <f>+'Purchased Power Model '!F59</f>
        <v>30</v>
      </c>
      <c r="G59" s="10">
        <f>+'Purchased Power Model '!G59</f>
        <v>1</v>
      </c>
      <c r="H59" s="117">
        <f t="shared" si="2"/>
        <v>80920916.543747038</v>
      </c>
      <c r="I59" s="118">
        <f t="shared" si="3"/>
        <v>-6839083.4562529624</v>
      </c>
      <c r="J59" s="5">
        <f t="shared" si="4"/>
        <v>-7.7929392163319997E-2</v>
      </c>
      <c r="K59"/>
      <c r="L59"/>
      <c r="M59"/>
      <c r="N59"/>
      <c r="T59" s="111"/>
      <c r="U59" s="111"/>
      <c r="V59" s="111"/>
      <c r="W59" s="111"/>
      <c r="X59" s="111"/>
      <c r="Y59" s="111"/>
      <c r="Z59" s="111"/>
      <c r="AA59" s="111"/>
      <c r="AB59" s="111"/>
    </row>
    <row r="60" spans="1:28" x14ac:dyDescent="0.3">
      <c r="A60" s="116">
        <v>39356</v>
      </c>
      <c r="B60" s="41">
        <f>+'Purchased Power Model '!B60</f>
        <v>88883380</v>
      </c>
      <c r="C60" s="96">
        <f>+'Purchased Power Model '!C60</f>
        <v>101.5</v>
      </c>
      <c r="D60" s="96">
        <f>+'Purchased Power Model '!D60</f>
        <v>0</v>
      </c>
      <c r="E60" s="103">
        <f>+'Purchased Power Model '!E60</f>
        <v>6.0999999999999999E-2</v>
      </c>
      <c r="F60" s="10">
        <f>+'Purchased Power Model '!F60</f>
        <v>31</v>
      </c>
      <c r="G60" s="10">
        <f>+'Purchased Power Model '!G60</f>
        <v>1</v>
      </c>
      <c r="H60" s="117">
        <f t="shared" si="2"/>
        <v>85631927.385206059</v>
      </c>
      <c r="I60" s="118">
        <f t="shared" si="3"/>
        <v>-3251452.6147939414</v>
      </c>
      <c r="J60" s="5">
        <f t="shared" si="4"/>
        <v>-3.6581109030664014E-2</v>
      </c>
      <c r="K60"/>
      <c r="L60"/>
      <c r="M60"/>
      <c r="N60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28" x14ac:dyDescent="0.3">
      <c r="A61" s="116">
        <v>39387</v>
      </c>
      <c r="B61" s="41">
        <f>+'Purchased Power Model '!B61</f>
        <v>97788230</v>
      </c>
      <c r="C61" s="96">
        <f>+'Purchased Power Model '!C61</f>
        <v>314.10000000000002</v>
      </c>
      <c r="D61" s="96">
        <f>+'Purchased Power Model '!D61</f>
        <v>0</v>
      </c>
      <c r="E61" s="103">
        <f>+'Purchased Power Model '!E61</f>
        <v>6.0999999999999999E-2</v>
      </c>
      <c r="F61" s="10">
        <f>+'Purchased Power Model '!F61</f>
        <v>30</v>
      </c>
      <c r="G61" s="10">
        <f>+'Purchased Power Model '!G61</f>
        <v>1</v>
      </c>
      <c r="H61" s="117">
        <f t="shared" si="2"/>
        <v>91467364.555445999</v>
      </c>
      <c r="I61" s="118">
        <f t="shared" si="3"/>
        <v>-6320865.4445540011</v>
      </c>
      <c r="J61" s="5">
        <f t="shared" si="4"/>
        <v>-6.463830508593929E-2</v>
      </c>
      <c r="K61"/>
      <c r="L61"/>
      <c r="M61"/>
      <c r="N61"/>
      <c r="T61" s="111"/>
      <c r="U61" s="111"/>
      <c r="V61" s="111"/>
      <c r="W61" s="111"/>
      <c r="X61" s="111"/>
      <c r="Y61" s="111"/>
      <c r="Z61" s="111"/>
      <c r="AA61" s="111"/>
      <c r="AB61" s="111"/>
    </row>
    <row r="62" spans="1:28" x14ac:dyDescent="0.3">
      <c r="A62" s="116">
        <v>39417</v>
      </c>
      <c r="B62" s="41">
        <f>+'Purchased Power Model '!B62</f>
        <v>112852450</v>
      </c>
      <c r="C62" s="96">
        <f>+'Purchased Power Model '!C62</f>
        <v>337.8</v>
      </c>
      <c r="D62" s="96">
        <f>+'Purchased Power Model '!D62</f>
        <v>0</v>
      </c>
      <c r="E62" s="103">
        <f>+'Purchased Power Model '!E62</f>
        <v>6.0999999999999999E-2</v>
      </c>
      <c r="F62" s="10">
        <f>+'Purchased Power Model '!F62</f>
        <v>31</v>
      </c>
      <c r="G62" s="10">
        <f>+'Purchased Power Model '!G62</f>
        <v>0</v>
      </c>
      <c r="H62" s="117">
        <f t="shared" si="2"/>
        <v>102288043.17046086</v>
      </c>
      <c r="I62" s="118">
        <f t="shared" si="3"/>
        <v>-10564406.829539135</v>
      </c>
      <c r="J62" s="5">
        <f t="shared" si="4"/>
        <v>-9.3612560733410177E-2</v>
      </c>
      <c r="K62"/>
      <c r="L62"/>
      <c r="M62"/>
      <c r="N62"/>
      <c r="T62" s="111"/>
      <c r="U62" s="111"/>
      <c r="V62" s="111"/>
      <c r="W62" s="111"/>
      <c r="X62" s="111"/>
      <c r="Y62" s="111"/>
      <c r="Z62" s="111"/>
      <c r="AA62" s="111"/>
      <c r="AB62" s="111"/>
    </row>
    <row r="63" spans="1:28" x14ac:dyDescent="0.3">
      <c r="A63" s="116">
        <v>39448</v>
      </c>
      <c r="B63" s="41">
        <f>+'Purchased Power Model '!B63</f>
        <v>111423480</v>
      </c>
      <c r="C63" s="96">
        <f>+'Purchased Power Model '!C63</f>
        <v>432.8</v>
      </c>
      <c r="D63" s="96">
        <f>+'Purchased Power Model '!D63</f>
        <v>0</v>
      </c>
      <c r="E63" s="103">
        <f>+'Purchased Power Model '!E63</f>
        <v>6.6000000000000003E-2</v>
      </c>
      <c r="F63" s="10">
        <f>+'Purchased Power Model '!F63</f>
        <v>31</v>
      </c>
      <c r="G63" s="10">
        <f>+'Purchased Power Model '!G63</f>
        <v>0</v>
      </c>
      <c r="H63" s="117">
        <f t="shared" si="2"/>
        <v>105543224.57915238</v>
      </c>
      <c r="I63" s="118">
        <f t="shared" si="3"/>
        <v>-5880255.4208476245</v>
      </c>
      <c r="J63" s="5">
        <f t="shared" si="4"/>
        <v>-5.2773934370454273E-2</v>
      </c>
      <c r="K63"/>
      <c r="L63"/>
      <c r="M63"/>
      <c r="N63"/>
      <c r="T63" s="111"/>
      <c r="U63" s="111"/>
      <c r="V63" s="111"/>
      <c r="W63" s="111"/>
      <c r="X63" s="111"/>
      <c r="Y63" s="111"/>
      <c r="Z63" s="111"/>
      <c r="AA63" s="111"/>
      <c r="AB63" s="111"/>
    </row>
    <row r="64" spans="1:28" x14ac:dyDescent="0.3">
      <c r="A64" s="116">
        <v>39479</v>
      </c>
      <c r="B64" s="41">
        <f>+'Purchased Power Model '!B64</f>
        <v>106527560</v>
      </c>
      <c r="C64" s="96">
        <f>+'Purchased Power Model '!C64</f>
        <v>317.60000000000002</v>
      </c>
      <c r="D64" s="96">
        <f>+'Purchased Power Model '!D64</f>
        <v>0</v>
      </c>
      <c r="E64" s="103">
        <f>+'Purchased Power Model '!E64</f>
        <v>6.6000000000000003E-2</v>
      </c>
      <c r="F64" s="10">
        <f>+'Purchased Power Model '!F64</f>
        <v>29</v>
      </c>
      <c r="G64" s="10">
        <f>+'Purchased Power Model '!G64</f>
        <v>0</v>
      </c>
      <c r="H64" s="117">
        <f t="shared" si="2"/>
        <v>95238753.428406522</v>
      </c>
      <c r="I64" s="118">
        <f t="shared" si="3"/>
        <v>-11288806.571593478</v>
      </c>
      <c r="J64" s="5">
        <f t="shared" si="4"/>
        <v>-0.10597076072702198</v>
      </c>
      <c r="K64"/>
      <c r="L64"/>
      <c r="M64"/>
      <c r="N64"/>
      <c r="T64" s="111"/>
      <c r="U64" s="111"/>
      <c r="V64" s="111"/>
      <c r="W64" s="111"/>
      <c r="X64" s="111"/>
      <c r="Y64" s="111"/>
      <c r="Z64" s="111"/>
      <c r="AA64" s="111"/>
      <c r="AB64" s="111"/>
    </row>
    <row r="65" spans="1:28" x14ac:dyDescent="0.3">
      <c r="A65" s="116">
        <v>39508</v>
      </c>
      <c r="B65" s="41">
        <f>+'Purchased Power Model '!B65</f>
        <v>105633899.99999999</v>
      </c>
      <c r="C65" s="96">
        <f>+'Purchased Power Model '!C65</f>
        <v>430</v>
      </c>
      <c r="D65" s="96">
        <f>+'Purchased Power Model '!D65</f>
        <v>0</v>
      </c>
      <c r="E65" s="103">
        <f>+'Purchased Power Model '!E65</f>
        <v>6.6000000000000003E-2</v>
      </c>
      <c r="F65" s="10">
        <f>+'Purchased Power Model '!F65</f>
        <v>31</v>
      </c>
      <c r="G65" s="10">
        <f>+'Purchased Power Model '!G65</f>
        <v>1</v>
      </c>
      <c r="H65" s="117">
        <f t="shared" si="2"/>
        <v>98382377.432315797</v>
      </c>
      <c r="I65" s="118">
        <f t="shared" si="3"/>
        <v>-7251522.5676841885</v>
      </c>
      <c r="J65" s="5">
        <f t="shared" si="4"/>
        <v>-6.8647683818207877E-2</v>
      </c>
      <c r="K65"/>
      <c r="L65"/>
      <c r="M65"/>
      <c r="N65"/>
      <c r="T65" s="111"/>
      <c r="U65" s="111"/>
      <c r="V65" s="111"/>
      <c r="W65" s="111"/>
      <c r="X65" s="111"/>
      <c r="Y65" s="111"/>
      <c r="Z65" s="111"/>
      <c r="AA65" s="111"/>
      <c r="AB65" s="111"/>
    </row>
    <row r="66" spans="1:28" x14ac:dyDescent="0.3">
      <c r="A66" s="116">
        <v>39539</v>
      </c>
      <c r="B66" s="41">
        <f>+'Purchased Power Model '!B66</f>
        <v>86147429.999999985</v>
      </c>
      <c r="C66" s="96">
        <f>+'Purchased Power Model '!C66</f>
        <v>144.6</v>
      </c>
      <c r="D66" s="96">
        <f>+'Purchased Power Model '!D66</f>
        <v>0</v>
      </c>
      <c r="E66" s="103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17">
        <f t="shared" si="2"/>
        <v>82993879.524676964</v>
      </c>
      <c r="I66" s="118">
        <f t="shared" si="3"/>
        <v>-3153550.4753230214</v>
      </c>
      <c r="J66" s="5">
        <f t="shared" si="4"/>
        <v>-3.6606437073317476E-2</v>
      </c>
      <c r="K66"/>
      <c r="L66"/>
      <c r="M66"/>
      <c r="N66"/>
      <c r="T66" s="111"/>
      <c r="U66" s="111"/>
      <c r="V66" s="111"/>
      <c r="W66" s="111"/>
      <c r="X66" s="111"/>
      <c r="Y66" s="111"/>
      <c r="Z66" s="111"/>
      <c r="AA66" s="111"/>
      <c r="AB66" s="111"/>
    </row>
    <row r="67" spans="1:28" x14ac:dyDescent="0.3">
      <c r="A67" s="116">
        <v>39569</v>
      </c>
      <c r="B67" s="41">
        <f>+'Purchased Power Model '!B67</f>
        <v>82776310</v>
      </c>
      <c r="C67" s="96">
        <f>+'Purchased Power Model '!C67</f>
        <v>151</v>
      </c>
      <c r="D67" s="96">
        <f>+'Purchased Power Model '!D67</f>
        <v>0</v>
      </c>
      <c r="E67" s="103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17">
        <f t="shared" si="2"/>
        <v>86064069.043146178</v>
      </c>
      <c r="I67" s="118">
        <f t="shared" si="3"/>
        <v>3287759.0431461781</v>
      </c>
      <c r="J67" s="5">
        <f t="shared" si="4"/>
        <v>3.9718598753027023E-2</v>
      </c>
      <c r="K67"/>
      <c r="L67"/>
      <c r="M67"/>
      <c r="N67"/>
      <c r="T67" s="111"/>
      <c r="U67" s="111"/>
      <c r="V67" s="111"/>
      <c r="W67" s="111"/>
      <c r="X67" s="111"/>
      <c r="Y67" s="111"/>
      <c r="Z67" s="111"/>
      <c r="AA67" s="111"/>
      <c r="AB67" s="111"/>
    </row>
    <row r="68" spans="1:28" x14ac:dyDescent="0.3">
      <c r="A68" s="116">
        <v>39600</v>
      </c>
      <c r="B68" s="41">
        <f>+'Purchased Power Model '!B68</f>
        <v>90692793</v>
      </c>
      <c r="C68" s="96">
        <f>+'Purchased Power Model '!C68</f>
        <v>15.5</v>
      </c>
      <c r="D68" s="96">
        <f>+'Purchased Power Model '!D68</f>
        <v>23.6</v>
      </c>
      <c r="E68" s="103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17">
        <f t="shared" ref="H68:H131" si="5">$M$18+C68*$M$19+D68*$M$20+E68*$M$21+F68*$M$22+G68*$M$23</f>
        <v>88194492.795564666</v>
      </c>
      <c r="I68" s="118">
        <f t="shared" ref="I68:I131" si="6">H68-B68</f>
        <v>-2498300.2044353336</v>
      </c>
      <c r="J68" s="5">
        <f t="shared" ref="J68:J131" si="7">I68/B68</f>
        <v>-2.7546843820713887E-2</v>
      </c>
      <c r="K68"/>
      <c r="L68"/>
      <c r="M68"/>
      <c r="N68"/>
      <c r="T68" s="111"/>
      <c r="U68" s="111"/>
      <c r="V68" s="111"/>
      <c r="W68" s="111"/>
      <c r="X68" s="111"/>
      <c r="Y68" s="111"/>
      <c r="Z68" s="111"/>
      <c r="AA68" s="111"/>
      <c r="AB68" s="111"/>
    </row>
    <row r="69" spans="1:28" x14ac:dyDescent="0.3">
      <c r="A69" s="116">
        <v>39630</v>
      </c>
      <c r="B69" s="41">
        <f>+'Purchased Power Model '!B69</f>
        <v>98868440</v>
      </c>
      <c r="C69" s="96">
        <f>+'Purchased Power Model '!C69</f>
        <v>1</v>
      </c>
      <c r="D69" s="96">
        <f>+'Purchased Power Model '!D69</f>
        <v>61.4</v>
      </c>
      <c r="E69" s="103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17">
        <f t="shared" si="5"/>
        <v>96595700.580686375</v>
      </c>
      <c r="I69" s="118">
        <f t="shared" si="6"/>
        <v>-2272739.4193136245</v>
      </c>
      <c r="J69" s="5">
        <f t="shared" si="7"/>
        <v>-2.2987511680305914E-2</v>
      </c>
      <c r="K69"/>
      <c r="L69"/>
      <c r="M69"/>
      <c r="N69"/>
      <c r="T69" s="111"/>
      <c r="U69" s="111"/>
      <c r="V69" s="111"/>
      <c r="W69" s="111"/>
      <c r="X69" s="111"/>
      <c r="Y69" s="111"/>
      <c r="Z69" s="111"/>
      <c r="AA69" s="111"/>
      <c r="AB69" s="111"/>
    </row>
    <row r="70" spans="1:28" x14ac:dyDescent="0.3">
      <c r="A70" s="116">
        <v>39661</v>
      </c>
      <c r="B70" s="41">
        <f>+'Purchased Power Model '!B70</f>
        <v>93432320</v>
      </c>
      <c r="C70" s="96">
        <f>+'Purchased Power Model '!C70</f>
        <v>13.8</v>
      </c>
      <c r="D70" s="96">
        <f>+'Purchased Power Model '!D70</f>
        <v>29.9</v>
      </c>
      <c r="E70" s="103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17">
        <f t="shared" si="5"/>
        <v>92573438.76963757</v>
      </c>
      <c r="I70" s="118">
        <f t="shared" si="6"/>
        <v>-858881.23036243021</v>
      </c>
      <c r="J70" s="5">
        <f t="shared" si="7"/>
        <v>-9.1925495413410496E-3</v>
      </c>
      <c r="K70"/>
      <c r="L70"/>
      <c r="M70"/>
      <c r="N70"/>
      <c r="T70" s="111"/>
      <c r="U70" s="111"/>
      <c r="V70" s="111"/>
      <c r="W70" s="111"/>
      <c r="X70" s="111"/>
      <c r="Y70" s="111"/>
      <c r="Z70" s="111"/>
      <c r="AA70" s="111"/>
      <c r="AB70" s="111"/>
    </row>
    <row r="71" spans="1:28" x14ac:dyDescent="0.3">
      <c r="A71" s="116">
        <v>39692</v>
      </c>
      <c r="B71" s="41">
        <f>+'Purchased Power Model '!B71</f>
        <v>86855072</v>
      </c>
      <c r="C71" s="96">
        <f>+'Purchased Power Model '!C71</f>
        <v>51.6</v>
      </c>
      <c r="D71" s="96">
        <f>+'Purchased Power Model '!D71</f>
        <v>15.1</v>
      </c>
      <c r="E71" s="103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17">
        <f t="shared" si="5"/>
        <v>82119272.932881936</v>
      </c>
      <c r="I71" s="118">
        <f t="shared" si="6"/>
        <v>-4735799.0671180636</v>
      </c>
      <c r="J71" s="5">
        <f t="shared" si="7"/>
        <v>-5.45253024154774E-2</v>
      </c>
      <c r="K71"/>
      <c r="L71"/>
      <c r="M71"/>
      <c r="N71"/>
      <c r="T71" s="111"/>
      <c r="U71" s="111"/>
      <c r="V71" s="111"/>
      <c r="W71" s="111"/>
      <c r="X71" s="111"/>
      <c r="Y71" s="111"/>
      <c r="Z71" s="111"/>
      <c r="AA71" s="111"/>
      <c r="AB71" s="111"/>
    </row>
    <row r="72" spans="1:28" x14ac:dyDescent="0.3">
      <c r="A72" s="116">
        <v>39722</v>
      </c>
      <c r="B72" s="41">
        <f>+'Purchased Power Model '!B72</f>
        <v>88294618</v>
      </c>
      <c r="C72" s="96">
        <f>+'Purchased Power Model '!C72</f>
        <v>203.1</v>
      </c>
      <c r="D72" s="96">
        <f>+'Purchased Power Model '!D72</f>
        <v>0</v>
      </c>
      <c r="E72" s="103">
        <f>+'Purchased Power Model '!E72</f>
        <v>0.08</v>
      </c>
      <c r="F72" s="10">
        <f>+'Purchased Power Model '!F72</f>
        <v>31</v>
      </c>
      <c r="G72" s="10">
        <f>+'Purchased Power Model '!G72</f>
        <v>1</v>
      </c>
      <c r="H72" s="117">
        <f t="shared" si="5"/>
        <v>87453125.582749069</v>
      </c>
      <c r="I72" s="118">
        <f t="shared" si="6"/>
        <v>-841492.41725093126</v>
      </c>
      <c r="J72" s="5">
        <f t="shared" si="7"/>
        <v>-9.5305063469545929E-3</v>
      </c>
      <c r="K72"/>
      <c r="L72"/>
      <c r="M72"/>
      <c r="N72"/>
      <c r="T72" s="111"/>
      <c r="U72" s="111"/>
      <c r="V72" s="111"/>
      <c r="W72" s="111"/>
      <c r="X72" s="111"/>
      <c r="Y72" s="111"/>
      <c r="Z72" s="111"/>
      <c r="AA72" s="111"/>
      <c r="AB72" s="111"/>
    </row>
    <row r="73" spans="1:28" x14ac:dyDescent="0.3">
      <c r="A73" s="116">
        <v>39753</v>
      </c>
      <c r="B73" s="41">
        <f>+'Purchased Power Model '!B73</f>
        <v>95870835</v>
      </c>
      <c r="C73" s="96">
        <f>+'Purchased Power Model '!C73</f>
        <v>268.8</v>
      </c>
      <c r="D73" s="96">
        <f>+'Purchased Power Model '!D73</f>
        <v>0</v>
      </c>
      <c r="E73" s="103">
        <f>+'Purchased Power Model '!E73</f>
        <v>0.08</v>
      </c>
      <c r="F73" s="10">
        <f>+'Purchased Power Model '!F73</f>
        <v>30</v>
      </c>
      <c r="G73" s="10">
        <f>+'Purchased Power Model '!G73</f>
        <v>1</v>
      </c>
      <c r="H73" s="117">
        <f t="shared" si="5"/>
        <v>87314879.828005552</v>
      </c>
      <c r="I73" s="118">
        <f t="shared" si="6"/>
        <v>-8555955.1719944477</v>
      </c>
      <c r="J73" s="5">
        <f t="shared" si="7"/>
        <v>-8.9244608873954703E-2</v>
      </c>
      <c r="K73"/>
      <c r="L73"/>
      <c r="M73"/>
      <c r="N73"/>
      <c r="T73" s="111"/>
      <c r="U73" s="111"/>
      <c r="V73" s="111"/>
      <c r="W73" s="111"/>
      <c r="X73" s="111"/>
      <c r="Y73" s="111"/>
      <c r="Z73" s="111"/>
      <c r="AA73" s="111"/>
      <c r="AB73" s="111"/>
    </row>
    <row r="74" spans="1:28" x14ac:dyDescent="0.3">
      <c r="A74" s="116">
        <v>39783</v>
      </c>
      <c r="B74" s="41">
        <f>+'Purchased Power Model '!B74</f>
        <v>112359168</v>
      </c>
      <c r="C74" s="96">
        <f>+'Purchased Power Model '!C74</f>
        <v>378.9</v>
      </c>
      <c r="D74" s="96">
        <f>+'Purchased Power Model '!D74</f>
        <v>0</v>
      </c>
      <c r="E74" s="103">
        <f>+'Purchased Power Model '!E74</f>
        <v>0.08</v>
      </c>
      <c r="F74" s="10">
        <f>+'Purchased Power Model '!F74</f>
        <v>31</v>
      </c>
      <c r="G74" s="10">
        <f>+'Purchased Power Model '!G74</f>
        <v>0</v>
      </c>
      <c r="H74" s="117">
        <f t="shared" si="5"/>
        <v>101649011.16404541</v>
      </c>
      <c r="I74" s="118">
        <f t="shared" si="6"/>
        <v>-10710156.835954592</v>
      </c>
      <c r="J74" s="5">
        <f t="shared" si="7"/>
        <v>-9.5320720387984642E-2</v>
      </c>
      <c r="K74"/>
      <c r="L74"/>
      <c r="M74"/>
      <c r="N74"/>
      <c r="T74" s="111"/>
      <c r="U74" s="111"/>
      <c r="V74" s="111"/>
      <c r="W74" s="111"/>
      <c r="X74" s="111"/>
      <c r="Y74" s="111"/>
      <c r="Z74" s="111"/>
      <c r="AA74" s="111"/>
      <c r="AB74" s="111"/>
    </row>
    <row r="75" spans="1:28" x14ac:dyDescent="0.3">
      <c r="A75" s="116">
        <v>39814</v>
      </c>
      <c r="B75" s="41">
        <f>+'Purchased Power Model '!B75</f>
        <v>119321706</v>
      </c>
      <c r="C75" s="96">
        <f>+'Purchased Power Model '!C75</f>
        <v>684.3</v>
      </c>
      <c r="D75" s="96">
        <f>+'Purchased Power Model '!D75</f>
        <v>0</v>
      </c>
      <c r="E75" s="103">
        <f>+'Purchased Power Model '!E75</f>
        <v>8.3000000000000004E-2</v>
      </c>
      <c r="F75" s="10">
        <f>+'Purchased Power Model '!F75</f>
        <v>31</v>
      </c>
      <c r="G75" s="10">
        <f>+'Purchased Power Model '!G75</f>
        <v>0</v>
      </c>
      <c r="H75" s="117">
        <f t="shared" si="5"/>
        <v>113703296.58220714</v>
      </c>
      <c r="I75" s="118">
        <f t="shared" si="6"/>
        <v>-5618409.4177928567</v>
      </c>
      <c r="J75" s="5">
        <f t="shared" si="7"/>
        <v>-4.7086231048296082E-2</v>
      </c>
      <c r="K75"/>
      <c r="L75"/>
      <c r="M75"/>
      <c r="N75"/>
      <c r="T75" s="120"/>
      <c r="U75" s="120"/>
      <c r="V75" s="120"/>
      <c r="W75" s="120"/>
      <c r="X75" s="120"/>
      <c r="Y75" s="120"/>
      <c r="Z75" s="120"/>
      <c r="AA75" s="120"/>
      <c r="AB75" s="120"/>
    </row>
    <row r="76" spans="1:28" x14ac:dyDescent="0.3">
      <c r="A76" s="116">
        <v>39845</v>
      </c>
      <c r="B76" s="41">
        <f>+'Purchased Power Model '!B76</f>
        <v>99385016</v>
      </c>
      <c r="C76" s="96">
        <f>+'Purchased Power Model '!C76</f>
        <v>595.29999999999995</v>
      </c>
      <c r="D76" s="96">
        <f>+'Purchased Power Model '!D76</f>
        <v>0</v>
      </c>
      <c r="E76" s="103">
        <f>+'Purchased Power Model '!E76</f>
        <v>8.3000000000000004E-2</v>
      </c>
      <c r="F76" s="10">
        <f>+'Purchased Power Model '!F76</f>
        <v>28</v>
      </c>
      <c r="G76" s="10">
        <f>+'Purchased Power Model '!G76</f>
        <v>0</v>
      </c>
      <c r="H76" s="117">
        <f t="shared" si="5"/>
        <v>101654313.67578623</v>
      </c>
      <c r="I76" s="118">
        <f t="shared" si="6"/>
        <v>2269297.675786227</v>
      </c>
      <c r="J76" s="5">
        <f t="shared" si="7"/>
        <v>2.2833398505326265E-2</v>
      </c>
      <c r="K76"/>
      <c r="L76"/>
      <c r="M76"/>
      <c r="N76"/>
      <c r="T76" s="111"/>
      <c r="U76" s="111"/>
      <c r="V76" s="111"/>
      <c r="W76" s="111"/>
      <c r="X76" s="111"/>
      <c r="Y76" s="111"/>
      <c r="Z76" s="111"/>
      <c r="AA76" s="111"/>
      <c r="AB76" s="111"/>
    </row>
    <row r="77" spans="1:28" x14ac:dyDescent="0.3">
      <c r="A77" s="116">
        <v>39873</v>
      </c>
      <c r="B77" s="41">
        <f>+'Purchased Power Model '!B77</f>
        <v>100852310</v>
      </c>
      <c r="C77" s="96">
        <f>+'Purchased Power Model '!C77</f>
        <v>442.2</v>
      </c>
      <c r="D77" s="96">
        <f>+'Purchased Power Model '!D77</f>
        <v>0</v>
      </c>
      <c r="E77" s="103">
        <f>+'Purchased Power Model '!E77</f>
        <v>8.3000000000000004E-2</v>
      </c>
      <c r="F77" s="10">
        <f>+'Purchased Power Model '!F77</f>
        <v>31</v>
      </c>
      <c r="G77" s="10">
        <f>+'Purchased Power Model '!G77</f>
        <v>1</v>
      </c>
      <c r="H77" s="117">
        <f t="shared" si="5"/>
        <v>96811324.017068729</v>
      </c>
      <c r="I77" s="118">
        <f t="shared" si="6"/>
        <v>-4040985.9829312712</v>
      </c>
      <c r="J77" s="5">
        <f t="shared" si="7"/>
        <v>-4.0068353247746838E-2</v>
      </c>
      <c r="K77"/>
      <c r="L77"/>
      <c r="M77"/>
      <c r="N77"/>
      <c r="T77" s="111"/>
      <c r="U77" s="111"/>
      <c r="V77" s="111"/>
      <c r="W77" s="111"/>
      <c r="X77" s="111"/>
      <c r="Y77" s="111"/>
      <c r="Z77" s="111"/>
      <c r="AA77" s="111"/>
      <c r="AB77" s="111"/>
    </row>
    <row r="78" spans="1:28" x14ac:dyDescent="0.3">
      <c r="A78" s="116">
        <v>39904</v>
      </c>
      <c r="B78" s="41">
        <f>+'Purchased Power Model '!B78</f>
        <v>86741668</v>
      </c>
      <c r="C78" s="96">
        <f>+'Purchased Power Model '!C78</f>
        <v>313.8</v>
      </c>
      <c r="D78" s="96">
        <f>+'Purchased Power Model '!D78</f>
        <v>0</v>
      </c>
      <c r="E78" s="103">
        <f>+'Purchased Power Model '!E78</f>
        <v>8.8000000000000009E-2</v>
      </c>
      <c r="F78" s="10">
        <f>+'Purchased Power Model '!F78</f>
        <v>30</v>
      </c>
      <c r="G78" s="10">
        <f>+'Purchased Power Model '!G78</f>
        <v>1</v>
      </c>
      <c r="H78" s="117">
        <f t="shared" si="5"/>
        <v>88172019.142679647</v>
      </c>
      <c r="I78" s="118">
        <f t="shared" si="6"/>
        <v>1430351.1426796466</v>
      </c>
      <c r="J78" s="5">
        <f t="shared" si="7"/>
        <v>1.6489781389489151E-2</v>
      </c>
      <c r="K78"/>
      <c r="L78"/>
      <c r="M78"/>
      <c r="N78"/>
      <c r="T78" s="111"/>
      <c r="U78" s="111"/>
      <c r="V78" s="111"/>
      <c r="W78" s="111"/>
      <c r="X78" s="111"/>
      <c r="Y78" s="111"/>
      <c r="Z78" s="111"/>
      <c r="AA78" s="111"/>
      <c r="AB78" s="111"/>
    </row>
    <row r="79" spans="1:28" x14ac:dyDescent="0.3">
      <c r="A79" s="116">
        <v>39934</v>
      </c>
      <c r="B79" s="41">
        <f>+'Purchased Power Model '!B79</f>
        <v>80591893.384615391</v>
      </c>
      <c r="C79" s="96">
        <f>+'Purchased Power Model '!C79</f>
        <v>170.1</v>
      </c>
      <c r="D79" s="96">
        <f>+'Purchased Power Model '!D79</f>
        <v>0</v>
      </c>
      <c r="E79" s="103">
        <f>+'Purchased Power Model '!E79</f>
        <v>8.8000000000000009E-2</v>
      </c>
      <c r="F79" s="10">
        <f>+'Purchased Power Model '!F79</f>
        <v>31</v>
      </c>
      <c r="G79" s="10">
        <f>+'Purchased Power Model '!G79</f>
        <v>1</v>
      </c>
      <c r="H79" s="117">
        <f t="shared" si="5"/>
        <v>85138397.857608929</v>
      </c>
      <c r="I79" s="118">
        <f t="shared" si="6"/>
        <v>4546504.4729935378</v>
      </c>
      <c r="J79" s="5">
        <f t="shared" si="7"/>
        <v>5.6413918100867495E-2</v>
      </c>
      <c r="K79"/>
      <c r="L79"/>
      <c r="M79"/>
      <c r="N79"/>
      <c r="T79" s="111"/>
      <c r="U79" s="111"/>
      <c r="V79" s="111"/>
      <c r="W79" s="111"/>
      <c r="X79" s="111"/>
      <c r="Y79" s="111"/>
      <c r="Z79" s="111"/>
      <c r="AA79" s="111"/>
      <c r="AB79" s="111"/>
    </row>
    <row r="80" spans="1:28" x14ac:dyDescent="0.3">
      <c r="A80" s="116">
        <v>39965</v>
      </c>
      <c r="B80" s="41">
        <f>+'Purchased Power Model '!B80</f>
        <v>84198050.923076928</v>
      </c>
      <c r="C80" s="96">
        <f>+'Purchased Power Model '!C80</f>
        <v>57.9</v>
      </c>
      <c r="D80" s="96">
        <f>+'Purchased Power Model '!D80</f>
        <v>26.3</v>
      </c>
      <c r="E80" s="103">
        <f>+'Purchased Power Model '!E80</f>
        <v>8.8000000000000009E-2</v>
      </c>
      <c r="F80" s="10">
        <f>+'Purchased Power Model '!F80</f>
        <v>30</v>
      </c>
      <c r="G80" s="10">
        <f>+'Purchased Power Model '!G80</f>
        <v>0</v>
      </c>
      <c r="H80" s="117">
        <f t="shared" si="5"/>
        <v>88605695.796504632</v>
      </c>
      <c r="I80" s="118">
        <f t="shared" si="6"/>
        <v>4407644.873427704</v>
      </c>
      <c r="J80" s="5">
        <f t="shared" si="7"/>
        <v>5.2348538061225601E-2</v>
      </c>
      <c r="K80"/>
      <c r="L80"/>
      <c r="M80"/>
      <c r="N80"/>
      <c r="T80" s="111"/>
      <c r="U80" s="111"/>
      <c r="V80" s="111"/>
      <c r="W80" s="111"/>
      <c r="X80" s="111"/>
      <c r="Y80" s="111"/>
      <c r="Z80" s="111"/>
      <c r="AA80" s="111"/>
      <c r="AB80" s="111"/>
    </row>
    <row r="81" spans="1:28" x14ac:dyDescent="0.3">
      <c r="A81" s="116">
        <v>39995</v>
      </c>
      <c r="B81" s="41">
        <f>+'Purchased Power Model '!B81</f>
        <v>87831701.059230775</v>
      </c>
      <c r="C81" s="96">
        <f>+'Purchased Power Model '!C81</f>
        <v>16.8</v>
      </c>
      <c r="D81" s="96">
        <f>+'Purchased Power Model '!D81</f>
        <v>25.6</v>
      </c>
      <c r="E81" s="103">
        <f>+'Purchased Power Model '!E81</f>
        <v>9.5000000000000001E-2</v>
      </c>
      <c r="F81" s="10">
        <f>+'Purchased Power Model '!F81</f>
        <v>31</v>
      </c>
      <c r="G81" s="10">
        <f>+'Purchased Power Model '!G81</f>
        <v>0</v>
      </c>
      <c r="H81" s="117">
        <f t="shared" si="5"/>
        <v>88792163.118976027</v>
      </c>
      <c r="I81" s="118">
        <f t="shared" si="6"/>
        <v>960462.05974525213</v>
      </c>
      <c r="J81" s="5">
        <f t="shared" si="7"/>
        <v>1.0935255131829321E-2</v>
      </c>
      <c r="K81"/>
      <c r="L81"/>
      <c r="M81"/>
      <c r="N81"/>
      <c r="T81" s="111"/>
      <c r="U81" s="111"/>
      <c r="V81" s="111"/>
      <c r="W81" s="111"/>
      <c r="X81" s="111"/>
      <c r="Y81" s="111"/>
      <c r="Z81" s="111"/>
      <c r="AA81" s="111"/>
      <c r="AB81" s="111"/>
    </row>
    <row r="82" spans="1:28" x14ac:dyDescent="0.3">
      <c r="A82" s="116">
        <v>40026</v>
      </c>
      <c r="B82" s="41">
        <f>+'Purchased Power Model '!B82</f>
        <v>97879755</v>
      </c>
      <c r="C82" s="96">
        <f>+'Purchased Power Model '!C82</f>
        <v>13.1</v>
      </c>
      <c r="D82" s="96">
        <f>+'Purchased Power Model '!D82</f>
        <v>77.7</v>
      </c>
      <c r="E82" s="103">
        <f>+'Purchased Power Model '!E82</f>
        <v>9.5000000000000001E-2</v>
      </c>
      <c r="F82" s="10">
        <f>+'Purchased Power Model '!F82</f>
        <v>31</v>
      </c>
      <c r="G82" s="10">
        <f>+'Purchased Power Model '!G82</f>
        <v>0</v>
      </c>
      <c r="H82" s="117">
        <f t="shared" si="5"/>
        <v>96155305.624373317</v>
      </c>
      <c r="I82" s="118">
        <f t="shared" si="6"/>
        <v>-1724449.3756266832</v>
      </c>
      <c r="J82" s="5">
        <f t="shared" si="7"/>
        <v>-1.7618039354784686E-2</v>
      </c>
      <c r="K82"/>
      <c r="L82"/>
      <c r="M82"/>
      <c r="N82"/>
      <c r="T82" s="111"/>
      <c r="U82" s="111"/>
      <c r="V82" s="111"/>
      <c r="W82" s="111"/>
      <c r="X82" s="111"/>
      <c r="Y82" s="111"/>
      <c r="Z82" s="111"/>
      <c r="AA82" s="111"/>
      <c r="AB82" s="111"/>
    </row>
    <row r="83" spans="1:28" x14ac:dyDescent="0.3">
      <c r="A83" s="116">
        <v>40057</v>
      </c>
      <c r="B83" s="41">
        <f>+'Purchased Power Model '!B83</f>
        <v>83907661.687692314</v>
      </c>
      <c r="C83" s="96">
        <f>+'Purchased Power Model '!C83</f>
        <v>64.8</v>
      </c>
      <c r="D83" s="96">
        <f>+'Purchased Power Model '!D83</f>
        <v>9</v>
      </c>
      <c r="E83" s="103">
        <f>+'Purchased Power Model '!E83</f>
        <v>9.5000000000000001E-2</v>
      </c>
      <c r="F83" s="10">
        <f>+'Purchased Power Model '!F83</f>
        <v>30</v>
      </c>
      <c r="G83" s="10">
        <f>+'Purchased Power Model '!G83</f>
        <v>1</v>
      </c>
      <c r="H83" s="117">
        <f t="shared" si="5"/>
        <v>78493192.847960621</v>
      </c>
      <c r="I83" s="118">
        <f t="shared" si="6"/>
        <v>-5414468.8397316933</v>
      </c>
      <c r="J83" s="5">
        <f t="shared" si="7"/>
        <v>-6.4528896775655167E-2</v>
      </c>
      <c r="K83"/>
      <c r="L83"/>
      <c r="M83"/>
      <c r="N83"/>
      <c r="T83" s="111"/>
      <c r="U83" s="111"/>
      <c r="V83" s="111"/>
      <c r="W83" s="111"/>
      <c r="X83" s="111"/>
      <c r="Y83" s="111"/>
      <c r="Z83" s="111"/>
      <c r="AA83" s="111"/>
      <c r="AB83" s="111"/>
    </row>
    <row r="84" spans="1:28" x14ac:dyDescent="0.3">
      <c r="A84" s="116">
        <v>40087</v>
      </c>
      <c r="B84" s="41">
        <f>+'Purchased Power Model '!B84</f>
        <v>88097164.336923078</v>
      </c>
      <c r="C84" s="96">
        <f>+'Purchased Power Model '!C84</f>
        <v>287.89999999999998</v>
      </c>
      <c r="D84" s="96">
        <f>+'Purchased Power Model '!D84</f>
        <v>0</v>
      </c>
      <c r="E84" s="103">
        <f>+'Purchased Power Model '!E84</f>
        <v>0.1</v>
      </c>
      <c r="F84" s="10">
        <f>+'Purchased Power Model '!F84</f>
        <v>31</v>
      </c>
      <c r="G84" s="10">
        <f>+'Purchased Power Model '!G84</f>
        <v>1</v>
      </c>
      <c r="H84" s="117">
        <f t="shared" si="5"/>
        <v>88469554.420679748</v>
      </c>
      <c r="I84" s="118">
        <f t="shared" si="6"/>
        <v>372390.08375667036</v>
      </c>
      <c r="J84" s="5">
        <f t="shared" si="7"/>
        <v>4.2270382544037808E-3</v>
      </c>
      <c r="K84"/>
      <c r="L84"/>
      <c r="M84"/>
      <c r="N84"/>
      <c r="T84" s="111"/>
      <c r="U84" s="111"/>
      <c r="V84" s="111"/>
      <c r="W84" s="111"/>
      <c r="X84" s="111"/>
      <c r="Y84" s="111"/>
      <c r="Z84" s="111"/>
      <c r="AA84" s="111"/>
      <c r="AB84" s="111"/>
    </row>
    <row r="85" spans="1:28" x14ac:dyDescent="0.3">
      <c r="A85" s="116">
        <v>40118</v>
      </c>
      <c r="B85" s="41">
        <f>+'Purchased Power Model '!B85</f>
        <v>89873866.688461557</v>
      </c>
      <c r="C85" s="96">
        <f>+'Purchased Power Model '!C85</f>
        <v>347.4</v>
      </c>
      <c r="D85" s="96">
        <f>+'Purchased Power Model '!D85</f>
        <v>0</v>
      </c>
      <c r="E85" s="103">
        <f>+'Purchased Power Model '!E85</f>
        <v>0.1</v>
      </c>
      <c r="F85" s="10">
        <f>+'Purchased Power Model '!F85</f>
        <v>30</v>
      </c>
      <c r="G85" s="10">
        <f>+'Purchased Power Model '!G85</f>
        <v>1</v>
      </c>
      <c r="H85" s="117">
        <f t="shared" si="5"/>
        <v>88079185.901233047</v>
      </c>
      <c r="I85" s="118">
        <f t="shared" si="6"/>
        <v>-1794680.7872285098</v>
      </c>
      <c r="J85" s="5">
        <f t="shared" si="7"/>
        <v>-1.9968883651680244E-2</v>
      </c>
      <c r="K85"/>
      <c r="L85"/>
      <c r="M85"/>
      <c r="N85"/>
      <c r="T85" s="111"/>
      <c r="U85" s="111"/>
      <c r="V85" s="111"/>
      <c r="W85" s="111"/>
      <c r="X85" s="111"/>
      <c r="Y85" s="111"/>
      <c r="Z85" s="111"/>
      <c r="AA85" s="111"/>
      <c r="AB85" s="111"/>
    </row>
    <row r="86" spans="1:28" x14ac:dyDescent="0.3">
      <c r="A86" s="116">
        <v>40148</v>
      </c>
      <c r="B86" s="41">
        <f>+'Purchased Power Model '!B86</f>
        <v>109709991.43076923</v>
      </c>
      <c r="C86" s="96">
        <f>+'Purchased Power Model '!C86</f>
        <v>619.1</v>
      </c>
      <c r="D86" s="96">
        <f>+'Purchased Power Model '!D86</f>
        <v>0</v>
      </c>
      <c r="E86" s="103">
        <f>+'Purchased Power Model '!E86</f>
        <v>0.1</v>
      </c>
      <c r="F86" s="10">
        <f>+'Purchased Power Model '!F86</f>
        <v>31</v>
      </c>
      <c r="G86" s="10">
        <f>+'Purchased Power Model '!G86</f>
        <v>0</v>
      </c>
      <c r="H86" s="117">
        <f t="shared" si="5"/>
        <v>108984775.1043752</v>
      </c>
      <c r="I86" s="118">
        <f t="shared" si="6"/>
        <v>-725216.32639403641</v>
      </c>
      <c r="J86" s="5">
        <f t="shared" si="7"/>
        <v>-6.6103033728853473E-3</v>
      </c>
      <c r="K86"/>
      <c r="L86"/>
      <c r="M86"/>
      <c r="N86"/>
      <c r="T86" s="121"/>
      <c r="U86" s="121"/>
      <c r="V86" s="121"/>
      <c r="W86" s="121"/>
      <c r="X86" s="121"/>
      <c r="Y86" s="121"/>
      <c r="Z86" s="121"/>
      <c r="AA86" s="121"/>
      <c r="AB86" s="121"/>
    </row>
    <row r="87" spans="1:28" x14ac:dyDescent="0.3">
      <c r="A87" s="116">
        <v>40179</v>
      </c>
      <c r="B87" s="41">
        <f>+'Purchased Power Model '!B87</f>
        <v>114148404.02769232</v>
      </c>
      <c r="C87" s="96">
        <f>+'Purchased Power Model '!C87</f>
        <v>699.9</v>
      </c>
      <c r="D87" s="96">
        <f>+'Purchased Power Model '!D87</f>
        <v>0</v>
      </c>
      <c r="E87" s="103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17">
        <f t="shared" si="5"/>
        <v>111905710.04635394</v>
      </c>
      <c r="I87" s="118">
        <f t="shared" si="6"/>
        <v>-2242693.9813383818</v>
      </c>
      <c r="J87" s="5">
        <f t="shared" si="7"/>
        <v>-1.9647177728339557E-2</v>
      </c>
      <c r="K87"/>
      <c r="L87"/>
      <c r="M87"/>
      <c r="N87"/>
      <c r="T87" s="120"/>
      <c r="U87" s="120"/>
      <c r="V87" s="120"/>
      <c r="W87" s="111"/>
      <c r="X87" s="111"/>
      <c r="Y87" s="111"/>
      <c r="Z87" s="111"/>
      <c r="AA87" s="111"/>
      <c r="AB87" s="111"/>
    </row>
    <row r="88" spans="1:28" x14ac:dyDescent="0.3">
      <c r="A88" s="116">
        <v>40210</v>
      </c>
      <c r="B88" s="41">
        <f>+'Purchased Power Model '!B88</f>
        <v>100280891.65769231</v>
      </c>
      <c r="C88" s="96">
        <f>+'Purchased Power Model '!C88</f>
        <v>583.79999999999995</v>
      </c>
      <c r="D88" s="96">
        <f>+'Purchased Power Model '!D88</f>
        <v>0</v>
      </c>
      <c r="E88" s="103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17">
        <f t="shared" si="5"/>
        <v>98754706.668407798</v>
      </c>
      <c r="I88" s="118">
        <f t="shared" si="6"/>
        <v>-1526184.9892845154</v>
      </c>
      <c r="J88" s="5">
        <f t="shared" si="7"/>
        <v>-1.5219100708578964E-2</v>
      </c>
      <c r="K88"/>
      <c r="L88"/>
      <c r="M88"/>
      <c r="N88"/>
      <c r="T88" s="111"/>
      <c r="U88" s="111"/>
      <c r="V88" s="111"/>
      <c r="W88" s="111"/>
      <c r="X88" s="111"/>
      <c r="Y88" s="111"/>
      <c r="Z88" s="111"/>
      <c r="AA88" s="111"/>
      <c r="AB88" s="111"/>
    </row>
    <row r="89" spans="1:28" x14ac:dyDescent="0.3">
      <c r="A89" s="116">
        <v>40238</v>
      </c>
      <c r="B89" s="41">
        <f>+'Purchased Power Model '!B89</f>
        <v>95443611.384615391</v>
      </c>
      <c r="C89" s="96">
        <f>+'Purchased Power Model '!C89</f>
        <v>411</v>
      </c>
      <c r="D89" s="96">
        <f>+'Purchased Power Model '!D89</f>
        <v>0</v>
      </c>
      <c r="E89" s="103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17">
        <f t="shared" si="5"/>
        <v>93110617.257326975</v>
      </c>
      <c r="I89" s="118">
        <f t="shared" si="6"/>
        <v>-2332994.127288416</v>
      </c>
      <c r="J89" s="5">
        <f t="shared" si="7"/>
        <v>-2.4443690818518972E-2</v>
      </c>
      <c r="K89"/>
      <c r="L89"/>
      <c r="M89"/>
      <c r="N89"/>
      <c r="T89" s="111"/>
      <c r="U89" s="111"/>
      <c r="V89" s="111"/>
      <c r="W89" s="111"/>
      <c r="X89" s="111"/>
      <c r="Y89" s="111"/>
      <c r="Z89" s="111"/>
      <c r="AA89" s="111"/>
      <c r="AB89" s="111"/>
    </row>
    <row r="90" spans="1:28" x14ac:dyDescent="0.3">
      <c r="A90" s="116">
        <v>40269</v>
      </c>
      <c r="B90" s="41">
        <f>+'Purchased Power Model '!B90</f>
        <v>80941805.90538463</v>
      </c>
      <c r="C90" s="96">
        <f>+'Purchased Power Model '!C90</f>
        <v>244</v>
      </c>
      <c r="D90" s="96">
        <f>+'Purchased Power Model '!D90</f>
        <v>0</v>
      </c>
      <c r="E90" s="103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17">
        <f t="shared" si="5"/>
        <v>83996026.822567567</v>
      </c>
      <c r="I90" s="118">
        <f t="shared" si="6"/>
        <v>3054220.9171829373</v>
      </c>
      <c r="J90" s="5">
        <f t="shared" si="7"/>
        <v>3.7733540573002662E-2</v>
      </c>
      <c r="K90"/>
      <c r="L90"/>
      <c r="M90"/>
      <c r="N90"/>
      <c r="T90" s="111"/>
      <c r="U90" s="111"/>
      <c r="V90" s="111"/>
      <c r="W90" s="111"/>
      <c r="X90" s="111"/>
      <c r="Y90" s="111"/>
      <c r="Z90" s="111"/>
      <c r="AA90" s="111"/>
      <c r="AB90" s="111"/>
    </row>
    <row r="91" spans="1:28" x14ac:dyDescent="0.3">
      <c r="A91" s="116">
        <v>40299</v>
      </c>
      <c r="B91" s="41">
        <f>+'Purchased Power Model '!B91</f>
        <v>87418768.25846155</v>
      </c>
      <c r="C91" s="96">
        <f>+'Purchased Power Model '!C91</f>
        <v>121.7</v>
      </c>
      <c r="D91" s="96">
        <f>+'Purchased Power Model '!D91</f>
        <v>23.2</v>
      </c>
      <c r="E91" s="103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17">
        <f t="shared" si="5"/>
        <v>85178424.333164722</v>
      </c>
      <c r="I91" s="118">
        <f t="shared" si="6"/>
        <v>-2240343.9252968282</v>
      </c>
      <c r="J91" s="5">
        <f t="shared" si="7"/>
        <v>-2.562772239793001E-2</v>
      </c>
      <c r="K91"/>
      <c r="L91"/>
      <c r="M91"/>
      <c r="N91"/>
      <c r="T91" s="111"/>
      <c r="U91" s="111"/>
      <c r="V91" s="111"/>
      <c r="W91" s="111"/>
      <c r="X91" s="111"/>
      <c r="Y91" s="111"/>
      <c r="Z91" s="111"/>
      <c r="AA91" s="111"/>
      <c r="AB91" s="111"/>
    </row>
    <row r="92" spans="1:28" x14ac:dyDescent="0.3">
      <c r="A92" s="116">
        <v>40330</v>
      </c>
      <c r="B92" s="41">
        <f>+'Purchased Power Model '!B92</f>
        <v>89087288.937692314</v>
      </c>
      <c r="C92" s="96">
        <f>+'Purchased Power Model '!C92</f>
        <v>19.399999999999999</v>
      </c>
      <c r="D92" s="96">
        <f>+'Purchased Power Model '!D92</f>
        <v>46.6</v>
      </c>
      <c r="E92" s="103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17">
        <f t="shared" si="5"/>
        <v>88630081.820366845</v>
      </c>
      <c r="I92" s="118">
        <f t="shared" si="6"/>
        <v>-457207.11732546985</v>
      </c>
      <c r="J92" s="5">
        <f t="shared" si="7"/>
        <v>-5.1321251637283594E-3</v>
      </c>
      <c r="K92"/>
      <c r="L92"/>
      <c r="M92"/>
      <c r="N92"/>
      <c r="T92" s="111"/>
      <c r="U92" s="111"/>
      <c r="V92" s="111"/>
      <c r="W92" s="111"/>
      <c r="X92" s="111"/>
      <c r="Y92" s="111"/>
      <c r="Z92" s="111"/>
      <c r="AA92" s="111"/>
      <c r="AB92" s="111"/>
    </row>
    <row r="93" spans="1:28" x14ac:dyDescent="0.3">
      <c r="A93" s="116">
        <v>40360</v>
      </c>
      <c r="B93" s="41">
        <f>+'Purchased Power Model '!B93</f>
        <v>107904059.08</v>
      </c>
      <c r="C93" s="96">
        <f>+'Purchased Power Model '!C93</f>
        <v>3.5</v>
      </c>
      <c r="D93" s="96">
        <f>+'Purchased Power Model '!D93</f>
        <v>124</v>
      </c>
      <c r="E93" s="103">
        <f>+'Purchased Power Model '!E93</f>
        <v>0.10099999999999999</v>
      </c>
      <c r="F93" s="10">
        <f>+'Purchased Power Model '!F93</f>
        <v>31</v>
      </c>
      <c r="G93" s="10">
        <f>+'Purchased Power Model '!G93</f>
        <v>0</v>
      </c>
      <c r="H93" s="117">
        <f t="shared" si="5"/>
        <v>101712489.71858193</v>
      </c>
      <c r="I93" s="118">
        <f t="shared" si="6"/>
        <v>-6191569.3614180684</v>
      </c>
      <c r="J93" s="5">
        <f t="shared" si="7"/>
        <v>-5.7380319278143584E-2</v>
      </c>
      <c r="K93"/>
      <c r="L93"/>
      <c r="M93"/>
      <c r="N93"/>
      <c r="T93" s="111"/>
      <c r="U93" s="111"/>
      <c r="V93" s="111"/>
      <c r="W93" s="111"/>
      <c r="X93" s="111"/>
      <c r="Y93" s="111"/>
      <c r="Z93" s="111"/>
      <c r="AA93" s="111"/>
      <c r="AB93" s="111"/>
    </row>
    <row r="94" spans="1:28" x14ac:dyDescent="0.3">
      <c r="A94" s="116">
        <v>40391</v>
      </c>
      <c r="B94" s="41">
        <f>+'Purchased Power Model '!B94</f>
        <v>102274426.19461538</v>
      </c>
      <c r="C94" s="96">
        <f>+'Purchased Power Model '!C94</f>
        <v>3.2</v>
      </c>
      <c r="D94" s="96">
        <f>+'Purchased Power Model '!D94</f>
        <v>96.8</v>
      </c>
      <c r="E94" s="103">
        <f>+'Purchased Power Model '!E94</f>
        <v>0.10099999999999999</v>
      </c>
      <c r="F94" s="10">
        <f>+'Purchased Power Model '!F94</f>
        <v>31</v>
      </c>
      <c r="G94" s="10">
        <f>+'Purchased Power Model '!G94</f>
        <v>0</v>
      </c>
      <c r="H94" s="117">
        <f t="shared" si="5"/>
        <v>97777641.517349064</v>
      </c>
      <c r="I94" s="118">
        <f t="shared" si="6"/>
        <v>-4496784.6772663146</v>
      </c>
      <c r="J94" s="5">
        <f t="shared" si="7"/>
        <v>-4.3967830909258765E-2</v>
      </c>
      <c r="K94"/>
      <c r="L94"/>
      <c r="M94"/>
      <c r="N94"/>
      <c r="T94" s="111"/>
      <c r="U94" s="111"/>
      <c r="V94" s="111"/>
      <c r="W94" s="111"/>
      <c r="X94" s="111"/>
      <c r="Y94" s="111"/>
      <c r="Z94" s="111"/>
      <c r="AA94" s="111"/>
      <c r="AB94" s="111"/>
    </row>
    <row r="95" spans="1:28" x14ac:dyDescent="0.3">
      <c r="A95" s="116">
        <v>40422</v>
      </c>
      <c r="B95" s="41">
        <f>+'Purchased Power Model '!B95</f>
        <v>83491002.500769228</v>
      </c>
      <c r="C95" s="96">
        <f>+'Purchased Power Model '!C95</f>
        <v>85.5</v>
      </c>
      <c r="D95" s="96">
        <f>+'Purchased Power Model '!D95</f>
        <v>18.5</v>
      </c>
      <c r="E95" s="103">
        <f>+'Purchased Power Model '!E95</f>
        <v>0.10099999999999999</v>
      </c>
      <c r="F95" s="10">
        <f>+'Purchased Power Model '!F95</f>
        <v>30</v>
      </c>
      <c r="G95" s="10">
        <f>+'Purchased Power Model '!G95</f>
        <v>1</v>
      </c>
      <c r="H95" s="117">
        <f t="shared" si="5"/>
        <v>79975412.328120425</v>
      </c>
      <c r="I95" s="118">
        <f t="shared" si="6"/>
        <v>-3515590.1726488024</v>
      </c>
      <c r="J95" s="5">
        <f t="shared" si="7"/>
        <v>-4.2107413581678008E-2</v>
      </c>
      <c r="K95"/>
      <c r="L95"/>
      <c r="M95"/>
      <c r="N95"/>
      <c r="T95" s="111"/>
      <c r="U95" s="111"/>
      <c r="V95" s="111"/>
      <c r="W95" s="111"/>
      <c r="X95" s="111"/>
      <c r="Y95" s="111"/>
      <c r="Z95" s="111"/>
      <c r="AA95" s="111"/>
      <c r="AB95" s="111"/>
    </row>
    <row r="96" spans="1:28" x14ac:dyDescent="0.3">
      <c r="A96" s="116">
        <v>40452</v>
      </c>
      <c r="B96" s="41">
        <f>+'Purchased Power Model '!B96</f>
        <v>84900189.230769232</v>
      </c>
      <c r="C96" s="96">
        <f>+'Purchased Power Model '!C96</f>
        <v>247.8</v>
      </c>
      <c r="D96" s="96">
        <f>+'Purchased Power Model '!D96</f>
        <v>0</v>
      </c>
      <c r="E96" s="103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17">
        <f t="shared" si="5"/>
        <v>87690075.422854468</v>
      </c>
      <c r="I96" s="118">
        <f t="shared" si="6"/>
        <v>2789886.1920852363</v>
      </c>
      <c r="J96" s="5">
        <f t="shared" si="7"/>
        <v>3.2860777076738665E-2</v>
      </c>
      <c r="K96"/>
      <c r="L96"/>
      <c r="M96"/>
      <c r="N96"/>
      <c r="T96" s="111"/>
      <c r="U96" s="111"/>
      <c r="V96" s="111"/>
      <c r="W96" s="111"/>
      <c r="X96" s="111"/>
      <c r="Y96" s="111"/>
      <c r="Z96" s="111"/>
      <c r="AA96" s="111"/>
      <c r="AB96" s="111"/>
    </row>
    <row r="97" spans="1:28" x14ac:dyDescent="0.3">
      <c r="A97" s="116">
        <v>40483</v>
      </c>
      <c r="B97" s="41">
        <f>+'Purchased Power Model '!B97</f>
        <v>91736751.63692309</v>
      </c>
      <c r="C97" s="96">
        <f>+'Purchased Power Model '!C97</f>
        <v>389.2</v>
      </c>
      <c r="D97" s="96">
        <f>+'Purchased Power Model '!D97</f>
        <v>0</v>
      </c>
      <c r="E97" s="103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17">
        <f t="shared" si="5"/>
        <v>90630167.295212716</v>
      </c>
      <c r="I97" s="118">
        <f t="shared" si="6"/>
        <v>-1106584.3417103738</v>
      </c>
      <c r="J97" s="5">
        <f t="shared" si="7"/>
        <v>-1.2062606555876621E-2</v>
      </c>
      <c r="K97"/>
      <c r="L97"/>
      <c r="M97"/>
      <c r="N97"/>
      <c r="T97" s="111"/>
      <c r="U97" s="111"/>
      <c r="V97" s="111"/>
      <c r="W97" s="111"/>
      <c r="X97" s="111"/>
      <c r="Y97" s="111"/>
      <c r="Z97" s="111"/>
      <c r="AA97" s="111"/>
      <c r="AB97" s="111"/>
    </row>
    <row r="98" spans="1:28" x14ac:dyDescent="0.3">
      <c r="A98" s="116">
        <v>40513</v>
      </c>
      <c r="B98" s="41">
        <f>+'Purchased Power Model '!B98</f>
        <v>110862133</v>
      </c>
      <c r="C98" s="96">
        <f>+'Purchased Power Model '!C98</f>
        <v>628.70000000000005</v>
      </c>
      <c r="D98" s="96">
        <f>+'Purchased Power Model '!D98</f>
        <v>0</v>
      </c>
      <c r="E98" s="103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17">
        <f t="shared" si="5"/>
        <v>110226344.72038026</v>
      </c>
      <c r="I98" s="118">
        <f t="shared" si="6"/>
        <v>-635788.27961973846</v>
      </c>
      <c r="J98" s="5">
        <f t="shared" si="7"/>
        <v>-5.7349453994335331E-3</v>
      </c>
      <c r="K98"/>
      <c r="L98"/>
      <c r="M98"/>
      <c r="N98"/>
      <c r="T98" s="111"/>
      <c r="U98" s="111"/>
      <c r="V98" s="111"/>
      <c r="W98" s="111"/>
      <c r="X98" s="111"/>
      <c r="Y98" s="111"/>
      <c r="Z98" s="111"/>
      <c r="AA98" s="111"/>
      <c r="AB98" s="111"/>
    </row>
    <row r="99" spans="1:28" x14ac:dyDescent="0.3">
      <c r="A99" s="116">
        <v>40544</v>
      </c>
      <c r="B99" s="41">
        <f>+'Purchased Power Model '!B99</f>
        <v>113644387.32076925</v>
      </c>
      <c r="C99" s="96">
        <f>+'Purchased Power Model '!C99</f>
        <v>760.9</v>
      </c>
      <c r="D99" s="96">
        <f>+'Purchased Power Model '!D99</f>
        <v>0</v>
      </c>
      <c r="E99" s="103">
        <f>+'Purchased Power Model '!E99</f>
        <v>8.8000000000000009E-2</v>
      </c>
      <c r="F99" s="10">
        <f>+'Purchased Power Model '!F99</f>
        <v>31</v>
      </c>
      <c r="G99" s="10">
        <f>+'Purchased Power Model '!G99</f>
        <v>0</v>
      </c>
      <c r="H99" s="117">
        <f t="shared" si="5"/>
        <v>116210242.6891989</v>
      </c>
      <c r="I99" s="118">
        <f t="shared" si="6"/>
        <v>2565855.3684296459</v>
      </c>
      <c r="J99" s="5">
        <f t="shared" si="7"/>
        <v>2.2577933049938836E-2</v>
      </c>
      <c r="K99"/>
      <c r="L99"/>
      <c r="M99"/>
      <c r="N99"/>
      <c r="T99" s="120"/>
      <c r="U99" s="120"/>
      <c r="V99" s="120"/>
      <c r="W99" s="111"/>
      <c r="X99" s="111"/>
      <c r="Y99" s="111"/>
      <c r="Z99" s="111"/>
      <c r="AA99" s="111"/>
      <c r="AB99" s="111"/>
    </row>
    <row r="100" spans="1:28" x14ac:dyDescent="0.3">
      <c r="A100" s="116">
        <v>40575</v>
      </c>
      <c r="B100" s="41">
        <f>+'Purchased Power Model '!B100</f>
        <v>100561048.38461539</v>
      </c>
      <c r="C100" s="96">
        <f>+'Purchased Power Model '!C100</f>
        <v>634.19999999999993</v>
      </c>
      <c r="D100" s="96">
        <f>+'Purchased Power Model '!D100</f>
        <v>0</v>
      </c>
      <c r="E100" s="103">
        <f>+'Purchased Power Model '!E100</f>
        <v>8.8000000000000009E-2</v>
      </c>
      <c r="F100" s="10">
        <f>+'Purchased Power Model '!F100</f>
        <v>28</v>
      </c>
      <c r="G100" s="10">
        <f>+'Purchased Power Model '!G100</f>
        <v>0</v>
      </c>
      <c r="H100" s="117">
        <f t="shared" si="5"/>
        <v>102628190.71353441</v>
      </c>
      <c r="I100" s="118">
        <f t="shared" si="6"/>
        <v>2067142.3289190233</v>
      </c>
      <c r="J100" s="5">
        <f t="shared" si="7"/>
        <v>2.0556093657783214E-2</v>
      </c>
      <c r="K100"/>
      <c r="L100"/>
      <c r="M100"/>
      <c r="N100"/>
      <c r="T100" s="111"/>
      <c r="U100" s="111"/>
      <c r="V100" s="111"/>
      <c r="W100" s="111"/>
      <c r="X100" s="111"/>
      <c r="Y100" s="111"/>
      <c r="Z100" s="111"/>
      <c r="AA100" s="111"/>
      <c r="AB100" s="111"/>
    </row>
    <row r="101" spans="1:28" x14ac:dyDescent="0.3">
      <c r="A101" s="116">
        <v>40603</v>
      </c>
      <c r="B101" s="41">
        <f>+'Purchased Power Model '!B101</f>
        <v>102613396.81846155</v>
      </c>
      <c r="C101" s="96">
        <f>+'Purchased Power Model '!C101</f>
        <v>559.80000000000007</v>
      </c>
      <c r="D101" s="96">
        <f>+'Purchased Power Model '!D101</f>
        <v>0</v>
      </c>
      <c r="E101" s="103">
        <f>+'Purchased Power Model '!E101</f>
        <v>8.8000000000000009E-2</v>
      </c>
      <c r="F101" s="10">
        <f>+'Purchased Power Model '!F101</f>
        <v>31</v>
      </c>
      <c r="G101" s="10">
        <f>+'Purchased Power Model '!G101</f>
        <v>1</v>
      </c>
      <c r="H101" s="117">
        <f t="shared" si="5"/>
        <v>100985533.56806539</v>
      </c>
      <c r="I101" s="118">
        <f t="shared" si="6"/>
        <v>-1627863.2503961623</v>
      </c>
      <c r="J101" s="5">
        <f t="shared" si="7"/>
        <v>-1.5864042131614606E-2</v>
      </c>
      <c r="K101"/>
      <c r="L101"/>
      <c r="M101"/>
      <c r="N101"/>
      <c r="T101" s="111"/>
      <c r="U101" s="111"/>
      <c r="V101" s="111"/>
      <c r="W101" s="111"/>
      <c r="X101" s="111"/>
      <c r="Y101" s="111"/>
      <c r="Z101" s="111"/>
      <c r="AA101" s="111"/>
      <c r="AB101" s="111"/>
    </row>
    <row r="102" spans="1:28" x14ac:dyDescent="0.3">
      <c r="A102" s="116">
        <v>40634</v>
      </c>
      <c r="B102" s="41">
        <f>+'Purchased Power Model '!B102</f>
        <v>87015565.163076922</v>
      </c>
      <c r="C102" s="96">
        <f>+'Purchased Power Model '!C102</f>
        <v>350.79999999999995</v>
      </c>
      <c r="D102" s="96">
        <f>+'Purchased Power Model '!D102</f>
        <v>0</v>
      </c>
      <c r="E102" s="103">
        <f>+'Purchased Power Model '!E102</f>
        <v>9.0999999999999998E-2</v>
      </c>
      <c r="F102" s="10">
        <f>+'Purchased Power Model '!F102</f>
        <v>30</v>
      </c>
      <c r="G102" s="10">
        <f>+'Purchased Power Model '!G102</f>
        <v>1</v>
      </c>
      <c r="H102" s="117">
        <f t="shared" si="5"/>
        <v>89311828.746916547</v>
      </c>
      <c r="I102" s="118">
        <f t="shared" si="6"/>
        <v>2296263.5838396251</v>
      </c>
      <c r="J102" s="5">
        <f t="shared" si="7"/>
        <v>2.6389113022896187E-2</v>
      </c>
      <c r="K102"/>
      <c r="L102"/>
      <c r="M102"/>
      <c r="N102"/>
      <c r="T102" s="111"/>
      <c r="U102" s="111"/>
      <c r="V102" s="111"/>
      <c r="W102" s="111"/>
      <c r="X102" s="111"/>
      <c r="Y102" s="111"/>
      <c r="Z102" s="111"/>
      <c r="AA102" s="111"/>
      <c r="AB102" s="111"/>
    </row>
    <row r="103" spans="1:28" x14ac:dyDescent="0.3">
      <c r="A103" s="116">
        <v>40664</v>
      </c>
      <c r="B103" s="41">
        <f>+'Purchased Power Model '!B103</f>
        <v>82921009.75</v>
      </c>
      <c r="C103" s="96">
        <f>+'Purchased Power Model '!C103</f>
        <v>157.69999999999996</v>
      </c>
      <c r="D103" s="96">
        <f>+'Purchased Power Model '!D103</f>
        <v>2.8</v>
      </c>
      <c r="E103" s="103">
        <f>+'Purchased Power Model '!E103</f>
        <v>9.0999999999999998E-2</v>
      </c>
      <c r="F103" s="10">
        <f>+'Purchased Power Model '!F103</f>
        <v>31</v>
      </c>
      <c r="G103" s="10">
        <f>+'Purchased Power Model '!G103</f>
        <v>1</v>
      </c>
      <c r="H103" s="117">
        <f t="shared" si="5"/>
        <v>84673160.409987912</v>
      </c>
      <c r="I103" s="118">
        <f t="shared" si="6"/>
        <v>1752150.6599879116</v>
      </c>
      <c r="J103" s="5">
        <f t="shared" si="7"/>
        <v>2.1130358461269361E-2</v>
      </c>
      <c r="K103"/>
      <c r="L103"/>
      <c r="M103"/>
      <c r="N103"/>
      <c r="T103" s="111"/>
      <c r="U103" s="111"/>
      <c r="V103" s="111"/>
      <c r="W103" s="111"/>
      <c r="X103" s="111"/>
      <c r="Y103" s="111"/>
      <c r="Z103" s="111"/>
      <c r="AA103" s="111"/>
      <c r="AB103" s="111"/>
    </row>
    <row r="104" spans="1:28" x14ac:dyDescent="0.3">
      <c r="A104" s="116">
        <v>40695</v>
      </c>
      <c r="B104" s="41">
        <f>+'Purchased Power Model '!B104</f>
        <v>88149132.009230778</v>
      </c>
      <c r="C104" s="96">
        <f>+'Purchased Power Model '!C104</f>
        <v>26.699999999999996</v>
      </c>
      <c r="D104" s="96">
        <f>+'Purchased Power Model '!D104</f>
        <v>36.900000000000006</v>
      </c>
      <c r="E104" s="103">
        <f>+'Purchased Power Model '!E104</f>
        <v>9.0999999999999998E-2</v>
      </c>
      <c r="F104" s="10">
        <f>+'Purchased Power Model '!F104</f>
        <v>30</v>
      </c>
      <c r="G104" s="10">
        <f>+'Purchased Power Model '!G104</f>
        <v>0</v>
      </c>
      <c r="H104" s="117">
        <f t="shared" si="5"/>
        <v>88500834.26671803</v>
      </c>
      <c r="I104" s="118">
        <f t="shared" si="6"/>
        <v>351702.25748725235</v>
      </c>
      <c r="J104" s="5">
        <f t="shared" si="7"/>
        <v>3.9898550271649062E-3</v>
      </c>
      <c r="K104"/>
      <c r="L104"/>
      <c r="M104"/>
      <c r="N104"/>
      <c r="T104" s="111"/>
      <c r="U104" s="111"/>
      <c r="V104" s="111"/>
      <c r="W104" s="111"/>
      <c r="X104" s="111"/>
      <c r="Y104" s="111"/>
      <c r="Z104" s="111"/>
      <c r="AA104" s="111"/>
      <c r="AB104" s="111"/>
    </row>
    <row r="105" spans="1:28" x14ac:dyDescent="0.3">
      <c r="A105" s="116">
        <v>40725</v>
      </c>
      <c r="B105" s="41">
        <f>+'Purchased Power Model '!B105</f>
        <v>108927664.71923079</v>
      </c>
      <c r="C105" s="96">
        <f>+'Purchased Power Model '!C105</f>
        <v>0.2</v>
      </c>
      <c r="D105" s="96">
        <f>+'Purchased Power Model '!D105</f>
        <v>141.19999999999999</v>
      </c>
      <c r="E105" s="103">
        <f>+'Purchased Power Model '!E105</f>
        <v>7.2999999999999995E-2</v>
      </c>
      <c r="F105" s="10">
        <f>+'Purchased Power Model '!F105</f>
        <v>31</v>
      </c>
      <c r="G105" s="10">
        <f>+'Purchased Power Model '!G105</f>
        <v>0</v>
      </c>
      <c r="H105" s="117">
        <f t="shared" si="5"/>
        <v>107463537.71578926</v>
      </c>
      <c r="I105" s="118">
        <f t="shared" si="6"/>
        <v>-1464127.0034415275</v>
      </c>
      <c r="J105" s="5">
        <f t="shared" si="7"/>
        <v>-1.3441277816938648E-2</v>
      </c>
      <c r="K105"/>
      <c r="L105"/>
      <c r="M105"/>
      <c r="N105"/>
      <c r="T105" s="111"/>
      <c r="U105" s="111"/>
      <c r="V105" s="111"/>
      <c r="W105" s="111"/>
      <c r="X105" s="111"/>
      <c r="Y105" s="111"/>
      <c r="Z105" s="111"/>
      <c r="AA105" s="111"/>
      <c r="AB105" s="111"/>
    </row>
    <row r="106" spans="1:28" x14ac:dyDescent="0.3">
      <c r="A106" s="116">
        <v>40756</v>
      </c>
      <c r="B106" s="41">
        <f>+'Purchased Power Model '!B106</f>
        <v>100307973.92692308</v>
      </c>
      <c r="C106" s="96">
        <f>+'Purchased Power Model '!C106</f>
        <v>3.7</v>
      </c>
      <c r="D106" s="96">
        <f>+'Purchased Power Model '!D106</f>
        <v>80.499999999999957</v>
      </c>
      <c r="E106" s="103">
        <f>+'Purchased Power Model '!E106</f>
        <v>7.2999999999999995E-2</v>
      </c>
      <c r="F106" s="10">
        <f>+'Purchased Power Model '!F106</f>
        <v>31</v>
      </c>
      <c r="G106" s="10">
        <f>+'Purchased Power Model '!G106</f>
        <v>0</v>
      </c>
      <c r="H106" s="117">
        <f t="shared" si="5"/>
        <v>98852012.992669076</v>
      </c>
      <c r="I106" s="118">
        <f t="shared" si="6"/>
        <v>-1455960.9342540056</v>
      </c>
      <c r="J106" s="5">
        <f t="shared" si="7"/>
        <v>-1.4514907212807531E-2</v>
      </c>
      <c r="K106"/>
      <c r="L106"/>
      <c r="M106"/>
      <c r="N106"/>
      <c r="T106" s="111"/>
      <c r="U106" s="111"/>
      <c r="V106" s="111"/>
      <c r="W106" s="111"/>
      <c r="X106" s="111"/>
      <c r="Y106" s="111"/>
      <c r="Z106" s="111"/>
      <c r="AA106" s="111"/>
      <c r="AB106" s="111"/>
    </row>
    <row r="107" spans="1:28" x14ac:dyDescent="0.3">
      <c r="A107" s="116">
        <v>40787</v>
      </c>
      <c r="B107" s="41">
        <f>+'Purchased Power Model '!B107</f>
        <v>85805170.040769234</v>
      </c>
      <c r="C107" s="96">
        <f>+'Purchased Power Model '!C107</f>
        <v>48.900000000000006</v>
      </c>
      <c r="D107" s="96">
        <f>+'Purchased Power Model '!D107</f>
        <v>34.6</v>
      </c>
      <c r="E107" s="103">
        <f>+'Purchased Power Model '!E107</f>
        <v>7.2999999999999995E-2</v>
      </c>
      <c r="F107" s="10">
        <f>+'Purchased Power Model '!F107</f>
        <v>30</v>
      </c>
      <c r="G107" s="10">
        <f>+'Purchased Power Model '!G107</f>
        <v>1</v>
      </c>
      <c r="H107" s="117">
        <f t="shared" si="5"/>
        <v>84213680.560280249</v>
      </c>
      <c r="I107" s="118">
        <f t="shared" si="6"/>
        <v>-1591489.4804889858</v>
      </c>
      <c r="J107" s="5">
        <f t="shared" si="7"/>
        <v>-1.8547710816642048E-2</v>
      </c>
      <c r="K107"/>
      <c r="L107"/>
      <c r="M107"/>
      <c r="N107"/>
      <c r="T107" s="111"/>
      <c r="U107" s="111"/>
      <c r="V107" s="111"/>
      <c r="W107" s="111"/>
      <c r="X107" s="111"/>
      <c r="Y107" s="111"/>
      <c r="Z107" s="111"/>
      <c r="AA107" s="111"/>
      <c r="AB107" s="111"/>
    </row>
    <row r="108" spans="1:28" x14ac:dyDescent="0.3">
      <c r="A108" s="116">
        <v>40817</v>
      </c>
      <c r="B108" s="41">
        <f>+'Purchased Power Model '!B108</f>
        <v>85767949.723076925</v>
      </c>
      <c r="C108" s="96">
        <f>+'Purchased Power Model '!C108</f>
        <v>225.29999999999998</v>
      </c>
      <c r="D108" s="96">
        <f>+'Purchased Power Model '!D108</f>
        <v>0</v>
      </c>
      <c r="E108" s="103">
        <f>+'Purchased Power Model '!E108</f>
        <v>7.400000000000001E-2</v>
      </c>
      <c r="F108" s="10">
        <f>+'Purchased Power Model '!F108</f>
        <v>31</v>
      </c>
      <c r="G108" s="10">
        <f>+'Purchased Power Model '!G108</f>
        <v>1</v>
      </c>
      <c r="H108" s="117">
        <f t="shared" si="5"/>
        <v>89085475.723379478</v>
      </c>
      <c r="I108" s="118">
        <f t="shared" si="6"/>
        <v>3317526.0003025532</v>
      </c>
      <c r="J108" s="5">
        <f t="shared" si="7"/>
        <v>3.868025306672257E-2</v>
      </c>
      <c r="K108"/>
      <c r="L108"/>
      <c r="M108"/>
      <c r="N108"/>
      <c r="T108" s="111"/>
      <c r="U108" s="111"/>
      <c r="V108" s="111"/>
      <c r="W108" s="111"/>
      <c r="X108" s="111"/>
      <c r="Y108" s="111"/>
      <c r="Z108" s="111"/>
      <c r="AA108" s="111"/>
      <c r="AB108" s="111"/>
    </row>
    <row r="109" spans="1:28" x14ac:dyDescent="0.3">
      <c r="A109" s="116">
        <v>40848</v>
      </c>
      <c r="B109" s="41">
        <f>+'Purchased Power Model '!B109</f>
        <v>89407468.154615387</v>
      </c>
      <c r="C109" s="96">
        <f>+'Purchased Power Model '!C109</f>
        <v>349.69999999999993</v>
      </c>
      <c r="D109" s="96">
        <f>+'Purchased Power Model '!D109</f>
        <v>0</v>
      </c>
      <c r="E109" s="103">
        <f>+'Purchased Power Model '!E109</f>
        <v>7.400000000000001E-2</v>
      </c>
      <c r="F109" s="10">
        <f>+'Purchased Power Model '!F109</f>
        <v>30</v>
      </c>
      <c r="G109" s="10">
        <f>+'Purchased Power Model '!G109</f>
        <v>1</v>
      </c>
      <c r="H109" s="117">
        <f t="shared" si="5"/>
        <v>91334263.240906402</v>
      </c>
      <c r="I109" s="118">
        <f t="shared" si="6"/>
        <v>1926795.0862910151</v>
      </c>
      <c r="J109" s="5">
        <f t="shared" si="7"/>
        <v>2.1550717474282378E-2</v>
      </c>
      <c r="K109"/>
      <c r="L109"/>
      <c r="M109"/>
      <c r="N109"/>
      <c r="T109" s="111"/>
      <c r="U109" s="111"/>
      <c r="V109" s="111"/>
      <c r="W109" s="111"/>
      <c r="X109" s="111"/>
      <c r="Y109" s="111"/>
      <c r="Z109" s="111"/>
      <c r="AA109" s="111"/>
      <c r="AB109" s="111"/>
    </row>
    <row r="110" spans="1:28" x14ac:dyDescent="0.3">
      <c r="A110" s="116">
        <v>40878</v>
      </c>
      <c r="B110" s="41">
        <f>+'Purchased Power Model '!B110</f>
        <v>103511621.38461539</v>
      </c>
      <c r="C110" s="96">
        <f>+'Purchased Power Model '!C110</f>
        <v>531.20000000000005</v>
      </c>
      <c r="D110" s="96">
        <f>+'Purchased Power Model '!D110</f>
        <v>0</v>
      </c>
      <c r="E110" s="103">
        <f>+'Purchased Power Model '!E110</f>
        <v>7.400000000000001E-2</v>
      </c>
      <c r="F110" s="10">
        <f>+'Purchased Power Model '!F110</f>
        <v>31</v>
      </c>
      <c r="G110" s="10">
        <f>+'Purchased Power Model '!G110</f>
        <v>0</v>
      </c>
      <c r="H110" s="117">
        <f t="shared" si="5"/>
        <v>108571872.86723775</v>
      </c>
      <c r="I110" s="118">
        <f t="shared" si="6"/>
        <v>5060251.4826223552</v>
      </c>
      <c r="J110" s="5">
        <f t="shared" si="7"/>
        <v>4.8885829580623735E-2</v>
      </c>
      <c r="K110"/>
      <c r="L110"/>
      <c r="M110"/>
      <c r="N110"/>
      <c r="T110" s="111"/>
      <c r="U110" s="111"/>
      <c r="V110" s="111"/>
      <c r="W110" s="111"/>
      <c r="X110" s="111"/>
      <c r="Y110" s="111"/>
      <c r="Z110" s="111"/>
      <c r="AA110" s="111"/>
      <c r="AB110" s="111"/>
    </row>
    <row r="111" spans="1:28" x14ac:dyDescent="0.3">
      <c r="A111" s="116">
        <v>40909</v>
      </c>
      <c r="B111" s="41">
        <f>+'Purchased Power Model '!B111</f>
        <v>107982172.33461541</v>
      </c>
      <c r="C111" s="96">
        <f>+'Purchased Power Model '!C111</f>
        <v>611</v>
      </c>
      <c r="D111" s="96">
        <f>+'Purchased Power Model '!D111</f>
        <v>0</v>
      </c>
      <c r="E111" s="103">
        <f>+'Purchased Power Model '!E111</f>
        <v>7.9000000000000001E-2</v>
      </c>
      <c r="F111" s="10">
        <f>+'Purchased Power Model '!F111</f>
        <v>31</v>
      </c>
      <c r="G111" s="10">
        <f>+'Purchased Power Model '!G111</f>
        <v>0</v>
      </c>
      <c r="H111" s="117">
        <f t="shared" si="5"/>
        <v>111208946.85278597</v>
      </c>
      <c r="I111" s="118">
        <f t="shared" si="6"/>
        <v>3226774.5181705654</v>
      </c>
      <c r="J111" s="5">
        <f t="shared" si="7"/>
        <v>2.9882474564147766E-2</v>
      </c>
      <c r="K111"/>
      <c r="L111"/>
      <c r="M111"/>
      <c r="N111"/>
      <c r="T111" s="120"/>
      <c r="U111" s="120"/>
      <c r="V111" s="120"/>
      <c r="W111" s="111"/>
      <c r="X111" s="111"/>
      <c r="Y111" s="111"/>
      <c r="Z111" s="111"/>
      <c r="AA111" s="111"/>
      <c r="AB111" s="111"/>
    </row>
    <row r="112" spans="1:28" x14ac:dyDescent="0.3">
      <c r="A112" s="116">
        <v>40940</v>
      </c>
      <c r="B112" s="41">
        <f>+'Purchased Power Model '!B112</f>
        <v>97310518.529230773</v>
      </c>
      <c r="C112" s="96">
        <f>+'Purchased Power Model '!C112</f>
        <v>536.20000000000005</v>
      </c>
      <c r="D112" s="96">
        <f>+'Purchased Power Model '!D112</f>
        <v>0</v>
      </c>
      <c r="E112" s="103">
        <f>+'Purchased Power Model '!E112</f>
        <v>7.9000000000000001E-2</v>
      </c>
      <c r="F112" s="10">
        <f>+'Purchased Power Model '!F112</f>
        <v>29</v>
      </c>
      <c r="G112" s="10">
        <f>+'Purchased Power Model '!G112</f>
        <v>0</v>
      </c>
      <c r="H112" s="117">
        <f t="shared" si="5"/>
        <v>102547340.16881569</v>
      </c>
      <c r="I112" s="118">
        <f t="shared" si="6"/>
        <v>5236821.6395849138</v>
      </c>
      <c r="J112" s="5">
        <f t="shared" si="7"/>
        <v>5.3815576350174754E-2</v>
      </c>
      <c r="K112"/>
      <c r="L112"/>
      <c r="M112"/>
      <c r="N112"/>
      <c r="T112" s="111"/>
      <c r="U112" s="111"/>
      <c r="V112" s="111"/>
      <c r="W112" s="111"/>
      <c r="X112" s="111"/>
      <c r="Y112" s="111"/>
      <c r="Z112" s="111"/>
      <c r="AA112" s="111"/>
      <c r="AB112" s="111"/>
    </row>
    <row r="113" spans="1:28" x14ac:dyDescent="0.3">
      <c r="A113" s="116">
        <v>40969</v>
      </c>
      <c r="B113" s="41">
        <f>+'Purchased Power Model '!B113</f>
        <v>92940593.720769227</v>
      </c>
      <c r="C113" s="96">
        <f>+'Purchased Power Model '!C113</f>
        <v>399.39999999999992</v>
      </c>
      <c r="D113" s="96">
        <f>+'Purchased Power Model '!D113</f>
        <v>0</v>
      </c>
      <c r="E113" s="103">
        <f>+'Purchased Power Model '!E113</f>
        <v>7.9000000000000001E-2</v>
      </c>
      <c r="F113" s="10">
        <f>+'Purchased Power Model '!F113</f>
        <v>31</v>
      </c>
      <c r="G113" s="10">
        <f>+'Purchased Power Model '!G113</f>
        <v>1</v>
      </c>
      <c r="H113" s="117">
        <f t="shared" si="5"/>
        <v>95557255.630139008</v>
      </c>
      <c r="I113" s="118">
        <f t="shared" si="6"/>
        <v>2616661.9093697816</v>
      </c>
      <c r="J113" s="5">
        <f t="shared" si="7"/>
        <v>2.8154133781749687E-2</v>
      </c>
      <c r="K113"/>
      <c r="L113"/>
      <c r="M113"/>
      <c r="N113"/>
      <c r="T113" s="111"/>
      <c r="U113" s="111"/>
      <c r="V113" s="111"/>
      <c r="W113" s="111"/>
      <c r="X113" s="111"/>
      <c r="Y113" s="111"/>
      <c r="Z113" s="111"/>
      <c r="AA113" s="111"/>
      <c r="AB113" s="111"/>
    </row>
    <row r="114" spans="1:28" x14ac:dyDescent="0.3">
      <c r="A114" s="116">
        <v>41000</v>
      </c>
      <c r="B114" s="41">
        <f>+'Purchased Power Model '!B114</f>
        <v>84061512.170000002</v>
      </c>
      <c r="C114" s="96">
        <f>+'Purchased Power Model '!C114</f>
        <v>336.89999999999992</v>
      </c>
      <c r="D114" s="96">
        <f>+'Purchased Power Model '!D114</f>
        <v>0</v>
      </c>
      <c r="E114" s="103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17">
        <f t="shared" si="5"/>
        <v>89597771.754772455</v>
      </c>
      <c r="I114" s="118">
        <f t="shared" si="6"/>
        <v>5536259.5847724527</v>
      </c>
      <c r="J114" s="5">
        <f t="shared" si="7"/>
        <v>6.5859624004577941E-2</v>
      </c>
      <c r="K114"/>
      <c r="L114"/>
      <c r="M114"/>
      <c r="N114"/>
      <c r="T114" s="111"/>
      <c r="U114" s="111"/>
      <c r="V114" s="111"/>
      <c r="W114" s="111"/>
      <c r="X114" s="111"/>
      <c r="Y114" s="111"/>
      <c r="Z114" s="111"/>
      <c r="AA114" s="111"/>
      <c r="AB114" s="111"/>
    </row>
    <row r="115" spans="1:28" x14ac:dyDescent="0.3">
      <c r="A115" s="116">
        <v>41030</v>
      </c>
      <c r="B115" s="41">
        <f>+'Purchased Power Model '!B115</f>
        <v>84298340.921818167</v>
      </c>
      <c r="C115" s="96">
        <f>+'Purchased Power Model '!C115</f>
        <v>109.30000000000001</v>
      </c>
      <c r="D115" s="96">
        <f>+'Purchased Power Model '!D115</f>
        <v>21.8</v>
      </c>
      <c r="E115" s="103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17">
        <f t="shared" si="5"/>
        <v>86296247.724941522</v>
      </c>
      <c r="I115" s="118">
        <f t="shared" si="6"/>
        <v>1997906.8031233549</v>
      </c>
      <c r="J115" s="5">
        <f t="shared" si="7"/>
        <v>2.3700428517048726E-2</v>
      </c>
      <c r="K115"/>
      <c r="L115"/>
      <c r="M115"/>
      <c r="N115"/>
      <c r="T115" s="111"/>
      <c r="U115" s="111"/>
      <c r="V115" s="111"/>
      <c r="W115" s="111"/>
      <c r="X115" s="111"/>
      <c r="Y115" s="111"/>
      <c r="Z115" s="111"/>
      <c r="AA115" s="111"/>
      <c r="AB115" s="111"/>
    </row>
    <row r="116" spans="1:28" x14ac:dyDescent="0.3">
      <c r="A116" s="116">
        <v>41061</v>
      </c>
      <c r="B116" s="41">
        <f>+'Purchased Power Model '!B116</f>
        <v>93187121.853636354</v>
      </c>
      <c r="C116" s="96">
        <f>+'Purchased Power Model '!C116</f>
        <v>28.2</v>
      </c>
      <c r="D116" s="96">
        <f>+'Purchased Power Model '!D116</f>
        <v>64.3</v>
      </c>
      <c r="E116" s="103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17">
        <f t="shared" si="5"/>
        <v>93364509.407985032</v>
      </c>
      <c r="I116" s="118">
        <f t="shared" si="6"/>
        <v>177387.5543486774</v>
      </c>
      <c r="J116" s="5">
        <f t="shared" si="7"/>
        <v>1.9035629690043417E-3</v>
      </c>
      <c r="K116"/>
      <c r="L116"/>
      <c r="M116"/>
      <c r="N116"/>
      <c r="T116" s="111"/>
      <c r="U116" s="111"/>
      <c r="V116" s="111"/>
      <c r="W116" s="111"/>
      <c r="X116" s="111"/>
      <c r="Y116" s="111"/>
      <c r="Z116" s="111"/>
      <c r="AA116" s="111"/>
      <c r="AB116" s="111"/>
    </row>
    <row r="117" spans="1:28" x14ac:dyDescent="0.3">
      <c r="A117" s="116">
        <v>41091</v>
      </c>
      <c r="B117" s="41">
        <f>+'Purchased Power Model '!B117</f>
        <v>110767074.55090907</v>
      </c>
      <c r="C117" s="96">
        <f>+'Purchased Power Model '!C117</f>
        <v>0</v>
      </c>
      <c r="D117" s="96">
        <f>+'Purchased Power Model '!D117</f>
        <v>155.30000000000001</v>
      </c>
      <c r="E117" s="103">
        <f>+'Purchased Power Model '!E117</f>
        <v>8.900000000000001E-2</v>
      </c>
      <c r="F117" s="10">
        <f>+'Purchased Power Model '!F117</f>
        <v>31</v>
      </c>
      <c r="G117" s="10">
        <f>+'Purchased Power Model '!G117</f>
        <v>0</v>
      </c>
      <c r="H117" s="117">
        <f t="shared" si="5"/>
        <v>107543268.63773531</v>
      </c>
      <c r="I117" s="118">
        <f t="shared" si="6"/>
        <v>-3223805.9131737649</v>
      </c>
      <c r="J117" s="5">
        <f t="shared" si="7"/>
        <v>-2.9104369924404645E-2</v>
      </c>
      <c r="K117"/>
      <c r="L117"/>
      <c r="M117"/>
      <c r="N117"/>
      <c r="T117" s="111"/>
      <c r="U117" s="111"/>
      <c r="V117" s="111"/>
      <c r="W117" s="111"/>
      <c r="X117" s="111"/>
      <c r="Y117" s="111"/>
      <c r="Z117" s="111"/>
      <c r="AA117" s="111"/>
      <c r="AB117" s="111"/>
    </row>
    <row r="118" spans="1:28" x14ac:dyDescent="0.3">
      <c r="A118" s="116">
        <v>41122</v>
      </c>
      <c r="B118" s="41">
        <f>+'Purchased Power Model '!B118</f>
        <v>101373951.59181817</v>
      </c>
      <c r="C118" s="96">
        <f>+'Purchased Power Model '!C118</f>
        <v>4.4000000000000004</v>
      </c>
      <c r="D118" s="96">
        <f>+'Purchased Power Model '!D118</f>
        <v>102.79999999999998</v>
      </c>
      <c r="E118" s="103">
        <f>+'Purchased Power Model '!E118</f>
        <v>8.900000000000001E-2</v>
      </c>
      <c r="F118" s="10">
        <f>+'Purchased Power Model '!F118</f>
        <v>31</v>
      </c>
      <c r="G118" s="10">
        <f>+'Purchased Power Model '!G118</f>
        <v>0</v>
      </c>
      <c r="H118" s="117">
        <f t="shared" si="5"/>
        <v>100150905.59529257</v>
      </c>
      <c r="I118" s="118">
        <f t="shared" si="6"/>
        <v>-1223045.9965256006</v>
      </c>
      <c r="J118" s="5">
        <f t="shared" si="7"/>
        <v>-1.2064696870554979E-2</v>
      </c>
      <c r="K118"/>
      <c r="L118"/>
      <c r="M118"/>
      <c r="N118"/>
      <c r="T118" s="111"/>
      <c r="U118" s="111"/>
      <c r="V118" s="111"/>
      <c r="W118" s="111"/>
      <c r="X118" s="111"/>
      <c r="Y118" s="111"/>
      <c r="Z118" s="111"/>
      <c r="AA118" s="111"/>
      <c r="AB118" s="111"/>
    </row>
    <row r="119" spans="1:28" x14ac:dyDescent="0.3">
      <c r="A119" s="116">
        <v>41153</v>
      </c>
      <c r="B119" s="41">
        <f>+'Purchased Power Model '!B119</f>
        <v>85023139.218181819</v>
      </c>
      <c r="C119" s="96">
        <f>+'Purchased Power Model '!C119</f>
        <v>84</v>
      </c>
      <c r="D119" s="96">
        <f>+'Purchased Power Model '!D119</f>
        <v>24.400000000000002</v>
      </c>
      <c r="E119" s="103">
        <f>+'Purchased Power Model '!E119</f>
        <v>8.900000000000001E-2</v>
      </c>
      <c r="F119" s="10">
        <f>+'Purchased Power Model '!F119</f>
        <v>30</v>
      </c>
      <c r="G119" s="10">
        <f>+'Purchased Power Model '!G119</f>
        <v>1</v>
      </c>
      <c r="H119" s="117">
        <f t="shared" si="5"/>
        <v>82224459.505911976</v>
      </c>
      <c r="I119" s="118">
        <f t="shared" si="6"/>
        <v>-2798679.7122698426</v>
      </c>
      <c r="J119" s="5">
        <f t="shared" si="7"/>
        <v>-3.2916682893676989E-2</v>
      </c>
      <c r="K119"/>
      <c r="L119"/>
      <c r="M119"/>
      <c r="N119"/>
      <c r="T119" s="111"/>
      <c r="U119" s="111"/>
      <c r="V119" s="111"/>
      <c r="W119" s="111"/>
      <c r="X119" s="111"/>
      <c r="Y119" s="111"/>
      <c r="Z119" s="111"/>
      <c r="AA119" s="111"/>
      <c r="AB119" s="111"/>
    </row>
    <row r="120" spans="1:28" x14ac:dyDescent="0.3">
      <c r="A120" s="116">
        <v>41183</v>
      </c>
      <c r="B120" s="41">
        <f>+'Purchased Power Model '!B120</f>
        <v>85295690.281818166</v>
      </c>
      <c r="C120" s="96">
        <f>+'Purchased Power Model '!C120</f>
        <v>228.99999999999994</v>
      </c>
      <c r="D120" s="96">
        <f>+'Purchased Power Model '!D120</f>
        <v>0</v>
      </c>
      <c r="E120" s="103">
        <f>+'Purchased Power Model '!E120</f>
        <v>9.1999999999999998E-2</v>
      </c>
      <c r="F120" s="10">
        <f>+'Purchased Power Model '!F120</f>
        <v>31</v>
      </c>
      <c r="G120" s="10">
        <f>+'Purchased Power Model '!G120</f>
        <v>1</v>
      </c>
      <c r="H120" s="117">
        <f t="shared" si="5"/>
        <v>87047172.133525953</v>
      </c>
      <c r="I120" s="118">
        <f t="shared" si="6"/>
        <v>1751481.8517077863</v>
      </c>
      <c r="J120" s="5">
        <f t="shared" si="7"/>
        <v>2.053423620725579E-2</v>
      </c>
      <c r="K120"/>
      <c r="L120"/>
      <c r="M120"/>
      <c r="N120"/>
      <c r="T120" s="111"/>
      <c r="U120" s="111"/>
      <c r="V120" s="111"/>
      <c r="W120" s="111"/>
      <c r="X120" s="111"/>
      <c r="Y120" s="111"/>
      <c r="Z120" s="111"/>
      <c r="AA120" s="111"/>
      <c r="AB120" s="111"/>
    </row>
    <row r="121" spans="1:28" x14ac:dyDescent="0.3">
      <c r="A121" s="116">
        <v>41214</v>
      </c>
      <c r="B121" s="41">
        <f>+'Purchased Power Model '!B121</f>
        <v>91679199.734545454</v>
      </c>
      <c r="C121" s="96">
        <f>+'Purchased Power Model '!C121</f>
        <v>427.89999999999992</v>
      </c>
      <c r="D121" s="96">
        <f>+'Purchased Power Model '!D121</f>
        <v>0</v>
      </c>
      <c r="E121" s="103">
        <f>+'Purchased Power Model '!E121</f>
        <v>9.1999999999999998E-2</v>
      </c>
      <c r="F121" s="10">
        <f>+'Purchased Power Model '!F121</f>
        <v>30</v>
      </c>
      <c r="G121" s="10">
        <f>+'Purchased Power Model '!G121</f>
        <v>1</v>
      </c>
      <c r="H121" s="117">
        <f t="shared" si="5"/>
        <v>92325499.323695958</v>
      </c>
      <c r="I121" s="118">
        <f t="shared" si="6"/>
        <v>646299.58915050328</v>
      </c>
      <c r="J121" s="5">
        <f t="shared" si="7"/>
        <v>7.0495771235116094E-3</v>
      </c>
      <c r="K121"/>
      <c r="L121"/>
      <c r="M121"/>
      <c r="N121"/>
      <c r="T121" s="111"/>
      <c r="U121" s="111"/>
      <c r="V121" s="111"/>
      <c r="W121" s="111"/>
      <c r="X121" s="111"/>
      <c r="Y121" s="111"/>
      <c r="Z121" s="111"/>
      <c r="AA121" s="111"/>
      <c r="AB121" s="111"/>
    </row>
    <row r="122" spans="1:28" x14ac:dyDescent="0.3">
      <c r="A122" s="116">
        <v>41244</v>
      </c>
      <c r="B122" s="41">
        <f>+'Purchased Power Model '!B122</f>
        <v>102292637.76363637</v>
      </c>
      <c r="C122" s="96">
        <f>+'Purchased Power Model '!C122</f>
        <v>451.09999999999997</v>
      </c>
      <c r="D122" s="96">
        <f>+'Purchased Power Model '!D122</f>
        <v>0</v>
      </c>
      <c r="E122" s="103">
        <f>+'Purchased Power Model '!E122</f>
        <v>9.1999999999999998E-2</v>
      </c>
      <c r="F122" s="10">
        <f>+'Purchased Power Model '!F122</f>
        <v>31</v>
      </c>
      <c r="G122" s="10">
        <f>+'Purchased Power Model '!G122</f>
        <v>0</v>
      </c>
      <c r="H122" s="117">
        <f t="shared" si="5"/>
        <v>103125845.45768636</v>
      </c>
      <c r="I122" s="118">
        <f t="shared" si="6"/>
        <v>833207.69404999912</v>
      </c>
      <c r="J122" s="5">
        <f t="shared" si="7"/>
        <v>8.1453339386482523E-3</v>
      </c>
      <c r="K122"/>
      <c r="L122"/>
      <c r="M122"/>
      <c r="N122"/>
      <c r="T122" s="111"/>
      <c r="U122" s="111"/>
      <c r="V122" s="111"/>
      <c r="W122" s="111"/>
      <c r="X122" s="111"/>
      <c r="Y122" s="111"/>
      <c r="Z122" s="111"/>
      <c r="AA122" s="111"/>
      <c r="AB122" s="111"/>
    </row>
    <row r="123" spans="1:28" x14ac:dyDescent="0.3">
      <c r="A123" s="3">
        <v>41275</v>
      </c>
      <c r="B123" s="41">
        <f>+'Purchased Power Model '!B123</f>
        <v>107376383.33333334</v>
      </c>
      <c r="C123" s="96">
        <f>+'Purchased Power Model '!C123</f>
        <v>615.40000000000009</v>
      </c>
      <c r="D123" s="96">
        <f>+'Purchased Power Model '!D123</f>
        <v>0</v>
      </c>
      <c r="E123" s="103">
        <f>+'Purchased Power Model '!E123</f>
        <v>8.8000000000000009E-2</v>
      </c>
      <c r="F123" s="10">
        <f>+'Purchased Power Model '!F123</f>
        <v>31</v>
      </c>
      <c r="G123" s="10">
        <f>+'Purchased Power Model '!G123</f>
        <v>0</v>
      </c>
      <c r="H123" s="117">
        <f t="shared" si="5"/>
        <v>110293490.7110839</v>
      </c>
      <c r="I123" s="118">
        <f t="shared" si="6"/>
        <v>2917107.3777505606</v>
      </c>
      <c r="J123" s="5">
        <f t="shared" si="7"/>
        <v>2.7167122668816782E-2</v>
      </c>
      <c r="K123"/>
      <c r="L123"/>
      <c r="M123"/>
      <c r="N123"/>
      <c r="T123" s="111"/>
      <c r="U123" s="111"/>
      <c r="V123" s="111"/>
      <c r="W123" s="111"/>
      <c r="X123" s="111"/>
      <c r="Y123" s="111"/>
      <c r="Z123" s="111"/>
      <c r="AA123" s="111"/>
      <c r="AB123" s="111"/>
    </row>
    <row r="124" spans="1:28" x14ac:dyDescent="0.3">
      <c r="A124" s="3">
        <v>41306</v>
      </c>
      <c r="B124" s="41">
        <f>+'Purchased Power Model '!B124</f>
        <v>98702891.666666672</v>
      </c>
      <c r="C124" s="96">
        <f>+'Purchased Power Model '!C124</f>
        <v>611.5</v>
      </c>
      <c r="D124" s="96">
        <f>+'Purchased Power Model '!D124</f>
        <v>0</v>
      </c>
      <c r="E124" s="103">
        <f>+'Purchased Power Model '!E124</f>
        <v>8.8000000000000009E-2</v>
      </c>
      <c r="F124" s="10">
        <f>+'Purchased Power Model '!F124</f>
        <v>28</v>
      </c>
      <c r="G124" s="10">
        <f>+'Purchased Power Model '!G124</f>
        <v>0</v>
      </c>
      <c r="H124" s="117">
        <f t="shared" si="5"/>
        <v>101705096.07502438</v>
      </c>
      <c r="I124" s="118">
        <f t="shared" si="6"/>
        <v>3002204.4083577096</v>
      </c>
      <c r="J124" s="5">
        <f t="shared" si="7"/>
        <v>3.0416580078490199E-2</v>
      </c>
      <c r="K124"/>
      <c r="L124"/>
      <c r="M124"/>
      <c r="N124"/>
      <c r="T124" s="111"/>
      <c r="U124" s="111"/>
      <c r="V124" s="111"/>
      <c r="W124" s="111"/>
      <c r="X124" s="111"/>
      <c r="Y124" s="111"/>
      <c r="Z124" s="111"/>
      <c r="AA124" s="111"/>
      <c r="AB124" s="111"/>
    </row>
    <row r="125" spans="1:28" x14ac:dyDescent="0.3">
      <c r="A125" s="3">
        <v>41334</v>
      </c>
      <c r="B125" s="41">
        <f>+'Purchased Power Model '!B125</f>
        <v>98851083.333333343</v>
      </c>
      <c r="C125" s="96">
        <f>+'Purchased Power Model '!C125</f>
        <v>545</v>
      </c>
      <c r="D125" s="96">
        <f>+'Purchased Power Model '!D125</f>
        <v>0</v>
      </c>
      <c r="E125" s="103">
        <f>+'Purchased Power Model '!E125</f>
        <v>8.8000000000000009E-2</v>
      </c>
      <c r="F125" s="10">
        <f>+'Purchased Power Model '!F125</f>
        <v>31</v>
      </c>
      <c r="G125" s="10">
        <f>+'Purchased Power Model '!G125</f>
        <v>1</v>
      </c>
      <c r="H125" s="117">
        <f t="shared" si="5"/>
        <v>100383692.12974165</v>
      </c>
      <c r="I125" s="118">
        <f t="shared" si="6"/>
        <v>1532608.7964083105</v>
      </c>
      <c r="J125" s="5">
        <f t="shared" si="7"/>
        <v>1.5504218514634155E-2</v>
      </c>
      <c r="K125"/>
      <c r="L125"/>
      <c r="M125"/>
      <c r="N125"/>
      <c r="T125" s="111"/>
      <c r="U125" s="111"/>
      <c r="V125" s="111"/>
      <c r="W125" s="111"/>
      <c r="X125" s="111"/>
      <c r="Y125" s="111"/>
      <c r="Z125" s="111"/>
      <c r="AA125" s="111"/>
      <c r="AB125" s="111"/>
    </row>
    <row r="126" spans="1:28" x14ac:dyDescent="0.3">
      <c r="A126" s="3">
        <v>41365</v>
      </c>
      <c r="B126" s="41">
        <f>+'Purchased Power Model '!B126</f>
        <v>87330008.333333343</v>
      </c>
      <c r="C126" s="96">
        <f>+'Purchased Power Model '!C126</f>
        <v>366.49999999999994</v>
      </c>
      <c r="D126" s="96">
        <f>+'Purchased Power Model '!D126</f>
        <v>0</v>
      </c>
      <c r="E126" s="103">
        <f>+'Purchased Power Model '!E126</f>
        <v>7.400000000000001E-2</v>
      </c>
      <c r="F126" s="10">
        <f>+'Purchased Power Model '!F126</f>
        <v>30</v>
      </c>
      <c r="G126" s="10">
        <f>+'Purchased Power Model '!G126</f>
        <v>1</v>
      </c>
      <c r="H126" s="117">
        <f t="shared" si="5"/>
        <v>92017434.60332793</v>
      </c>
      <c r="I126" s="118">
        <f t="shared" si="6"/>
        <v>4687426.2699945867</v>
      </c>
      <c r="J126" s="5">
        <f t="shared" si="7"/>
        <v>5.367486342269618E-2</v>
      </c>
      <c r="K126"/>
      <c r="L126"/>
      <c r="M126"/>
      <c r="N126"/>
      <c r="T126" s="111"/>
      <c r="U126" s="111"/>
      <c r="V126" s="111"/>
      <c r="W126" s="111"/>
      <c r="X126" s="111"/>
      <c r="Y126" s="111"/>
      <c r="Z126" s="111"/>
      <c r="AA126" s="111"/>
      <c r="AB126" s="111"/>
    </row>
    <row r="127" spans="1:28" x14ac:dyDescent="0.3">
      <c r="A127" s="3">
        <v>41395</v>
      </c>
      <c r="B127" s="41">
        <f>+'Purchased Power Model '!B127</f>
        <v>81913958.333333343</v>
      </c>
      <c r="C127" s="96">
        <f>+'Purchased Power Model '!C127</f>
        <v>133.4</v>
      </c>
      <c r="D127" s="96">
        <f>+'Purchased Power Model '!D127</f>
        <v>3</v>
      </c>
      <c r="E127" s="103">
        <f>+'Purchased Power Model '!E127</f>
        <v>7.400000000000001E-2</v>
      </c>
      <c r="F127" s="10">
        <f>+'Purchased Power Model '!F127</f>
        <v>31</v>
      </c>
      <c r="G127" s="10">
        <f>+'Purchased Power Model '!G127</f>
        <v>1</v>
      </c>
      <c r="H127" s="117">
        <f t="shared" si="5"/>
        <v>85781010.789683133</v>
      </c>
      <c r="I127" s="118">
        <f t="shared" si="6"/>
        <v>3867052.4563497901</v>
      </c>
      <c r="J127" s="5">
        <f t="shared" si="7"/>
        <v>4.7208711860969435E-2</v>
      </c>
      <c r="K127"/>
      <c r="L127"/>
      <c r="M127"/>
      <c r="N127"/>
      <c r="T127" s="111"/>
      <c r="U127" s="111"/>
      <c r="V127" s="111"/>
      <c r="W127" s="111"/>
      <c r="X127" s="111"/>
      <c r="Y127" s="111"/>
      <c r="Z127" s="111"/>
      <c r="AA127" s="111"/>
      <c r="AB127" s="111"/>
    </row>
    <row r="128" spans="1:28" x14ac:dyDescent="0.3">
      <c r="A128" s="3">
        <v>41426</v>
      </c>
      <c r="B128" s="41">
        <f>+'Purchased Power Model '!B128</f>
        <v>86391933.333333343</v>
      </c>
      <c r="C128" s="96">
        <f>+'Purchased Power Model '!C128</f>
        <v>42.900000000000006</v>
      </c>
      <c r="D128" s="96">
        <f>+'Purchased Power Model '!D128</f>
        <v>32.200000000000003</v>
      </c>
      <c r="E128" s="103">
        <f>+'Purchased Power Model '!E128</f>
        <v>7.400000000000001E-2</v>
      </c>
      <c r="F128" s="10">
        <f>+'Purchased Power Model '!F128</f>
        <v>30</v>
      </c>
      <c r="G128" s="10">
        <f>+'Purchased Power Model '!G128</f>
        <v>0</v>
      </c>
      <c r="H128" s="117">
        <f t="shared" si="5"/>
        <v>90548961.981017634</v>
      </c>
      <c r="I128" s="118">
        <f t="shared" si="6"/>
        <v>4157028.647684291</v>
      </c>
      <c r="J128" s="5">
        <f t="shared" si="7"/>
        <v>4.8118250018145486E-2</v>
      </c>
      <c r="K128"/>
      <c r="L128"/>
      <c r="M128"/>
      <c r="N128"/>
      <c r="T128" s="111"/>
      <c r="U128" s="111"/>
      <c r="V128" s="111"/>
      <c r="W128" s="111"/>
      <c r="X128" s="111"/>
      <c r="Y128" s="111"/>
      <c r="Z128" s="111"/>
      <c r="AA128" s="111"/>
      <c r="AB128" s="111"/>
    </row>
    <row r="129" spans="1:28" x14ac:dyDescent="0.3">
      <c r="A129" s="3">
        <v>41456</v>
      </c>
      <c r="B129" s="41">
        <f>+'Purchased Power Model '!B129</f>
        <v>104037066.66666667</v>
      </c>
      <c r="C129" s="96">
        <f>+'Purchased Power Model '!C129</f>
        <v>4.4000000000000004</v>
      </c>
      <c r="D129" s="96">
        <f>+'Purchased Power Model '!D129</f>
        <v>109.99999999999999</v>
      </c>
      <c r="E129" s="103">
        <f>+'Purchased Power Model '!E129</f>
        <v>6.2E-2</v>
      </c>
      <c r="F129" s="10">
        <f>+'Purchased Power Model '!F129</f>
        <v>31</v>
      </c>
      <c r="G129" s="10">
        <f>+'Purchased Power Model '!G129</f>
        <v>0</v>
      </c>
      <c r="H129" s="117">
        <f t="shared" si="5"/>
        <v>104472399.70807847</v>
      </c>
      <c r="I129" s="118">
        <f t="shared" si="6"/>
        <v>435333.04141180217</v>
      </c>
      <c r="J129" s="5">
        <f t="shared" si="7"/>
        <v>4.1844032647191335E-3</v>
      </c>
      <c r="K129"/>
      <c r="L129"/>
      <c r="M129"/>
      <c r="N129"/>
      <c r="T129" s="111"/>
      <c r="U129" s="111"/>
      <c r="V129" s="111"/>
      <c r="W129" s="111"/>
      <c r="X129" s="111"/>
      <c r="Y129" s="111"/>
      <c r="Z129" s="111"/>
      <c r="AA129" s="111"/>
      <c r="AB129" s="111"/>
    </row>
    <row r="130" spans="1:28" x14ac:dyDescent="0.3">
      <c r="A130" s="3">
        <v>41487</v>
      </c>
      <c r="B130" s="41">
        <f>+'Purchased Power Model '!B130</f>
        <v>95663441.666666672</v>
      </c>
      <c r="C130" s="96">
        <f>+'Purchased Power Model '!C130</f>
        <v>11</v>
      </c>
      <c r="D130" s="96">
        <f>+'Purchased Power Model '!D130</f>
        <v>57.899999999999991</v>
      </c>
      <c r="E130" s="103">
        <f>+'Purchased Power Model '!E130</f>
        <v>6.2E-2</v>
      </c>
      <c r="F130" s="10">
        <f>+'Purchased Power Model '!F130</f>
        <v>31</v>
      </c>
      <c r="G130" s="10">
        <f>+'Purchased Power Model '!G130</f>
        <v>0</v>
      </c>
      <c r="H130" s="117">
        <f t="shared" si="5"/>
        <v>97227185.59262301</v>
      </c>
      <c r="I130" s="118">
        <f t="shared" si="6"/>
        <v>1563743.9259563386</v>
      </c>
      <c r="J130" s="5">
        <f t="shared" si="7"/>
        <v>1.6346306370673004E-2</v>
      </c>
      <c r="K130"/>
      <c r="L130"/>
      <c r="M130"/>
      <c r="N130"/>
      <c r="T130" s="111"/>
      <c r="U130" s="111"/>
      <c r="V130" s="111"/>
      <c r="W130" s="111"/>
      <c r="X130" s="111"/>
      <c r="Y130" s="111"/>
      <c r="Z130" s="111"/>
      <c r="AA130" s="111"/>
      <c r="AB130" s="111"/>
    </row>
    <row r="131" spans="1:28" x14ac:dyDescent="0.3">
      <c r="A131" s="3">
        <v>41518</v>
      </c>
      <c r="B131" s="41">
        <f>+'Purchased Power Model '!B131</f>
        <v>83012108.333333343</v>
      </c>
      <c r="C131" s="96">
        <f>+'Purchased Power Model '!C131</f>
        <v>96.600000000000009</v>
      </c>
      <c r="D131" s="96">
        <f>+'Purchased Power Model '!D131</f>
        <v>15.700000000000001</v>
      </c>
      <c r="E131" s="103">
        <f>+'Purchased Power Model '!E131</f>
        <v>6.2E-2</v>
      </c>
      <c r="F131" s="10">
        <f>+'Purchased Power Model '!F131</f>
        <v>30</v>
      </c>
      <c r="G131" s="10">
        <f>+'Purchased Power Model '!G131</f>
        <v>1</v>
      </c>
      <c r="H131" s="117">
        <f t="shared" si="5"/>
        <v>84765313.223946795</v>
      </c>
      <c r="I131" s="118">
        <f t="shared" si="6"/>
        <v>1753204.8906134516</v>
      </c>
      <c r="J131" s="5">
        <f t="shared" si="7"/>
        <v>2.1119869448123097E-2</v>
      </c>
      <c r="K131"/>
      <c r="L131"/>
      <c r="M131"/>
      <c r="N131"/>
      <c r="T131" s="111"/>
      <c r="U131" s="111"/>
      <c r="V131" s="111"/>
      <c r="W131" s="111"/>
      <c r="X131" s="111"/>
      <c r="Y131" s="111"/>
      <c r="Z131" s="111"/>
      <c r="AA131" s="111"/>
      <c r="AB131" s="111"/>
    </row>
    <row r="132" spans="1:28" x14ac:dyDescent="0.3">
      <c r="A132" s="3">
        <v>41548</v>
      </c>
      <c r="B132" s="41">
        <f>+'Purchased Power Model '!B132</f>
        <v>84463400.000000015</v>
      </c>
      <c r="C132" s="96">
        <f>+'Purchased Power Model '!C132</f>
        <v>221</v>
      </c>
      <c r="D132" s="96">
        <f>+'Purchased Power Model '!D132</f>
        <v>3</v>
      </c>
      <c r="E132" s="103">
        <f>+'Purchased Power Model '!E132</f>
        <v>7.5999999999999998E-2</v>
      </c>
      <c r="F132" s="10">
        <f>+'Purchased Power Model '!F132</f>
        <v>31</v>
      </c>
      <c r="G132" s="10">
        <f>+'Purchased Power Model '!G132</f>
        <v>1</v>
      </c>
      <c r="H132" s="117">
        <f t="shared" ref="H132:H195" si="8">$M$18+C132*$M$19+D132*$M$20+E132*$M$21+F132*$M$22+G132*$M$23</f>
        <v>89100065.470785186</v>
      </c>
      <c r="I132" s="118">
        <f t="shared" ref="I132:I133" si="9">H132-B132</f>
        <v>4636665.4707851708</v>
      </c>
      <c r="J132" s="5">
        <f t="shared" ref="J132:J133" si="10">I132/B132</f>
        <v>5.4895557966943904E-2</v>
      </c>
      <c r="K132"/>
      <c r="L132"/>
      <c r="M132"/>
      <c r="N132"/>
      <c r="T132" s="111"/>
      <c r="U132" s="111"/>
      <c r="V132" s="111"/>
      <c r="W132" s="111"/>
      <c r="X132" s="111"/>
      <c r="Y132" s="111"/>
      <c r="Z132" s="111"/>
      <c r="AA132" s="111"/>
      <c r="AB132" s="111"/>
    </row>
    <row r="133" spans="1:28" x14ac:dyDescent="0.3">
      <c r="A133" s="3">
        <v>41579</v>
      </c>
      <c r="B133" s="41">
        <f>+'Purchased Power Model '!B133</f>
        <v>94249183.333333343</v>
      </c>
      <c r="C133" s="96">
        <f>+'Purchased Power Model '!C133</f>
        <v>458.6</v>
      </c>
      <c r="D133" s="96">
        <f>+'Purchased Power Model '!D133</f>
        <v>0</v>
      </c>
      <c r="E133" s="103">
        <f>+'Purchased Power Model '!E133</f>
        <v>7.5999999999999998E-2</v>
      </c>
      <c r="F133" s="10">
        <f>+'Purchased Power Model '!F133</f>
        <v>30</v>
      </c>
      <c r="G133" s="10">
        <f>+'Purchased Power Model '!G133</f>
        <v>1</v>
      </c>
      <c r="H133" s="117">
        <f t="shared" si="8"/>
        <v>95519481.613650039</v>
      </c>
      <c r="I133" s="118">
        <f t="shared" si="9"/>
        <v>1270298.2803166956</v>
      </c>
      <c r="J133" s="5">
        <f t="shared" si="10"/>
        <v>1.3478082625119427E-2</v>
      </c>
      <c r="K133"/>
      <c r="L133"/>
      <c r="M133"/>
      <c r="N133"/>
      <c r="T133" s="111"/>
      <c r="U133" s="111"/>
      <c r="V133" s="111"/>
      <c r="W133" s="111"/>
      <c r="X133" s="111"/>
      <c r="Y133" s="111"/>
      <c r="Z133" s="111"/>
      <c r="AA133" s="111"/>
      <c r="AB133" s="111"/>
    </row>
    <row r="134" spans="1:28" x14ac:dyDescent="0.3">
      <c r="A134" s="3">
        <v>41609</v>
      </c>
      <c r="B134" s="41">
        <f>+'Purchased Power Model '!B134</f>
        <v>108415583.33333334</v>
      </c>
      <c r="C134" s="96">
        <f>+'Purchased Power Model '!C134</f>
        <v>472.8</v>
      </c>
      <c r="D134" s="96">
        <f ca="1">+'Purchased Power Model '!D134</f>
        <v>0</v>
      </c>
      <c r="E134" s="103">
        <f>+'Purchased Power Model '!E134</f>
        <v>7.5999999999999998E-2</v>
      </c>
      <c r="F134" s="10">
        <f>+'Purchased Power Model '!F134</f>
        <v>31</v>
      </c>
      <c r="G134" s="10">
        <f>+'Purchased Power Model '!G134</f>
        <v>0</v>
      </c>
      <c r="H134" s="117">
        <f t="shared" ca="1" si="8"/>
        <v>105953843.08920036</v>
      </c>
      <c r="I134" s="118">
        <f t="shared" ref="I134" ca="1" si="11">H134-B134</f>
        <v>-2461740.2441329807</v>
      </c>
      <c r="J134" s="5">
        <f t="shared" ref="J134" ca="1" si="12">I134/B134</f>
        <v>-2.2706516613613944E-2</v>
      </c>
      <c r="L134"/>
      <c r="M134"/>
      <c r="N134"/>
      <c r="T134" s="111"/>
      <c r="U134" s="111"/>
      <c r="V134" s="111"/>
      <c r="W134" s="111"/>
      <c r="X134" s="111"/>
      <c r="Y134" s="111"/>
      <c r="Z134" s="111"/>
      <c r="AA134" s="111"/>
      <c r="AB134" s="111"/>
    </row>
    <row r="135" spans="1:28" x14ac:dyDescent="0.3">
      <c r="A135" s="3">
        <v>41640</v>
      </c>
      <c r="B135" s="41">
        <f>+'Purchased Power Model '!B135</f>
        <v>117702582.33333334</v>
      </c>
      <c r="C135" s="96">
        <f>+'Purchased Power Model '!C135</f>
        <v>771.3</v>
      </c>
      <c r="D135" s="96">
        <f>+'Purchased Power Model '!D135</f>
        <v>0</v>
      </c>
      <c r="E135" s="103">
        <f>+'Purchased Power Model '!E135</f>
        <v>7.6999999999999999E-2</v>
      </c>
      <c r="F135" s="10">
        <f>+'Purchased Power Model '!F135</f>
        <v>31</v>
      </c>
      <c r="G135" s="10">
        <f>+'Purchased Power Model '!G135</f>
        <v>0</v>
      </c>
      <c r="H135" s="117">
        <f t="shared" ref="H135:H146" si="13">$M$18+C135*$M$19+D135*$M$20+E135*$M$21+F135*$M$22+G135*$M$23</f>
        <v>117970736.26360629</v>
      </c>
      <c r="I135" s="118">
        <f t="shared" ref="I135:I146" si="14">H135-B135</f>
        <v>268153.93027295172</v>
      </c>
      <c r="J135" s="5">
        <f t="shared" ref="J135:J146" si="15">I135/B135</f>
        <v>2.2782331955431582E-3</v>
      </c>
      <c r="L135"/>
      <c r="M135"/>
      <c r="N135"/>
      <c r="T135" s="111"/>
      <c r="U135" s="111"/>
      <c r="V135" s="111"/>
      <c r="W135" s="111"/>
      <c r="X135" s="111"/>
      <c r="Y135" s="111"/>
      <c r="Z135" s="111"/>
      <c r="AA135" s="111"/>
      <c r="AB135" s="111"/>
    </row>
    <row r="136" spans="1:28" x14ac:dyDescent="0.3">
      <c r="A136" s="3">
        <v>41671</v>
      </c>
      <c r="B136" s="41">
        <f>+'Purchased Power Model '!B136</f>
        <v>101945538.33333334</v>
      </c>
      <c r="C136" s="96">
        <f>+'Purchased Power Model '!C136</f>
        <v>690.84999999999991</v>
      </c>
      <c r="D136" s="96">
        <f>+'Purchased Power Model '!D136</f>
        <v>0</v>
      </c>
      <c r="E136" s="103">
        <f>+'Purchased Power Model '!E136</f>
        <v>7.6999999999999999E-2</v>
      </c>
      <c r="F136" s="10">
        <f>+'Purchased Power Model '!F136</f>
        <v>28</v>
      </c>
      <c r="G136" s="10">
        <f>+'Purchased Power Model '!G136</f>
        <v>0</v>
      </c>
      <c r="H136" s="117">
        <f t="shared" si="13"/>
        <v>106269438.78270346</v>
      </c>
      <c r="I136" s="118">
        <f t="shared" si="14"/>
        <v>4323900.449370116</v>
      </c>
      <c r="J136" s="5">
        <f t="shared" si="15"/>
        <v>4.2413827226378195E-2</v>
      </c>
      <c r="L136"/>
      <c r="M136"/>
      <c r="N136"/>
      <c r="T136" s="111"/>
      <c r="U136" s="111"/>
      <c r="V136" s="111"/>
      <c r="W136" s="111"/>
      <c r="X136" s="111"/>
      <c r="Y136" s="111"/>
      <c r="Z136" s="111"/>
      <c r="AA136" s="111"/>
      <c r="AB136" s="111"/>
    </row>
    <row r="137" spans="1:28" x14ac:dyDescent="0.3">
      <c r="A137" s="3">
        <v>41699</v>
      </c>
      <c r="B137" s="41">
        <f>+'Purchased Power Model '!B137</f>
        <v>106417935.35000001</v>
      </c>
      <c r="C137" s="96">
        <f>+'Purchased Power Model '!C137</f>
        <v>677.95</v>
      </c>
      <c r="D137" s="96">
        <f>+'Purchased Power Model '!D137</f>
        <v>0</v>
      </c>
      <c r="E137" s="103">
        <f>+'Purchased Power Model '!E137</f>
        <v>7.6999999999999999E-2</v>
      </c>
      <c r="F137" s="10">
        <f>+'Purchased Power Model '!F137</f>
        <v>31</v>
      </c>
      <c r="G137" s="10">
        <f>+'Purchased Power Model '!G137</f>
        <v>1</v>
      </c>
      <c r="H137" s="117">
        <f t="shared" si="13"/>
        <v>107127676.80324179</v>
      </c>
      <c r="I137" s="118">
        <f t="shared" si="14"/>
        <v>709741.4532417804</v>
      </c>
      <c r="J137" s="5">
        <f t="shared" si="15"/>
        <v>6.6693781542321601E-3</v>
      </c>
      <c r="L137"/>
      <c r="M137"/>
      <c r="N137"/>
      <c r="T137" s="111"/>
      <c r="U137" s="111"/>
      <c r="V137" s="111"/>
      <c r="W137" s="111"/>
      <c r="X137" s="111"/>
      <c r="Y137" s="111"/>
      <c r="Z137" s="111"/>
      <c r="AA137" s="111"/>
      <c r="AB137" s="111"/>
    </row>
    <row r="138" spans="1:28" x14ac:dyDescent="0.3">
      <c r="A138" s="3">
        <v>41730</v>
      </c>
      <c r="B138" s="41">
        <f>+'Purchased Power Model '!B138</f>
        <v>86925100.333333343</v>
      </c>
      <c r="C138" s="96">
        <f>+'Purchased Power Model '!C138</f>
        <v>371.2999999999999</v>
      </c>
      <c r="D138" s="96">
        <f>+'Purchased Power Model '!D138</f>
        <v>0</v>
      </c>
      <c r="E138" s="103">
        <f>+'Purchased Power Model '!E138</f>
        <v>6.7000000000000004E-2</v>
      </c>
      <c r="F138" s="10">
        <f>+'Purchased Power Model '!F138</f>
        <v>30</v>
      </c>
      <c r="G138" s="10">
        <f>+'Purchased Power Model '!G138</f>
        <v>1</v>
      </c>
      <c r="H138" s="117">
        <f t="shared" si="13"/>
        <v>93063812.401498273</v>
      </c>
      <c r="I138" s="118">
        <f t="shared" si="14"/>
        <v>6138712.0681649297</v>
      </c>
      <c r="J138" s="5">
        <f t="shared" si="15"/>
        <v>7.0620707305768915E-2</v>
      </c>
      <c r="L138"/>
      <c r="M138"/>
      <c r="N138"/>
      <c r="T138" s="111"/>
      <c r="U138" s="111"/>
      <c r="V138" s="111"/>
      <c r="W138" s="111"/>
      <c r="X138" s="111"/>
      <c r="Y138" s="111"/>
      <c r="Z138" s="111"/>
      <c r="AA138" s="111"/>
      <c r="AB138" s="111"/>
    </row>
    <row r="139" spans="1:28" x14ac:dyDescent="0.3">
      <c r="A139" s="3">
        <v>41760</v>
      </c>
      <c r="B139" s="41">
        <f>+'Purchased Power Model '!B139</f>
        <v>81755065.176384613</v>
      </c>
      <c r="C139" s="96">
        <f>+'Purchased Power Model '!C139</f>
        <v>160.49999999999994</v>
      </c>
      <c r="D139" s="96">
        <f>+'Purchased Power Model '!D139</f>
        <v>1.3</v>
      </c>
      <c r="E139" s="103">
        <f>+'Purchased Power Model '!E139</f>
        <v>6.7000000000000004E-2</v>
      </c>
      <c r="F139" s="10">
        <f>+'Purchased Power Model '!F139</f>
        <v>31</v>
      </c>
      <c r="G139" s="10">
        <f>+'Purchased Power Model '!G139</f>
        <v>1</v>
      </c>
      <c r="H139" s="117">
        <f t="shared" si="13"/>
        <v>87489051.697005317</v>
      </c>
      <c r="I139" s="118">
        <f t="shared" si="14"/>
        <v>5733986.5206207037</v>
      </c>
      <c r="J139" s="5">
        <f t="shared" si="15"/>
        <v>7.0136162306882924E-2</v>
      </c>
      <c r="L139"/>
      <c r="M139"/>
      <c r="N139"/>
      <c r="T139" s="111"/>
      <c r="U139" s="111"/>
      <c r="V139" s="111"/>
      <c r="W139" s="111"/>
      <c r="X139" s="111"/>
      <c r="Y139" s="111"/>
      <c r="Z139" s="111"/>
      <c r="AA139" s="111"/>
      <c r="AB139" s="111"/>
    </row>
    <row r="140" spans="1:28" x14ac:dyDescent="0.3">
      <c r="A140" s="3">
        <v>41791</v>
      </c>
      <c r="B140" s="41">
        <f>+'Purchased Power Model '!B140</f>
        <v>88119245.461538464</v>
      </c>
      <c r="C140" s="96">
        <f>+'Purchased Power Model '!C140</f>
        <v>26.9</v>
      </c>
      <c r="D140" s="96">
        <f>+'Purchased Power Model '!D140</f>
        <v>40.1</v>
      </c>
      <c r="E140" s="103">
        <f>+'Purchased Power Model '!E140</f>
        <v>6.7000000000000004E-2</v>
      </c>
      <c r="F140" s="10">
        <f>+'Purchased Power Model '!F140</f>
        <v>30</v>
      </c>
      <c r="G140" s="10">
        <f>+'Purchased Power Model '!G140</f>
        <v>0</v>
      </c>
      <c r="H140" s="117">
        <f t="shared" si="13"/>
        <v>91888807.275544524</v>
      </c>
      <c r="I140" s="118">
        <f t="shared" si="14"/>
        <v>3769561.8140060604</v>
      </c>
      <c r="J140" s="5">
        <f t="shared" si="15"/>
        <v>4.2777962909945323E-2</v>
      </c>
      <c r="L140"/>
      <c r="M140"/>
      <c r="N140"/>
      <c r="T140" s="111"/>
      <c r="U140" s="111"/>
      <c r="V140" s="111"/>
      <c r="W140" s="111"/>
      <c r="X140" s="111"/>
      <c r="Y140" s="111"/>
      <c r="Z140" s="111"/>
      <c r="AA140" s="111"/>
      <c r="AB140" s="111"/>
    </row>
    <row r="141" spans="1:28" x14ac:dyDescent="0.3">
      <c r="A141" s="3">
        <v>41821</v>
      </c>
      <c r="B141" s="41">
        <f>+'Purchased Power Model '!B141</f>
        <v>93045474.15384616</v>
      </c>
      <c r="C141" s="96">
        <f>+'Purchased Power Model '!C141</f>
        <v>9.5999999999999979</v>
      </c>
      <c r="D141" s="96">
        <f>+'Purchased Power Model '!D141</f>
        <v>54.599999999999994</v>
      </c>
      <c r="E141" s="103">
        <f>+'Purchased Power Model '!E141</f>
        <v>7.5999999999999998E-2</v>
      </c>
      <c r="F141" s="10">
        <f>+'Purchased Power Model '!F141</f>
        <v>31</v>
      </c>
      <c r="G141" s="10">
        <f>+'Purchased Power Model '!G141</f>
        <v>0</v>
      </c>
      <c r="H141" s="117">
        <f t="shared" si="13"/>
        <v>94991973.098625958</v>
      </c>
      <c r="I141" s="118">
        <f t="shared" si="14"/>
        <v>1946498.9447797984</v>
      </c>
      <c r="J141" s="5">
        <f t="shared" si="15"/>
        <v>2.0919867005689683E-2</v>
      </c>
      <c r="L141"/>
      <c r="M141"/>
      <c r="N141"/>
      <c r="T141" s="111"/>
      <c r="U141" s="111"/>
      <c r="V141" s="111"/>
      <c r="W141" s="111"/>
      <c r="X141" s="111"/>
      <c r="Y141" s="111"/>
      <c r="Z141" s="111"/>
      <c r="AA141" s="111"/>
      <c r="AB141" s="111"/>
    </row>
    <row r="142" spans="1:28" x14ac:dyDescent="0.3">
      <c r="A142" s="3">
        <v>41852</v>
      </c>
      <c r="B142" s="41">
        <f>+'Purchased Power Model '!B142</f>
        <v>92680248.923076928</v>
      </c>
      <c r="C142" s="96">
        <f>+'Purchased Power Model '!C142</f>
        <v>12.7</v>
      </c>
      <c r="D142" s="96">
        <f>+'Purchased Power Model '!D142</f>
        <v>58</v>
      </c>
      <c r="E142" s="103">
        <f>+'Purchased Power Model '!E142</f>
        <v>7.5999999999999998E-2</v>
      </c>
      <c r="F142" s="10">
        <f>+'Purchased Power Model '!F142</f>
        <v>31</v>
      </c>
      <c r="G142" s="10">
        <f>+'Purchased Power Model '!G142</f>
        <v>0</v>
      </c>
      <c r="H142" s="117">
        <f t="shared" si="13"/>
        <v>95608365.570054814</v>
      </c>
      <c r="I142" s="118">
        <f t="shared" si="14"/>
        <v>2928116.6469778866</v>
      </c>
      <c r="J142" s="5">
        <f t="shared" si="15"/>
        <v>3.1593750351363158E-2</v>
      </c>
      <c r="L142"/>
      <c r="M142"/>
      <c r="N142"/>
      <c r="T142" s="111"/>
      <c r="U142" s="111"/>
      <c r="V142" s="111"/>
      <c r="W142" s="111"/>
      <c r="X142" s="111"/>
      <c r="Y142" s="111"/>
      <c r="Z142" s="111"/>
      <c r="AA142" s="111"/>
      <c r="AB142" s="111"/>
    </row>
    <row r="143" spans="1:28" x14ac:dyDescent="0.3">
      <c r="A143" s="3">
        <v>41883</v>
      </c>
      <c r="B143" s="41">
        <f>+'Purchased Power Model '!B143</f>
        <v>84852396.923076928</v>
      </c>
      <c r="C143" s="96">
        <f>+'Purchased Power Model '!C143</f>
        <v>77.400000000000006</v>
      </c>
      <c r="D143" s="96">
        <f>+'Purchased Power Model '!D143</f>
        <v>22.5</v>
      </c>
      <c r="E143" s="103">
        <f>+'Purchased Power Model '!E143</f>
        <v>7.5999999999999998E-2</v>
      </c>
      <c r="F143" s="10">
        <f>+'Purchased Power Model '!F143</f>
        <v>30</v>
      </c>
      <c r="G143" s="10">
        <f>+'Purchased Power Model '!G143</f>
        <v>1</v>
      </c>
      <c r="H143" s="117">
        <f t="shared" si="13"/>
        <v>83262836.170091212</v>
      </c>
      <c r="I143" s="118">
        <f t="shared" si="14"/>
        <v>-1589560.7529857159</v>
      </c>
      <c r="J143" s="5">
        <f t="shared" si="15"/>
        <v>-1.8733245148357267E-2</v>
      </c>
      <c r="L143"/>
      <c r="M143"/>
      <c r="N143"/>
      <c r="T143" s="111"/>
      <c r="U143" s="111"/>
      <c r="V143" s="111"/>
      <c r="W143" s="111"/>
      <c r="X143" s="111"/>
      <c r="Y143" s="111"/>
      <c r="Z143" s="111"/>
      <c r="AA143" s="111"/>
      <c r="AB143" s="111"/>
    </row>
    <row r="144" spans="1:28" x14ac:dyDescent="0.3">
      <c r="A144" s="3">
        <v>41913</v>
      </c>
      <c r="B144" s="41">
        <f>+'Purchased Power Model '!B144</f>
        <v>84720129.461538464</v>
      </c>
      <c r="C144" s="96">
        <f>+'Purchased Power Model '!C144</f>
        <v>216.29999999999998</v>
      </c>
      <c r="D144" s="96">
        <f>+'Purchased Power Model '!D144</f>
        <v>0.5</v>
      </c>
      <c r="E144" s="103">
        <f>+'Purchased Power Model '!E144</f>
        <v>6.9000000000000006E-2</v>
      </c>
      <c r="F144" s="10">
        <f>+'Purchased Power Model '!F144</f>
        <v>31</v>
      </c>
      <c r="G144" s="10">
        <f>+'Purchased Power Model '!G144</f>
        <v>1</v>
      </c>
      <c r="H144" s="117">
        <f t="shared" si="13"/>
        <v>89399588.563992992</v>
      </c>
      <c r="I144" s="118">
        <f t="shared" si="14"/>
        <v>4679459.1024545282</v>
      </c>
      <c r="J144" s="5">
        <f t="shared" si="15"/>
        <v>5.523432426503698E-2</v>
      </c>
      <c r="L144"/>
      <c r="M144"/>
      <c r="N144"/>
      <c r="T144" s="111"/>
      <c r="U144" s="111"/>
      <c r="V144" s="111"/>
      <c r="W144" s="111"/>
      <c r="X144" s="111"/>
      <c r="Y144" s="111"/>
      <c r="Z144" s="111"/>
      <c r="AA144" s="111"/>
      <c r="AB144" s="111"/>
    </row>
    <row r="145" spans="1:28" x14ac:dyDescent="0.3">
      <c r="A145" s="3">
        <v>41944</v>
      </c>
      <c r="B145" s="41">
        <f>+'Purchased Power Model '!B145</f>
        <v>94073964.750000015</v>
      </c>
      <c r="C145" s="96">
        <f>+'Purchased Power Model '!C145</f>
        <v>407.30000000000013</v>
      </c>
      <c r="D145" s="96">
        <f>+'Purchased Power Model '!D145</f>
        <v>0</v>
      </c>
      <c r="E145" s="103">
        <f>+'Purchased Power Model '!E145</f>
        <v>6.9000000000000006E-2</v>
      </c>
      <c r="F145" s="10">
        <f>+'Purchased Power Model '!F145</f>
        <v>30</v>
      </c>
      <c r="G145" s="10">
        <f>+'Purchased Power Model '!G145</f>
        <v>1</v>
      </c>
      <c r="H145" s="117">
        <f t="shared" si="13"/>
        <v>94284555.040877089</v>
      </c>
      <c r="I145" s="118">
        <f t="shared" si="14"/>
        <v>210590.290877074</v>
      </c>
      <c r="J145" s="5">
        <f t="shared" si="15"/>
        <v>2.238560811556249E-3</v>
      </c>
      <c r="L145"/>
      <c r="M145"/>
      <c r="N145"/>
      <c r="T145" s="111"/>
      <c r="U145" s="111"/>
      <c r="V145" s="111"/>
      <c r="W145" s="111"/>
      <c r="X145" s="111"/>
      <c r="Y145" s="111"/>
      <c r="Z145" s="111"/>
      <c r="AA145" s="111"/>
      <c r="AB145" s="111"/>
    </row>
    <row r="146" spans="1:28" x14ac:dyDescent="0.3">
      <c r="A146" s="3">
        <v>41974</v>
      </c>
      <c r="B146" s="41">
        <f>+'Purchased Power Model '!B146</f>
        <v>102732461.57384616</v>
      </c>
      <c r="C146" s="96">
        <f>+'Purchased Power Model '!C146</f>
        <v>551.79999999999995</v>
      </c>
      <c r="D146" s="96">
        <f>+'Purchased Power Model '!D146</f>
        <v>0</v>
      </c>
      <c r="E146" s="103">
        <f>+'Purchased Power Model '!E146</f>
        <v>6.9000000000000006E-2</v>
      </c>
      <c r="F146" s="10">
        <f>+'Purchased Power Model '!F146</f>
        <v>31</v>
      </c>
      <c r="G146" s="10">
        <f>+'Purchased Power Model '!G146</f>
        <v>0</v>
      </c>
      <c r="H146" s="117">
        <f t="shared" si="13"/>
        <v>110017561.07139911</v>
      </c>
      <c r="I146" s="118">
        <f t="shared" si="14"/>
        <v>7285099.4975529462</v>
      </c>
      <c r="J146" s="5">
        <f t="shared" si="15"/>
        <v>7.091331586867769E-2</v>
      </c>
      <c r="L146"/>
      <c r="M146"/>
      <c r="N146"/>
      <c r="T146" s="111"/>
      <c r="U146" s="111"/>
      <c r="V146" s="111"/>
      <c r="W146" s="111"/>
      <c r="X146" s="111"/>
      <c r="Y146" s="111"/>
      <c r="Z146" s="111"/>
      <c r="AA146" s="111"/>
      <c r="AB146" s="111"/>
    </row>
    <row r="147" spans="1:28" x14ac:dyDescent="0.3">
      <c r="A147" s="3">
        <v>42005</v>
      </c>
      <c r="B147" s="111"/>
      <c r="C147" s="98">
        <f>(+C135/SUM(C$135:C$146))*Trends!B$22</f>
        <v>711.94424771634988</v>
      </c>
      <c r="D147" s="98">
        <f>(+D135/SUM(D$135:D$146))*Trends!C$22</f>
        <v>0</v>
      </c>
      <c r="E147" s="103">
        <f>+'Purchased Power Model '!E147</f>
        <v>7.4999869999999996E-2</v>
      </c>
      <c r="F147" s="10">
        <f>+'Purchased Power Model '!F147</f>
        <v>31</v>
      </c>
      <c r="G147" s="10">
        <f>+'Purchased Power Model '!G147</f>
        <v>0</v>
      </c>
      <c r="H147" s="117">
        <f t="shared" si="8"/>
        <v>115800248.65172899</v>
      </c>
      <c r="I147" s="118"/>
      <c r="J147" s="119"/>
      <c r="L147"/>
      <c r="M147"/>
      <c r="N147"/>
      <c r="T147" s="111"/>
      <c r="U147" s="111"/>
      <c r="V147" s="111"/>
      <c r="W147" s="111"/>
      <c r="X147" s="111"/>
      <c r="Y147" s="111"/>
      <c r="Z147" s="111"/>
      <c r="AA147" s="111"/>
      <c r="AB147" s="111"/>
    </row>
    <row r="148" spans="1:28" x14ac:dyDescent="0.3">
      <c r="A148" s="3">
        <v>42036</v>
      </c>
      <c r="B148" s="111"/>
      <c r="C148" s="98">
        <f>(+C136/SUM(C$135:C$146))*Trends!B$22</f>
        <v>637.68531509767968</v>
      </c>
      <c r="D148" s="98">
        <f>(+D136/SUM(D$135:D$146))*Trends!C$22</f>
        <v>0</v>
      </c>
      <c r="E148" s="103">
        <f>+'Purchased Power Model '!E148</f>
        <v>7.4999869999999996E-2</v>
      </c>
      <c r="F148" s="10">
        <f>+'Purchased Power Model '!F148</f>
        <v>28</v>
      </c>
      <c r="G148" s="10">
        <f>+'Purchased Power Model '!G148</f>
        <v>0</v>
      </c>
      <c r="H148" s="117">
        <f t="shared" si="8"/>
        <v>104350710.6909301</v>
      </c>
      <c r="I148" s="118"/>
      <c r="J148" s="119"/>
      <c r="L148"/>
      <c r="M148"/>
      <c r="N148"/>
      <c r="T148" s="111"/>
      <c r="U148" s="111"/>
      <c r="V148" s="111"/>
      <c r="W148" s="111"/>
      <c r="X148" s="111"/>
      <c r="Y148" s="111"/>
      <c r="Z148" s="111"/>
      <c r="AA148" s="111"/>
      <c r="AB148" s="111"/>
    </row>
    <row r="149" spans="1:28" x14ac:dyDescent="0.3">
      <c r="A149" s="3">
        <v>42064</v>
      </c>
      <c r="B149" s="111"/>
      <c r="C149" s="98">
        <f>(+C137/SUM(C$135:C$146))*Trends!B$22</f>
        <v>625.77804063178985</v>
      </c>
      <c r="D149" s="98">
        <f>(+D137/SUM(D$135:D$146))*Trends!C$22</f>
        <v>0</v>
      </c>
      <c r="E149" s="103">
        <f>+'Purchased Power Model '!E149</f>
        <v>7.4999869999999996E-2</v>
      </c>
      <c r="F149" s="10">
        <f>+'Purchased Power Model '!F149</f>
        <v>31</v>
      </c>
      <c r="G149" s="10">
        <f>+'Purchased Power Model '!G149</f>
        <v>1</v>
      </c>
      <c r="H149" s="117">
        <f t="shared" si="8"/>
        <v>105249317.857638</v>
      </c>
      <c r="I149" s="118"/>
      <c r="J149" s="119"/>
      <c r="L149"/>
      <c r="M149"/>
      <c r="N149"/>
      <c r="T149" s="111"/>
      <c r="U149" s="111"/>
      <c r="V149" s="111"/>
      <c r="W149" s="111"/>
      <c r="X149" s="111"/>
      <c r="Y149" s="111"/>
      <c r="Z149" s="111"/>
      <c r="AA149" s="111"/>
      <c r="AB149" s="111"/>
    </row>
    <row r="150" spans="1:28" x14ac:dyDescent="0.3">
      <c r="A150" s="3">
        <v>42095</v>
      </c>
      <c r="B150" s="111"/>
      <c r="C150" s="98">
        <f>(+C138/SUM(C$135:C$146))*Trends!B$22</f>
        <v>342.72643482053763</v>
      </c>
      <c r="D150" s="98">
        <f>(+D138/SUM(D$135:D$146))*Trends!C$22</f>
        <v>0</v>
      </c>
      <c r="E150" s="103">
        <f>+'Purchased Power Model '!E150</f>
        <v>7.3999759999999998E-2</v>
      </c>
      <c r="F150" s="10">
        <f>+'Purchased Power Model '!F150</f>
        <v>30</v>
      </c>
      <c r="G150" s="10">
        <f>+'Purchased Power Model '!G150</f>
        <v>1</v>
      </c>
      <c r="H150" s="117">
        <f t="shared" si="8"/>
        <v>91050712.661057368</v>
      </c>
      <c r="I150" s="118"/>
      <c r="J150" s="119"/>
      <c r="L150"/>
      <c r="M150"/>
      <c r="N150"/>
      <c r="T150" s="111"/>
      <c r="U150" s="111"/>
      <c r="V150" s="111"/>
      <c r="W150" s="111"/>
      <c r="X150" s="111"/>
      <c r="Y150" s="111"/>
      <c r="Z150" s="111"/>
      <c r="AA150" s="111"/>
      <c r="AB150" s="111"/>
    </row>
    <row r="151" spans="1:28" x14ac:dyDescent="0.3">
      <c r="A151" s="3">
        <v>42125</v>
      </c>
      <c r="B151" s="111"/>
      <c r="C151" s="98">
        <f>(+C139/SUM(C$135:C$146))*Trends!B$22</f>
        <v>148.14864742444462</v>
      </c>
      <c r="D151" s="98">
        <f>(+D139/SUM(D$135:D$146))*Trends!C$22</f>
        <v>1.6991073446327658</v>
      </c>
      <c r="E151" s="103">
        <f>+'Purchased Power Model '!E151</f>
        <v>7.3999759999999998E-2</v>
      </c>
      <c r="F151" s="10">
        <f>+'Purchased Power Model '!F151</f>
        <v>31</v>
      </c>
      <c r="G151" s="10">
        <f>+'Purchased Power Model '!G151</f>
        <v>1</v>
      </c>
      <c r="H151" s="117">
        <f t="shared" si="8"/>
        <v>86193184.892613977</v>
      </c>
      <c r="I151" s="118"/>
      <c r="J151" s="119"/>
      <c r="L151"/>
      <c r="M151"/>
      <c r="N151"/>
      <c r="T151" s="111"/>
      <c r="U151" s="111"/>
      <c r="V151" s="111"/>
      <c r="W151" s="111"/>
      <c r="X151" s="111"/>
      <c r="Y151" s="111"/>
      <c r="Z151" s="111"/>
      <c r="AA151" s="111"/>
      <c r="AB151" s="111"/>
    </row>
    <row r="152" spans="1:28" x14ac:dyDescent="0.3">
      <c r="A152" s="3">
        <v>42156</v>
      </c>
      <c r="B152" s="111"/>
      <c r="C152" s="98">
        <f>(+C140/SUM(C$135:C$146))*Trends!B$22</f>
        <v>24.829897917243372</v>
      </c>
      <c r="D152" s="98">
        <f>(+D140/SUM(D$135:D$146))*Trends!C$22</f>
        <v>52.410926553672233</v>
      </c>
      <c r="E152" s="103">
        <f>+'Purchased Power Model '!E152</f>
        <v>7.3999759999999998E-2</v>
      </c>
      <c r="F152" s="10">
        <f>+'Purchased Power Model '!F152</f>
        <v>30</v>
      </c>
      <c r="G152" s="10">
        <f>+'Purchased Power Model '!G152</f>
        <v>0</v>
      </c>
      <c r="H152" s="117">
        <f t="shared" si="8"/>
        <v>92728890.451569825</v>
      </c>
      <c r="I152" s="118"/>
      <c r="J152" s="119"/>
      <c r="L152"/>
      <c r="M152"/>
      <c r="N152"/>
      <c r="T152" s="111"/>
      <c r="U152" s="111"/>
      <c r="V152" s="111"/>
      <c r="W152" s="111"/>
      <c r="X152" s="111"/>
      <c r="Y152" s="111"/>
      <c r="Z152" s="111"/>
      <c r="AA152" s="111"/>
      <c r="AB152" s="111"/>
    </row>
    <row r="153" spans="1:28" x14ac:dyDescent="0.3">
      <c r="A153" s="3">
        <v>42186</v>
      </c>
      <c r="B153" s="111"/>
      <c r="C153" s="98">
        <f>(+C141/SUM(C$135:C$146))*Trends!B$22</f>
        <v>8.8612275094994928</v>
      </c>
      <c r="D153" s="98">
        <f>(+D141/SUM(D$135:D$146))*Trends!C$22</f>
        <v>71.362508474576146</v>
      </c>
      <c r="E153" s="103">
        <f>+'Purchased Power Model '!E153</f>
        <v>7.4000269999999993E-2</v>
      </c>
      <c r="F153" s="10">
        <f>+'Purchased Power Model '!F153</f>
        <v>31</v>
      </c>
      <c r="G153" s="10">
        <f>+'Purchased Power Model '!G153</f>
        <v>0</v>
      </c>
      <c r="H153" s="117">
        <f t="shared" si="8"/>
        <v>97622499.705084622</v>
      </c>
      <c r="I153" s="118"/>
      <c r="J153" s="119"/>
      <c r="L153"/>
      <c r="M153"/>
      <c r="N153"/>
      <c r="T153" s="111"/>
      <c r="U153" s="111"/>
      <c r="V153" s="111"/>
      <c r="W153" s="111"/>
      <c r="X153" s="111"/>
      <c r="Y153" s="111"/>
      <c r="Z153" s="111"/>
      <c r="AA153" s="111"/>
      <c r="AB153" s="111"/>
    </row>
    <row r="154" spans="1:28" x14ac:dyDescent="0.3">
      <c r="A154" s="3">
        <v>42217</v>
      </c>
      <c r="B154" s="111"/>
      <c r="C154" s="98">
        <f>(+C142/SUM(C$135:C$146))*Trends!B$22</f>
        <v>11.722665559442037</v>
      </c>
      <c r="D154" s="98">
        <f>(+D142/SUM(D$135:D$146))*Trends!C$22</f>
        <v>75.806327683615692</v>
      </c>
      <c r="E154" s="103">
        <f>+'Purchased Power Model '!E154</f>
        <v>7.4000269999999993E-2</v>
      </c>
      <c r="F154" s="10">
        <f>+'Purchased Power Model '!F154</f>
        <v>31</v>
      </c>
      <c r="G154" s="10">
        <f>+'Purchased Power Model '!G154</f>
        <v>0</v>
      </c>
      <c r="H154" s="117">
        <f t="shared" si="8"/>
        <v>98379725.47844696</v>
      </c>
      <c r="I154" s="118"/>
      <c r="J154" s="119"/>
      <c r="L154"/>
      <c r="M154"/>
      <c r="N154"/>
      <c r="T154" s="111"/>
      <c r="U154" s="111"/>
      <c r="V154" s="111"/>
      <c r="W154" s="111"/>
      <c r="X154" s="111"/>
      <c r="Y154" s="111"/>
      <c r="Z154" s="111"/>
      <c r="AA154" s="111"/>
      <c r="AB154" s="111"/>
    </row>
    <row r="155" spans="1:28" x14ac:dyDescent="0.3">
      <c r="A155" s="3">
        <v>42248</v>
      </c>
      <c r="B155" s="111"/>
      <c r="C155" s="98">
        <f>(+C143/SUM(C$135:C$146))*Trends!B$22</f>
        <v>71.443646795339674</v>
      </c>
      <c r="D155" s="98">
        <f>(+D143/SUM(D$135:D$146))*Trends!C$22</f>
        <v>29.407627118644019</v>
      </c>
      <c r="E155" s="103">
        <f>+'Purchased Power Model '!E155</f>
        <v>7.4000269999999993E-2</v>
      </c>
      <c r="F155" s="10">
        <f>+'Purchased Power Model '!F155</f>
        <v>30</v>
      </c>
      <c r="G155" s="10">
        <f>+'Purchased Power Model '!G155</f>
        <v>1</v>
      </c>
      <c r="H155" s="117">
        <f t="shared" si="8"/>
        <v>84259968.081885755</v>
      </c>
      <c r="I155" s="118"/>
      <c r="J155" s="119"/>
      <c r="L155"/>
      <c r="M155"/>
      <c r="N155"/>
      <c r="T155" s="111"/>
      <c r="U155" s="111"/>
      <c r="V155" s="111"/>
      <c r="W155" s="111"/>
      <c r="X155" s="111"/>
      <c r="Y155" s="111"/>
      <c r="Z155" s="111"/>
      <c r="AA155" s="111"/>
      <c r="AB155" s="111"/>
    </row>
    <row r="156" spans="1:28" x14ac:dyDescent="0.3">
      <c r="A156" s="3">
        <v>42278</v>
      </c>
      <c r="B156" s="111"/>
      <c r="C156" s="98">
        <f>(+C144/SUM(C$135:C$146))*Trends!B$22</f>
        <v>199.65453232341045</v>
      </c>
      <c r="D156" s="98">
        <f>(+D144/SUM(D$135:D$146))*Trends!C$22</f>
        <v>0.65350282485875599</v>
      </c>
      <c r="E156" s="103">
        <f>+'Purchased Power Model '!E156</f>
        <v>7.8999810000000004E-2</v>
      </c>
      <c r="F156" s="10">
        <f>+'Purchased Power Model '!F156</f>
        <v>31</v>
      </c>
      <c r="G156" s="10">
        <f>+'Purchased Power Model '!G156</f>
        <v>1</v>
      </c>
      <c r="H156" s="117">
        <f t="shared" si="8"/>
        <v>87528881.798258364</v>
      </c>
      <c r="I156" s="118"/>
      <c r="J156" s="119"/>
      <c r="L156"/>
      <c r="M156"/>
      <c r="N156"/>
      <c r="T156" s="111"/>
      <c r="U156" s="111"/>
      <c r="V156" s="111"/>
      <c r="W156" s="111"/>
      <c r="X156" s="111"/>
      <c r="Y156" s="111"/>
      <c r="Z156" s="111"/>
      <c r="AA156" s="111"/>
      <c r="AB156" s="111"/>
    </row>
    <row r="157" spans="1:28" x14ac:dyDescent="0.3">
      <c r="A157" s="3">
        <v>42309</v>
      </c>
      <c r="B157" s="111"/>
      <c r="C157" s="98">
        <f>(+C145/SUM(C$135:C$146))*Trends!B$22</f>
        <v>375.95603798116093</v>
      </c>
      <c r="D157" s="98">
        <f>(+D145/SUM(D$135:D$146))*Trends!C$22</f>
        <v>0</v>
      </c>
      <c r="E157" s="103">
        <f>+'Purchased Power Model '!E157</f>
        <v>7.8999810000000004E-2</v>
      </c>
      <c r="F157" s="10">
        <f>+'Purchased Power Model '!F157</f>
        <v>30</v>
      </c>
      <c r="G157" s="10">
        <f>+'Purchased Power Model '!G157</f>
        <v>1</v>
      </c>
      <c r="H157" s="117">
        <f t="shared" si="8"/>
        <v>91793997.146630257</v>
      </c>
      <c r="I157" s="118"/>
      <c r="J157" s="119"/>
      <c r="L157"/>
      <c r="M157"/>
      <c r="N157"/>
      <c r="T157" s="111"/>
      <c r="U157" s="111"/>
      <c r="V157" s="111"/>
      <c r="W157" s="111"/>
      <c r="X157" s="111"/>
      <c r="Y157" s="111"/>
      <c r="Z157" s="111"/>
      <c r="AA157" s="111"/>
      <c r="AB157" s="111"/>
    </row>
    <row r="158" spans="1:28" x14ac:dyDescent="0.3">
      <c r="A158" s="3">
        <v>42339</v>
      </c>
      <c r="B158" s="111"/>
      <c r="C158" s="98">
        <f>(+C146/SUM(C$135:C$146))*Trends!B$22</f>
        <v>509.3359728897729</v>
      </c>
      <c r="D158" s="98">
        <f>(+D146/SUM(D$135:D$146))*Trends!C$22</f>
        <v>0</v>
      </c>
      <c r="E158" s="103">
        <f>+'Purchased Power Model '!E158</f>
        <v>7.8999810000000004E-2</v>
      </c>
      <c r="F158" s="10">
        <f>+'Purchased Power Model '!F158</f>
        <v>31</v>
      </c>
      <c r="G158" s="10">
        <f>+'Purchased Power Model '!G158</f>
        <v>0</v>
      </c>
      <c r="H158" s="117">
        <f t="shared" si="8"/>
        <v>107074806.15222968</v>
      </c>
      <c r="I158" s="118"/>
      <c r="J158" s="119"/>
      <c r="L158"/>
      <c r="M158"/>
      <c r="N158"/>
      <c r="T158" s="111"/>
      <c r="U158" s="111"/>
      <c r="V158" s="111"/>
      <c r="W158" s="111"/>
      <c r="X158" s="111"/>
      <c r="Y158" s="111"/>
      <c r="Z158" s="111"/>
      <c r="AA158" s="111"/>
      <c r="AB158" s="111"/>
    </row>
    <row r="159" spans="1:28" x14ac:dyDescent="0.3">
      <c r="A159" s="3">
        <v>42370</v>
      </c>
      <c r="B159" s="111"/>
      <c r="C159" s="98">
        <f>(+C147/SUM(C$147:C$158))*Trends!B$22</f>
        <v>711.94424771634965</v>
      </c>
      <c r="D159" s="98">
        <f>(+D147/SUM(D$147:D$158))*Trends!C$22</f>
        <v>0</v>
      </c>
      <c r="E159" s="103">
        <f>+'Purchased Power Model '!E159</f>
        <v>7.2169469999999999E-2</v>
      </c>
      <c r="F159" s="10">
        <f>+'Purchased Power Model '!F159</f>
        <v>31</v>
      </c>
      <c r="G159" s="10">
        <f>+'Purchased Power Model '!G159</f>
        <v>0</v>
      </c>
      <c r="H159" s="117">
        <f t="shared" si="8"/>
        <v>116144419.62297782</v>
      </c>
      <c r="I159" s="118"/>
      <c r="J159" s="119"/>
      <c r="L159"/>
      <c r="M159"/>
      <c r="N159"/>
      <c r="T159" s="111"/>
      <c r="U159" s="111"/>
      <c r="V159" s="111"/>
      <c r="W159" s="111"/>
      <c r="X159" s="111"/>
      <c r="Y159" s="111"/>
      <c r="Z159" s="111"/>
      <c r="AA159" s="111"/>
      <c r="AB159" s="111"/>
    </row>
    <row r="160" spans="1:28" x14ac:dyDescent="0.3">
      <c r="A160" s="3">
        <v>42401</v>
      </c>
      <c r="B160" s="111"/>
      <c r="C160" s="98">
        <f>(+C148/SUM(C$147:C$158))*Trends!B$22</f>
        <v>637.68531509767956</v>
      </c>
      <c r="D160" s="98">
        <f>(+D148/SUM(D$147:D$158))*Trends!C$22</f>
        <v>0</v>
      </c>
      <c r="E160" s="103">
        <f>+'Purchased Power Model '!E160</f>
        <v>7.2169469999999999E-2</v>
      </c>
      <c r="F160" s="10">
        <f>+'Purchased Power Model '!F160</f>
        <v>29</v>
      </c>
      <c r="G160" s="10">
        <f>+'Purchased Power Model '!G160</f>
        <v>0</v>
      </c>
      <c r="H160" s="117">
        <f t="shared" si="8"/>
        <v>107504815.42353523</v>
      </c>
      <c r="I160" s="118"/>
      <c r="J160" s="119"/>
      <c r="L160"/>
      <c r="M160"/>
      <c r="N160"/>
      <c r="T160" s="111"/>
      <c r="U160" s="111"/>
      <c r="V160" s="111"/>
      <c r="W160" s="111"/>
      <c r="X160" s="111"/>
      <c r="Y160" s="111"/>
      <c r="Z160" s="111"/>
      <c r="AA160" s="111"/>
      <c r="AB160" s="111"/>
    </row>
    <row r="161" spans="1:28" x14ac:dyDescent="0.3">
      <c r="A161" s="3">
        <v>42430</v>
      </c>
      <c r="B161" s="111"/>
      <c r="C161" s="98">
        <f>(+C149/SUM(C$147:C$158))*Trends!B$22</f>
        <v>625.77804063178974</v>
      </c>
      <c r="D161" s="98">
        <f>(+D149/SUM(D$147:D$158))*Trends!C$22</f>
        <v>0</v>
      </c>
      <c r="E161" s="103">
        <f>+'Purchased Power Model '!E161</f>
        <v>7.2169469999999999E-2</v>
      </c>
      <c r="F161" s="10">
        <f>+'Purchased Power Model '!F161</f>
        <v>31</v>
      </c>
      <c r="G161" s="10">
        <f>+'Purchased Power Model '!G161</f>
        <v>1</v>
      </c>
      <c r="H161" s="117">
        <f t="shared" si="8"/>
        <v>105593488.82888685</v>
      </c>
      <c r="I161" s="118"/>
      <c r="J161" s="119"/>
      <c r="L161"/>
      <c r="M161"/>
      <c r="N161"/>
      <c r="T161" s="111"/>
      <c r="U161" s="111"/>
      <c r="V161" s="111"/>
      <c r="W161" s="111"/>
      <c r="X161" s="111"/>
      <c r="Y161" s="111"/>
      <c r="Z161" s="111"/>
      <c r="AA161" s="111"/>
      <c r="AB161" s="111"/>
    </row>
    <row r="162" spans="1:28" x14ac:dyDescent="0.3">
      <c r="A162" s="3">
        <v>42461</v>
      </c>
      <c r="B162" s="111"/>
      <c r="C162" s="98">
        <f>(+C150/SUM(C$147:C$158))*Trends!B$22</f>
        <v>342.72643482053758</v>
      </c>
      <c r="D162" s="98">
        <f>(+D150/SUM(D$147:D$158))*Trends!C$22</f>
        <v>0</v>
      </c>
      <c r="E162" s="103">
        <f>+'Purchased Power Model '!E162</f>
        <v>7.1452829999999995E-2</v>
      </c>
      <c r="F162" s="10">
        <f>+'Purchased Power Model '!F162</f>
        <v>30</v>
      </c>
      <c r="G162" s="10">
        <f>+'Purchased Power Model '!G162</f>
        <v>1</v>
      </c>
      <c r="H162" s="117">
        <f t="shared" si="8"/>
        <v>91360414.248042539</v>
      </c>
      <c r="I162" s="118"/>
      <c r="J162" s="119"/>
      <c r="L162"/>
      <c r="M162"/>
      <c r="N162"/>
      <c r="T162" s="111"/>
      <c r="U162" s="111"/>
      <c r="V162" s="111"/>
      <c r="W162" s="111"/>
      <c r="X162" s="111"/>
      <c r="Y162" s="111"/>
      <c r="Z162" s="111"/>
      <c r="AA162" s="111"/>
      <c r="AB162" s="111"/>
    </row>
    <row r="163" spans="1:28" x14ac:dyDescent="0.3">
      <c r="A163" s="3">
        <v>42491</v>
      </c>
      <c r="B163" s="111"/>
      <c r="C163" s="98">
        <f>(+C151/SUM(C$147:C$158))*Trends!B$22</f>
        <v>148.14864742444459</v>
      </c>
      <c r="D163" s="98">
        <f>(+D151/SUM(D$147:D$158))*Trends!C$22</f>
        <v>1.699107344632766</v>
      </c>
      <c r="E163" s="103">
        <f>+'Purchased Power Model '!E163</f>
        <v>7.1452829999999995E-2</v>
      </c>
      <c r="F163" s="10">
        <f>+'Purchased Power Model '!F163</f>
        <v>31</v>
      </c>
      <c r="G163" s="10">
        <f>+'Purchased Power Model '!G163</f>
        <v>1</v>
      </c>
      <c r="H163" s="117">
        <f t="shared" si="8"/>
        <v>86502886.479599148</v>
      </c>
      <c r="I163" s="118"/>
      <c r="J163" s="119"/>
      <c r="L163"/>
      <c r="M163"/>
      <c r="N163"/>
      <c r="T163" s="111"/>
      <c r="U163" s="111"/>
      <c r="V163" s="111"/>
      <c r="W163" s="111"/>
      <c r="X163" s="111"/>
      <c r="Y163" s="111"/>
      <c r="Z163" s="111"/>
      <c r="AA163" s="111"/>
      <c r="AB163" s="111"/>
    </row>
    <row r="164" spans="1:28" x14ac:dyDescent="0.3">
      <c r="A164" s="3">
        <v>42522</v>
      </c>
      <c r="B164" s="111"/>
      <c r="C164" s="98">
        <f>(+C152/SUM(C$147:C$158))*Trends!B$22</f>
        <v>24.829897917243368</v>
      </c>
      <c r="D164" s="98">
        <f>(+D152/SUM(D$147:D$158))*Trends!C$22</f>
        <v>52.41092655367224</v>
      </c>
      <c r="E164" s="103">
        <f>+'Purchased Power Model '!E164</f>
        <v>7.1452829999999995E-2</v>
      </c>
      <c r="F164" s="10">
        <f>+'Purchased Power Model '!F164</f>
        <v>30</v>
      </c>
      <c r="G164" s="10">
        <f>+'Purchased Power Model '!G164</f>
        <v>0</v>
      </c>
      <c r="H164" s="117">
        <f t="shared" si="8"/>
        <v>93038592.038554996</v>
      </c>
      <c r="I164" s="118"/>
      <c r="J164" s="119"/>
      <c r="L164"/>
      <c r="M164"/>
      <c r="N164"/>
      <c r="T164" s="111"/>
      <c r="U164" s="111"/>
      <c r="V164" s="111"/>
      <c r="W164" s="111"/>
      <c r="X164" s="111"/>
      <c r="Y164" s="111"/>
      <c r="Z164" s="111"/>
      <c r="AA164" s="111"/>
      <c r="AB164" s="111"/>
    </row>
    <row r="165" spans="1:28" x14ac:dyDescent="0.3">
      <c r="A165" s="3">
        <v>42552</v>
      </c>
      <c r="B165" s="111"/>
      <c r="C165" s="98">
        <f>(+C153/SUM(C$147:C$158))*Trends!B$22</f>
        <v>8.861227509499491</v>
      </c>
      <c r="D165" s="98">
        <f>(+D153/SUM(D$147:D$158))*Trends!C$22</f>
        <v>71.362508474576146</v>
      </c>
      <c r="E165" s="103">
        <f>+'Purchased Power Model '!E165</f>
        <v>7.064187999999999E-2</v>
      </c>
      <c r="F165" s="10">
        <f>+'Purchased Power Model '!F165</f>
        <v>31</v>
      </c>
      <c r="G165" s="10">
        <f>+'Purchased Power Model '!G165</f>
        <v>0</v>
      </c>
      <c r="H165" s="117">
        <f t="shared" si="8"/>
        <v>98030873.20287025</v>
      </c>
      <c r="I165" s="118"/>
      <c r="J165" s="119"/>
      <c r="L165"/>
      <c r="M165"/>
      <c r="N165"/>
      <c r="T165" s="111"/>
      <c r="U165" s="111"/>
      <c r="V165" s="111"/>
      <c r="W165" s="111"/>
      <c r="X165" s="111"/>
      <c r="Y165" s="111"/>
      <c r="Z165" s="111"/>
      <c r="AA165" s="111"/>
      <c r="AB165" s="111"/>
    </row>
    <row r="166" spans="1:28" x14ac:dyDescent="0.3">
      <c r="A166" s="3">
        <v>42583</v>
      </c>
      <c r="B166" s="111"/>
      <c r="C166" s="98">
        <f>(+C154/SUM(C$147:C$158))*Trends!B$22</f>
        <v>11.722665559442033</v>
      </c>
      <c r="D166" s="98">
        <f>(+D154/SUM(D$147:D$158))*Trends!C$22</f>
        <v>75.806327683615706</v>
      </c>
      <c r="E166" s="103">
        <f>+'Purchased Power Model '!E166</f>
        <v>7.064187999999999E-2</v>
      </c>
      <c r="F166" s="10">
        <f>+'Purchased Power Model '!F166</f>
        <v>31</v>
      </c>
      <c r="G166" s="10">
        <f>+'Purchased Power Model '!G166</f>
        <v>0</v>
      </c>
      <c r="H166" s="117">
        <f t="shared" si="8"/>
        <v>98788098.976232573</v>
      </c>
      <c r="I166" s="118"/>
      <c r="J166" s="119"/>
      <c r="L166"/>
      <c r="M166"/>
      <c r="N166"/>
      <c r="T166" s="111"/>
      <c r="U166" s="111"/>
      <c r="V166" s="111"/>
      <c r="W166" s="111"/>
      <c r="X166" s="111"/>
      <c r="Y166" s="111"/>
      <c r="Z166" s="111"/>
      <c r="AA166" s="111"/>
      <c r="AB166" s="111"/>
    </row>
    <row r="167" spans="1:28" x14ac:dyDescent="0.3">
      <c r="A167" s="3">
        <v>42614</v>
      </c>
      <c r="B167" s="111"/>
      <c r="C167" s="98">
        <f>(+C155/SUM(C$147:C$158))*Trends!B$22</f>
        <v>71.44364679533966</v>
      </c>
      <c r="D167" s="98">
        <f>(+D155/SUM(D$147:D$158))*Trends!C$22</f>
        <v>29.407627118644019</v>
      </c>
      <c r="E167" s="103">
        <f>+'Purchased Power Model '!E167</f>
        <v>7.064187999999999E-2</v>
      </c>
      <c r="F167" s="10">
        <f>+'Purchased Power Model '!F167</f>
        <v>30</v>
      </c>
      <c r="G167" s="10">
        <f>+'Purchased Power Model '!G167</f>
        <v>1</v>
      </c>
      <c r="H167" s="117">
        <f t="shared" si="8"/>
        <v>84668341.579671368</v>
      </c>
      <c r="I167" s="118"/>
      <c r="J167" s="119"/>
      <c r="L167"/>
      <c r="M167"/>
      <c r="N167"/>
      <c r="T167" s="111"/>
      <c r="U167" s="111"/>
      <c r="V167" s="111"/>
      <c r="W167" s="111"/>
      <c r="X167" s="111"/>
      <c r="Y167" s="111"/>
      <c r="Z167" s="111"/>
      <c r="AA167" s="111"/>
      <c r="AB167" s="111"/>
    </row>
    <row r="168" spans="1:28" x14ac:dyDescent="0.3">
      <c r="A168" s="3">
        <v>42644</v>
      </c>
      <c r="B168" s="111"/>
      <c r="C168" s="98">
        <f>(+C156/SUM(C$147:C$158))*Trends!B$22</f>
        <v>199.65453232341042</v>
      </c>
      <c r="D168" s="98">
        <f>(+D156/SUM(D$147:D$158))*Trends!C$22</f>
        <v>0.65350282485875599</v>
      </c>
      <c r="E168" s="103">
        <f>+'Purchased Power Model '!E168</f>
        <v>6.9736220000000002E-2</v>
      </c>
      <c r="F168" s="10">
        <f>+'Purchased Power Model '!F168</f>
        <v>31</v>
      </c>
      <c r="G168" s="10">
        <f>+'Purchased Power Model '!G168</f>
        <v>1</v>
      </c>
      <c r="H168" s="117">
        <f t="shared" si="8"/>
        <v>88655315.789055124</v>
      </c>
      <c r="I168" s="118"/>
      <c r="J168" s="119"/>
      <c r="L168"/>
      <c r="M168"/>
      <c r="N168"/>
      <c r="T168" s="111"/>
      <c r="U168" s="111"/>
      <c r="V168" s="111"/>
      <c r="W168" s="111"/>
      <c r="X168" s="111"/>
      <c r="Y168" s="111"/>
      <c r="Z168" s="111"/>
      <c r="AA168" s="111"/>
      <c r="AB168" s="111"/>
    </row>
    <row r="169" spans="1:28" x14ac:dyDescent="0.3">
      <c r="A169" s="3">
        <v>42675</v>
      </c>
      <c r="B169" s="111"/>
      <c r="C169" s="98">
        <f>(+C157/SUM(C$147:C$158))*Trends!B$22</f>
        <v>375.95603798116082</v>
      </c>
      <c r="D169" s="98">
        <f>(+D157/SUM(D$147:D$158))*Trends!C$22</f>
        <v>0</v>
      </c>
      <c r="E169" s="103">
        <f>+'Purchased Power Model '!E169</f>
        <v>6.9736220000000002E-2</v>
      </c>
      <c r="F169" s="10">
        <f>+'Purchased Power Model '!F169</f>
        <v>30</v>
      </c>
      <c r="G169" s="10">
        <f>+'Purchased Power Model '!G169</f>
        <v>1</v>
      </c>
      <c r="H169" s="117">
        <f t="shared" si="8"/>
        <v>92920431.137427002</v>
      </c>
      <c r="I169" s="118"/>
      <c r="J169" s="119"/>
      <c r="L169"/>
      <c r="M169"/>
      <c r="N169"/>
      <c r="T169" s="111"/>
      <c r="U169" s="111"/>
      <c r="V169" s="111"/>
      <c r="W169" s="111"/>
      <c r="X169" s="111"/>
      <c r="Y169" s="111"/>
      <c r="Z169" s="111"/>
      <c r="AA169" s="111"/>
      <c r="AB169" s="111"/>
    </row>
    <row r="170" spans="1:28" x14ac:dyDescent="0.3">
      <c r="A170" s="3">
        <v>42705</v>
      </c>
      <c r="B170" s="111"/>
      <c r="C170" s="98">
        <f>(+C158/SUM(C$147:C$158))*Trends!B$22</f>
        <v>509.33597288977279</v>
      </c>
      <c r="D170" s="98">
        <f>(+D158/SUM(D$147:D$158))*Trends!C$22</f>
        <v>0</v>
      </c>
      <c r="E170" s="103">
        <f>+'Purchased Power Model '!E170</f>
        <v>6.9736220000000002E-2</v>
      </c>
      <c r="F170" s="10">
        <f>+'Purchased Power Model '!F170</f>
        <v>31</v>
      </c>
      <c r="G170" s="10">
        <f>+'Purchased Power Model '!G170</f>
        <v>0</v>
      </c>
      <c r="H170" s="117">
        <f t="shared" si="8"/>
        <v>108201240.14302644</v>
      </c>
      <c r="I170" s="118"/>
      <c r="J170" s="119"/>
      <c r="L170"/>
      <c r="M170"/>
      <c r="N170"/>
      <c r="T170" s="111"/>
      <c r="U170" s="111"/>
      <c r="V170" s="111"/>
      <c r="W170" s="111"/>
      <c r="X170" s="111"/>
      <c r="Y170" s="111"/>
      <c r="Z170" s="111"/>
      <c r="AA170" s="111"/>
      <c r="AB170" s="111"/>
    </row>
    <row r="171" spans="1:28" x14ac:dyDescent="0.3">
      <c r="A171" s="3">
        <v>42736</v>
      </c>
      <c r="B171" s="111"/>
      <c r="C171" s="98">
        <f>(+C159/SUM(C$159:C$170))*Trends!B$22</f>
        <v>711.94424771634965</v>
      </c>
      <c r="D171" s="98">
        <f>(+D159/SUM(D$159:D$170))*Trends!C$22</f>
        <v>0</v>
      </c>
      <c r="E171" s="103">
        <f>+'Purchased Power Model '!E171</f>
        <v>6.8187249999999991E-2</v>
      </c>
      <c r="F171" s="10">
        <f>+'Purchased Power Model '!F171</f>
        <v>31</v>
      </c>
      <c r="G171" s="10">
        <f>+'Purchased Power Model '!G171</f>
        <v>0</v>
      </c>
      <c r="H171" s="117">
        <f t="shared" si="8"/>
        <v>116628649.59935099</v>
      </c>
      <c r="I171" s="118"/>
      <c r="J171" s="119"/>
      <c r="L171"/>
      <c r="M171"/>
      <c r="N171"/>
      <c r="T171" s="111"/>
      <c r="U171" s="111"/>
      <c r="V171" s="111"/>
      <c r="W171" s="111"/>
      <c r="X171" s="111"/>
      <c r="Y171" s="111"/>
      <c r="Z171" s="111"/>
      <c r="AA171" s="111"/>
      <c r="AB171" s="111"/>
    </row>
    <row r="172" spans="1:28" x14ac:dyDescent="0.3">
      <c r="A172" s="3">
        <v>42767</v>
      </c>
      <c r="B172" s="111"/>
      <c r="C172" s="98">
        <f>(+C160/SUM(C$159:C$170))*Trends!B$22</f>
        <v>637.68531509767956</v>
      </c>
      <c r="D172" s="98">
        <f>(+D160/SUM(D$159:D$170))*Trends!C$22</f>
        <v>0</v>
      </c>
      <c r="E172" s="103">
        <f>+'Purchased Power Model '!E172</f>
        <v>6.8187249999999991E-2</v>
      </c>
      <c r="F172" s="10">
        <f>+'Purchased Power Model '!F172</f>
        <v>28</v>
      </c>
      <c r="G172" s="10">
        <f>+'Purchased Power Model '!G172</f>
        <v>0</v>
      </c>
      <c r="H172" s="117">
        <f t="shared" si="8"/>
        <v>105179111.63855211</v>
      </c>
      <c r="I172" s="118"/>
      <c r="J172" s="119"/>
      <c r="L172"/>
      <c r="M172"/>
      <c r="N172"/>
      <c r="T172" s="111"/>
      <c r="U172" s="111"/>
      <c r="V172" s="111"/>
      <c r="W172" s="111"/>
      <c r="X172" s="111"/>
      <c r="Y172" s="111"/>
      <c r="Z172" s="111"/>
      <c r="AA172" s="111"/>
      <c r="AB172" s="111"/>
    </row>
    <row r="173" spans="1:28" x14ac:dyDescent="0.3">
      <c r="A173" s="3">
        <v>42795</v>
      </c>
      <c r="B173" s="111"/>
      <c r="C173" s="98">
        <f>(+C161/SUM(C$159:C$170))*Trends!B$22</f>
        <v>625.77804063178974</v>
      </c>
      <c r="D173" s="98">
        <f>(+D161/SUM(D$159:D$170))*Trends!C$22</f>
        <v>0</v>
      </c>
      <c r="E173" s="103">
        <f>+'Purchased Power Model '!E173</f>
        <v>6.8187249999999991E-2</v>
      </c>
      <c r="F173" s="10">
        <f>+'Purchased Power Model '!F173</f>
        <v>31</v>
      </c>
      <c r="G173" s="10">
        <f>+'Purchased Power Model '!G173</f>
        <v>1</v>
      </c>
      <c r="H173" s="117">
        <f t="shared" si="8"/>
        <v>106077718.80526</v>
      </c>
      <c r="I173" s="118"/>
      <c r="J173" s="119"/>
      <c r="L173"/>
      <c r="M173"/>
      <c r="N173"/>
      <c r="T173" s="111"/>
      <c r="U173" s="111"/>
      <c r="V173" s="111"/>
      <c r="W173" s="111"/>
      <c r="X173" s="111"/>
      <c r="Y173" s="111"/>
      <c r="Z173" s="111"/>
      <c r="AA173" s="111"/>
      <c r="AB173" s="111"/>
    </row>
    <row r="174" spans="1:28" x14ac:dyDescent="0.3">
      <c r="A174" s="3">
        <v>42826</v>
      </c>
      <c r="B174" s="111"/>
      <c r="C174" s="98">
        <f>(+C162/SUM(C$159:C$170))*Trends!B$22</f>
        <v>342.72643482053758</v>
      </c>
      <c r="D174" s="98">
        <f>(+D162/SUM(D$159:D$170))*Trends!C$22</f>
        <v>0</v>
      </c>
      <c r="E174" s="103">
        <f>+'Purchased Power Model '!E174</f>
        <v>6.7312499999999997E-2</v>
      </c>
      <c r="F174" s="10">
        <f>+'Purchased Power Model '!F174</f>
        <v>30</v>
      </c>
      <c r="G174" s="10">
        <f>+'Purchased Power Model '!G174</f>
        <v>1</v>
      </c>
      <c r="H174" s="117">
        <f t="shared" si="8"/>
        <v>91863870.083751529</v>
      </c>
      <c r="I174" s="118"/>
      <c r="J174" s="119"/>
      <c r="L174"/>
      <c r="M174"/>
      <c r="N174"/>
      <c r="T174" s="111"/>
      <c r="U174" s="111"/>
      <c r="V174" s="111"/>
      <c r="W174" s="111"/>
      <c r="X174" s="111"/>
      <c r="Y174" s="111"/>
      <c r="Z174" s="111"/>
      <c r="AA174" s="111"/>
      <c r="AB174" s="111"/>
    </row>
    <row r="175" spans="1:28" x14ac:dyDescent="0.3">
      <c r="A175" s="3">
        <v>42856</v>
      </c>
      <c r="B175" s="111"/>
      <c r="C175" s="98">
        <f>(+C163/SUM(C$159:C$170))*Trends!B$22</f>
        <v>148.14864742444459</v>
      </c>
      <c r="D175" s="98">
        <f>(+D163/SUM(D$159:D$170))*Trends!C$22</f>
        <v>1.699107344632766</v>
      </c>
      <c r="E175" s="103">
        <f>+'Purchased Power Model '!E175</f>
        <v>6.7312499999999997E-2</v>
      </c>
      <c r="F175" s="10">
        <f>+'Purchased Power Model '!F175</f>
        <v>31</v>
      </c>
      <c r="G175" s="10">
        <f>+'Purchased Power Model '!G175</f>
        <v>1</v>
      </c>
      <c r="H175" s="117">
        <f t="shared" si="8"/>
        <v>87006342.315308154</v>
      </c>
      <c r="I175" s="118"/>
      <c r="J175" s="119"/>
      <c r="L175"/>
      <c r="M175"/>
      <c r="N175"/>
      <c r="T175" s="111"/>
      <c r="U175" s="111"/>
      <c r="V175" s="111"/>
      <c r="W175" s="111"/>
      <c r="X175" s="111"/>
      <c r="Y175" s="111"/>
      <c r="Z175" s="111"/>
      <c r="AA175" s="111"/>
      <c r="AB175" s="111"/>
    </row>
    <row r="176" spans="1:28" x14ac:dyDescent="0.3">
      <c r="A176" s="3">
        <v>42887</v>
      </c>
      <c r="B176" s="111"/>
      <c r="C176" s="98">
        <f>(+C164/SUM(C$159:C$170))*Trends!B$22</f>
        <v>24.829897917243368</v>
      </c>
      <c r="D176" s="98">
        <f>(+D164/SUM(D$159:D$170))*Trends!C$22</f>
        <v>52.41092655367224</v>
      </c>
      <c r="E176" s="103">
        <f>+'Purchased Power Model '!E176</f>
        <v>6.7312499999999997E-2</v>
      </c>
      <c r="F176" s="10">
        <f>+'Purchased Power Model '!F176</f>
        <v>30</v>
      </c>
      <c r="G176" s="10">
        <f>+'Purchased Power Model '!G176</f>
        <v>0</v>
      </c>
      <c r="H176" s="117">
        <f t="shared" si="8"/>
        <v>93542047.874263987</v>
      </c>
      <c r="I176" s="118"/>
      <c r="J176" s="119"/>
      <c r="L176"/>
      <c r="M176"/>
      <c r="N176"/>
      <c r="T176" s="111"/>
      <c r="U176" s="111"/>
      <c r="V176" s="111"/>
      <c r="W176" s="111"/>
      <c r="X176" s="111"/>
      <c r="Y176" s="111"/>
      <c r="Z176" s="111"/>
      <c r="AA176" s="111"/>
      <c r="AB176" s="111"/>
    </row>
    <row r="177" spans="1:28" x14ac:dyDescent="0.3">
      <c r="A177" s="3">
        <v>42917</v>
      </c>
      <c r="B177" s="111"/>
      <c r="C177" s="98">
        <f>(+C165/SUM(C$159:C$170))*Trends!B$22</f>
        <v>8.861227509499491</v>
      </c>
      <c r="D177" s="98">
        <f>(+D165/SUM(D$159:D$170))*Trends!C$22</f>
        <v>71.362508474576146</v>
      </c>
      <c r="E177" s="103">
        <f>+'Purchased Power Model '!E177</f>
        <v>6.6562659999999996E-2</v>
      </c>
      <c r="F177" s="10">
        <f>+'Purchased Power Model '!F177</f>
        <v>31</v>
      </c>
      <c r="G177" s="10">
        <f>+'Purchased Power Model '!G177</f>
        <v>0</v>
      </c>
      <c r="H177" s="117">
        <f t="shared" si="8"/>
        <v>98526898.184970915</v>
      </c>
      <c r="I177" s="118"/>
      <c r="J177" s="119"/>
      <c r="L177"/>
      <c r="M177"/>
      <c r="N177"/>
      <c r="T177" s="111"/>
      <c r="U177" s="111"/>
      <c r="V177" s="111"/>
      <c r="W177" s="111"/>
      <c r="X177" s="111"/>
      <c r="Y177" s="111"/>
      <c r="Z177" s="111"/>
      <c r="AA177" s="111"/>
      <c r="AB177" s="111"/>
    </row>
    <row r="178" spans="1:28" x14ac:dyDescent="0.3">
      <c r="A178" s="3">
        <v>42948</v>
      </c>
      <c r="B178" s="111"/>
      <c r="C178" s="98">
        <f>(+C166/SUM(C$159:C$170))*Trends!B$22</f>
        <v>11.722665559442033</v>
      </c>
      <c r="D178" s="98">
        <f>(+D166/SUM(D$159:D$170))*Trends!C$22</f>
        <v>75.806327683615706</v>
      </c>
      <c r="E178" s="103">
        <f>+'Purchased Power Model '!E178</f>
        <v>6.6562659999999996E-2</v>
      </c>
      <c r="F178" s="10">
        <f>+'Purchased Power Model '!F178</f>
        <v>31</v>
      </c>
      <c r="G178" s="10">
        <f>+'Purchased Power Model '!G178</f>
        <v>0</v>
      </c>
      <c r="H178" s="117">
        <f t="shared" si="8"/>
        <v>99284123.958333239</v>
      </c>
      <c r="I178" s="118"/>
      <c r="J178" s="119"/>
      <c r="L178"/>
      <c r="M178"/>
      <c r="N178"/>
      <c r="T178" s="111"/>
      <c r="U178" s="111"/>
      <c r="V178" s="111"/>
      <c r="W178" s="111"/>
      <c r="X178" s="111"/>
      <c r="Y178" s="111"/>
      <c r="Z178" s="111"/>
      <c r="AA178" s="111"/>
      <c r="AB178" s="111"/>
    </row>
    <row r="179" spans="1:28" x14ac:dyDescent="0.3">
      <c r="A179" s="3">
        <v>42979</v>
      </c>
      <c r="B179" s="111"/>
      <c r="C179" s="98">
        <f>(+C167/SUM(C$159:C$170))*Trends!B$22</f>
        <v>71.44364679533966</v>
      </c>
      <c r="D179" s="98">
        <f>(+D167/SUM(D$159:D$170))*Trends!C$22</f>
        <v>29.407627118644019</v>
      </c>
      <c r="E179" s="103">
        <f>+'Purchased Power Model '!E179</f>
        <v>6.6562659999999996E-2</v>
      </c>
      <c r="F179" s="10">
        <f>+'Purchased Power Model '!F179</f>
        <v>30</v>
      </c>
      <c r="G179" s="10">
        <f>+'Purchased Power Model '!G179</f>
        <v>1</v>
      </c>
      <c r="H179" s="117">
        <f t="shared" si="8"/>
        <v>85164366.561772048</v>
      </c>
      <c r="I179" s="118"/>
      <c r="J179" s="119"/>
      <c r="L179"/>
      <c r="M179"/>
      <c r="N179"/>
      <c r="T179" s="111"/>
      <c r="U179" s="111"/>
      <c r="V179" s="111"/>
      <c r="W179" s="111"/>
      <c r="X179" s="111"/>
      <c r="Y179" s="111"/>
      <c r="Z179" s="111"/>
      <c r="AA179" s="111"/>
      <c r="AB179" s="111"/>
    </row>
    <row r="180" spans="1:28" x14ac:dyDescent="0.3">
      <c r="A180" s="3">
        <v>43009</v>
      </c>
      <c r="B180" s="111"/>
      <c r="C180" s="98">
        <f>(+C168/SUM(C$159:C$170))*Trends!B$22</f>
        <v>199.65453232341042</v>
      </c>
      <c r="D180" s="98">
        <f>(+D168/SUM(D$159:D$170))*Trends!C$22</f>
        <v>0.65350282485875599</v>
      </c>
      <c r="E180" s="103">
        <f>+'Purchased Power Model '!E180</f>
        <v>6.5937659999999995E-2</v>
      </c>
      <c r="F180" s="10">
        <f>+'Purchased Power Model '!F180</f>
        <v>31</v>
      </c>
      <c r="G180" s="10">
        <f>+'Purchased Power Model '!G180</f>
        <v>1</v>
      </c>
      <c r="H180" s="117">
        <f t="shared" si="8"/>
        <v>89117213.07726422</v>
      </c>
      <c r="I180" s="118"/>
      <c r="J180" s="119"/>
      <c r="L180"/>
      <c r="M180"/>
      <c r="N180"/>
      <c r="T180" s="111"/>
      <c r="U180" s="111"/>
      <c r="V180" s="111"/>
      <c r="W180" s="111"/>
      <c r="X180" s="111"/>
      <c r="Y180" s="111"/>
      <c r="Z180" s="111"/>
      <c r="AA180" s="111"/>
      <c r="AB180" s="111"/>
    </row>
    <row r="181" spans="1:28" x14ac:dyDescent="0.3">
      <c r="A181" s="3">
        <v>43040</v>
      </c>
      <c r="B181" s="111"/>
      <c r="C181" s="98">
        <f>(+C169/SUM(C$159:C$170))*Trends!B$22</f>
        <v>375.95603798116082</v>
      </c>
      <c r="D181" s="98">
        <f>(+D169/SUM(D$159:D$170))*Trends!C$22</f>
        <v>0</v>
      </c>
      <c r="E181" s="103">
        <f>+'Purchased Power Model '!E181</f>
        <v>6.5937659999999995E-2</v>
      </c>
      <c r="F181" s="10">
        <f>+'Purchased Power Model '!F181</f>
        <v>30</v>
      </c>
      <c r="G181" s="10">
        <f>+'Purchased Power Model '!G181</f>
        <v>1</v>
      </c>
      <c r="H181" s="117">
        <f t="shared" si="8"/>
        <v>93382328.425636098</v>
      </c>
      <c r="I181" s="118"/>
      <c r="J181" s="119"/>
      <c r="L181"/>
      <c r="M181"/>
      <c r="N181"/>
      <c r="T181" s="111"/>
      <c r="U181" s="111"/>
      <c r="V181" s="111"/>
      <c r="W181" s="111"/>
      <c r="X181" s="111"/>
      <c r="Y181" s="111"/>
      <c r="Z181" s="111"/>
      <c r="AA181" s="111"/>
      <c r="AB181" s="111"/>
    </row>
    <row r="182" spans="1:28" x14ac:dyDescent="0.3">
      <c r="A182" s="3">
        <v>43070</v>
      </c>
      <c r="B182" s="111"/>
      <c r="C182" s="98">
        <f>(+C170/SUM(C$159:C$170))*Trends!B$22</f>
        <v>509.33597288977279</v>
      </c>
      <c r="D182" s="98">
        <f>(+D170/SUM(D$159:D$170))*Trends!C$22</f>
        <v>0</v>
      </c>
      <c r="E182" s="103">
        <f>+'Purchased Power Model '!E182</f>
        <v>6.5937659999999995E-2</v>
      </c>
      <c r="F182" s="10">
        <f>+'Purchased Power Model '!F182</f>
        <v>31</v>
      </c>
      <c r="G182" s="10">
        <f>+'Purchased Power Model '!G182</f>
        <v>0</v>
      </c>
      <c r="H182" s="117">
        <f t="shared" si="8"/>
        <v>108663137.43123552</v>
      </c>
      <c r="I182" s="118"/>
      <c r="J182" s="119"/>
      <c r="L182"/>
      <c r="M182"/>
      <c r="N182"/>
      <c r="T182" s="111"/>
      <c r="U182" s="111"/>
      <c r="V182" s="111"/>
      <c r="W182" s="111"/>
      <c r="X182" s="111"/>
      <c r="Y182" s="111"/>
      <c r="Z182" s="111"/>
      <c r="AA182" s="111"/>
      <c r="AB182" s="111"/>
    </row>
    <row r="183" spans="1:28" x14ac:dyDescent="0.3">
      <c r="A183" s="3">
        <v>43101</v>
      </c>
      <c r="B183" s="111"/>
      <c r="C183" s="98">
        <f>(+C171/SUM(C$171:C$182))*Trends!B$22</f>
        <v>711.94424771634965</v>
      </c>
      <c r="D183" s="98">
        <f>(+D171/SUM(D$171:D$182))*Trends!C$22</f>
        <v>0</v>
      </c>
      <c r="E183" s="103">
        <f>+'Purchased Power Model '!E183</f>
        <v>6.6219020000000003E-2</v>
      </c>
      <c r="F183" s="10">
        <f>+'Purchased Power Model '!F183</f>
        <v>31</v>
      </c>
      <c r="G183" s="10">
        <f>+'Purchased Power Model '!G183</f>
        <v>0</v>
      </c>
      <c r="H183" s="117">
        <f t="shared" si="8"/>
        <v>116867982.42536184</v>
      </c>
      <c r="I183" s="118"/>
      <c r="J183" s="119"/>
      <c r="L183"/>
      <c r="M183"/>
      <c r="N183"/>
      <c r="T183" s="111"/>
      <c r="U183" s="111"/>
      <c r="V183" s="111"/>
      <c r="W183" s="111"/>
      <c r="X183" s="111"/>
      <c r="Y183" s="111"/>
      <c r="Z183" s="111"/>
      <c r="AA183" s="111"/>
      <c r="AB183" s="111"/>
    </row>
    <row r="184" spans="1:28" x14ac:dyDescent="0.3">
      <c r="A184" s="3">
        <v>43132</v>
      </c>
      <c r="B184" s="111"/>
      <c r="C184" s="98">
        <f>(+C172/SUM(C$171:C$182))*Trends!B$22</f>
        <v>637.68531509767956</v>
      </c>
      <c r="D184" s="98">
        <f>(+D172/SUM(D$171:D$182))*Trends!C$22</f>
        <v>0</v>
      </c>
      <c r="E184" s="103">
        <f>+'Purchased Power Model '!E184</f>
        <v>6.6219020000000003E-2</v>
      </c>
      <c r="F184" s="10">
        <f>+'Purchased Power Model '!F184</f>
        <v>28</v>
      </c>
      <c r="G184" s="10">
        <f>+'Purchased Power Model '!G184</f>
        <v>0</v>
      </c>
      <c r="H184" s="117">
        <f t="shared" si="8"/>
        <v>105418444.46456297</v>
      </c>
      <c r="I184" s="118"/>
      <c r="J184" s="119"/>
      <c r="L184"/>
      <c r="M184"/>
      <c r="N184"/>
      <c r="T184" s="111"/>
      <c r="U184" s="111"/>
      <c r="V184" s="111"/>
      <c r="W184" s="111"/>
      <c r="X184" s="111"/>
      <c r="Y184" s="111"/>
      <c r="Z184" s="111"/>
      <c r="AA184" s="111"/>
      <c r="AB184" s="111"/>
    </row>
    <row r="185" spans="1:28" x14ac:dyDescent="0.3">
      <c r="A185" s="3">
        <v>43160</v>
      </c>
      <c r="B185" s="111"/>
      <c r="C185" s="98">
        <f>(+C173/SUM(C$171:C$182))*Trends!B$22</f>
        <v>625.77804063178974</v>
      </c>
      <c r="D185" s="98">
        <f>(+D173/SUM(D$171:D$182))*Trends!C$22</f>
        <v>0</v>
      </c>
      <c r="E185" s="103">
        <f>+'Purchased Power Model '!E185</f>
        <v>6.6219020000000003E-2</v>
      </c>
      <c r="F185" s="10">
        <f>+'Purchased Power Model '!F185</f>
        <v>31</v>
      </c>
      <c r="G185" s="10">
        <f>+'Purchased Power Model '!G185</f>
        <v>1</v>
      </c>
      <c r="H185" s="117">
        <f t="shared" si="8"/>
        <v>106317051.63127086</v>
      </c>
      <c r="I185" s="118"/>
      <c r="J185" s="119"/>
      <c r="L185"/>
      <c r="M185"/>
      <c r="N185"/>
      <c r="T185" s="111"/>
      <c r="U185" s="111"/>
      <c r="V185" s="111"/>
      <c r="W185" s="111"/>
      <c r="X185" s="111"/>
      <c r="Y185" s="111"/>
      <c r="Z185" s="111"/>
      <c r="AA185" s="111"/>
      <c r="AB185" s="111"/>
    </row>
    <row r="186" spans="1:28" x14ac:dyDescent="0.3">
      <c r="A186" s="3">
        <v>43191</v>
      </c>
      <c r="B186" s="111"/>
      <c r="C186" s="98">
        <f>(+C174/SUM(C$171:C$182))*Trends!B$22</f>
        <v>342.72643482053758</v>
      </c>
      <c r="D186" s="98">
        <f>(+D174/SUM(D$171:D$182))*Trends!C$22</f>
        <v>0</v>
      </c>
      <c r="E186" s="103">
        <f>+'Purchased Power Model '!E186</f>
        <v>6.5531039999999999E-2</v>
      </c>
      <c r="F186" s="10">
        <f>+'Purchased Power Model '!F186</f>
        <v>30</v>
      </c>
      <c r="G186" s="10">
        <f>+'Purchased Power Model '!G186</f>
        <v>1</v>
      </c>
      <c r="H186" s="117">
        <f t="shared" si="8"/>
        <v>92080492.051827058</v>
      </c>
      <c r="I186" s="118"/>
      <c r="J186" s="119"/>
      <c r="L186"/>
      <c r="M186"/>
      <c r="N186"/>
      <c r="T186" s="111"/>
      <c r="U186" s="111"/>
      <c r="V186" s="111"/>
      <c r="W186" s="111"/>
      <c r="X186" s="111"/>
      <c r="Y186" s="111"/>
      <c r="Z186" s="111"/>
      <c r="AA186" s="111"/>
      <c r="AB186" s="111"/>
    </row>
    <row r="187" spans="1:28" x14ac:dyDescent="0.3">
      <c r="A187" s="3">
        <v>43221</v>
      </c>
      <c r="B187" s="111"/>
      <c r="C187" s="98">
        <f>(+C175/SUM(C$171:C$182))*Trends!B$22</f>
        <v>148.14864742444459</v>
      </c>
      <c r="D187" s="98">
        <f>(+D175/SUM(D$171:D$182))*Trends!C$22</f>
        <v>1.699107344632766</v>
      </c>
      <c r="E187" s="103">
        <f>+'Purchased Power Model '!E187</f>
        <v>6.5531039999999999E-2</v>
      </c>
      <c r="F187" s="10">
        <f>+'Purchased Power Model '!F187</f>
        <v>31</v>
      </c>
      <c r="G187" s="10">
        <f>+'Purchased Power Model '!G187</f>
        <v>1</v>
      </c>
      <c r="H187" s="117">
        <f t="shared" si="8"/>
        <v>87222964.283383682</v>
      </c>
      <c r="I187" s="118"/>
      <c r="J187" s="119"/>
      <c r="L187"/>
      <c r="M187"/>
      <c r="N187"/>
      <c r="T187" s="111"/>
      <c r="U187" s="111"/>
      <c r="V187" s="111"/>
      <c r="W187" s="111"/>
      <c r="X187" s="111"/>
      <c r="Y187" s="111"/>
      <c r="Z187" s="111"/>
      <c r="AA187" s="111"/>
      <c r="AB187" s="111"/>
    </row>
    <row r="188" spans="1:28" x14ac:dyDescent="0.3">
      <c r="A188" s="3">
        <v>43252</v>
      </c>
      <c r="B188" s="111"/>
      <c r="C188" s="98">
        <f>(+C176/SUM(C$171:C$182))*Trends!B$22</f>
        <v>24.829897917243368</v>
      </c>
      <c r="D188" s="98">
        <f>(+D176/SUM(D$171:D$182))*Trends!C$22</f>
        <v>52.41092655367224</v>
      </c>
      <c r="E188" s="103">
        <f>+'Purchased Power Model '!E188</f>
        <v>6.5531039999999999E-2</v>
      </c>
      <c r="F188" s="10">
        <f>+'Purchased Power Model '!F188</f>
        <v>30</v>
      </c>
      <c r="G188" s="10">
        <f>+'Purchased Power Model '!G188</f>
        <v>0</v>
      </c>
      <c r="H188" s="117">
        <f t="shared" si="8"/>
        <v>93758669.842339516</v>
      </c>
      <c r="I188" s="118"/>
      <c r="J188" s="119"/>
      <c r="L188"/>
      <c r="M188"/>
      <c r="N188"/>
      <c r="T188" s="111"/>
      <c r="U188" s="111"/>
      <c r="V188" s="111"/>
      <c r="W188" s="111"/>
      <c r="X188" s="111"/>
      <c r="Y188" s="111"/>
      <c r="Z188" s="111"/>
      <c r="AA188" s="111"/>
      <c r="AB188" s="111"/>
    </row>
    <row r="189" spans="1:28" x14ac:dyDescent="0.3">
      <c r="A189" s="3">
        <v>43282</v>
      </c>
      <c r="B189" s="111"/>
      <c r="C189" s="98">
        <f>(+C177/SUM(C$171:C$182))*Trends!B$22</f>
        <v>8.861227509499491</v>
      </c>
      <c r="D189" s="98">
        <f>(+D177/SUM(D$171:D$182))*Trends!C$22</f>
        <v>71.362508474576146</v>
      </c>
      <c r="E189" s="103">
        <f>+'Purchased Power Model '!E189</f>
        <v>6.4656290000000005E-2</v>
      </c>
      <c r="F189" s="10">
        <f>+'Purchased Power Model '!F189</f>
        <v>31</v>
      </c>
      <c r="G189" s="10">
        <f>+'Purchased Power Model '!G189</f>
        <v>0</v>
      </c>
      <c r="H189" s="117">
        <f t="shared" si="8"/>
        <v>98758708.958875537</v>
      </c>
      <c r="I189" s="118"/>
      <c r="J189" s="119"/>
      <c r="L189"/>
      <c r="M189"/>
      <c r="N189"/>
      <c r="T189" s="111"/>
      <c r="U189" s="111"/>
      <c r="V189" s="111"/>
      <c r="W189" s="111"/>
      <c r="X189" s="111"/>
      <c r="Y189" s="111"/>
      <c r="Z189" s="111"/>
      <c r="AA189" s="111"/>
      <c r="AB189" s="111"/>
    </row>
    <row r="190" spans="1:28" x14ac:dyDescent="0.3">
      <c r="A190" s="3">
        <v>43313</v>
      </c>
      <c r="B190" s="111"/>
      <c r="C190" s="98">
        <f>(+C178/SUM(C$171:C$182))*Trends!B$22</f>
        <v>11.722665559442033</v>
      </c>
      <c r="D190" s="98">
        <f>(+D178/SUM(D$171:D$182))*Trends!C$22</f>
        <v>75.806327683615706</v>
      </c>
      <c r="E190" s="103">
        <f>+'Purchased Power Model '!E190</f>
        <v>6.4656290000000005E-2</v>
      </c>
      <c r="F190" s="10">
        <f>+'Purchased Power Model '!F190</f>
        <v>31</v>
      </c>
      <c r="G190" s="10">
        <f>+'Purchased Power Model '!G190</f>
        <v>0</v>
      </c>
      <c r="H190" s="117">
        <f t="shared" si="8"/>
        <v>99515934.732237875</v>
      </c>
      <c r="I190" s="118"/>
      <c r="J190" s="119"/>
      <c r="L190"/>
      <c r="M190"/>
      <c r="N190"/>
      <c r="T190" s="111"/>
      <c r="U190" s="111"/>
      <c r="V190" s="111"/>
      <c r="W190" s="111"/>
      <c r="X190" s="111"/>
      <c r="Y190" s="111"/>
      <c r="Z190" s="111"/>
      <c r="AA190" s="111"/>
      <c r="AB190" s="111"/>
    </row>
    <row r="191" spans="1:28" x14ac:dyDescent="0.3">
      <c r="A191" s="3">
        <v>43344</v>
      </c>
      <c r="B191" s="111"/>
      <c r="C191" s="98">
        <f>(+C179/SUM(C$171:C$182))*Trends!B$22</f>
        <v>71.44364679533966</v>
      </c>
      <c r="D191" s="98">
        <f>(+D179/SUM(D$171:D$182))*Trends!C$22</f>
        <v>29.407627118644019</v>
      </c>
      <c r="E191" s="103">
        <f>+'Purchased Power Model '!E191</f>
        <v>6.4656290000000005E-2</v>
      </c>
      <c r="F191" s="10">
        <f>+'Purchased Power Model '!F191</f>
        <v>30</v>
      </c>
      <c r="G191" s="10">
        <f>+'Purchased Power Model '!G191</f>
        <v>1</v>
      </c>
      <c r="H191" s="117">
        <f t="shared" si="8"/>
        <v>85396177.33567667</v>
      </c>
      <c r="I191" s="118"/>
      <c r="J191" s="119"/>
      <c r="L191"/>
      <c r="M191"/>
      <c r="N191"/>
      <c r="T191" s="111"/>
      <c r="U191" s="111"/>
      <c r="V191" s="111"/>
      <c r="W191" s="111"/>
      <c r="X191" s="111"/>
      <c r="Y191" s="111"/>
      <c r="Z191" s="111"/>
      <c r="AA191" s="111"/>
      <c r="AB191" s="111"/>
    </row>
    <row r="192" spans="1:28" x14ac:dyDescent="0.3">
      <c r="A192" s="3">
        <v>43374</v>
      </c>
      <c r="B192" s="111"/>
      <c r="C192" s="98">
        <f>(+C180/SUM(C$171:C$182))*Trends!B$22</f>
        <v>199.65453232341042</v>
      </c>
      <c r="D192" s="98">
        <f>(+D180/SUM(D$171:D$182))*Trends!C$22</f>
        <v>0.65350282485875599</v>
      </c>
      <c r="E192" s="103">
        <f>+'Purchased Power Model '!E192</f>
        <v>6.3593549999999999E-2</v>
      </c>
      <c r="F192" s="10">
        <f>+'Purchased Power Model '!F192</f>
        <v>31</v>
      </c>
      <c r="G192" s="10">
        <f>+'Purchased Power Model '!G192</f>
        <v>1</v>
      </c>
      <c r="H192" s="117">
        <f t="shared" si="8"/>
        <v>89402252.158459157</v>
      </c>
      <c r="I192" s="118"/>
      <c r="J192" s="119"/>
      <c r="L192"/>
      <c r="M192"/>
      <c r="N192"/>
      <c r="T192" s="111"/>
      <c r="U192" s="111"/>
      <c r="V192" s="111"/>
      <c r="W192" s="111"/>
      <c r="X192" s="111"/>
      <c r="Y192" s="111"/>
      <c r="Z192" s="111"/>
      <c r="AA192" s="111"/>
      <c r="AB192" s="111"/>
    </row>
    <row r="193" spans="1:28" x14ac:dyDescent="0.3">
      <c r="A193" s="3">
        <v>43405</v>
      </c>
      <c r="B193" s="111"/>
      <c r="C193" s="98">
        <f>(+C181/SUM(C$171:C$182))*Trends!B$22</f>
        <v>375.95603798116082</v>
      </c>
      <c r="D193" s="98">
        <f>(+D181/SUM(D$171:D$182))*Trends!C$22</f>
        <v>0</v>
      </c>
      <c r="E193" s="103">
        <f>+'Purchased Power Model '!E193</f>
        <v>6.3593549999999999E-2</v>
      </c>
      <c r="F193" s="10">
        <f>+'Purchased Power Model '!F193</f>
        <v>30</v>
      </c>
      <c r="G193" s="10">
        <f>+'Purchased Power Model '!G193</f>
        <v>1</v>
      </c>
      <c r="H193" s="117">
        <f t="shared" si="8"/>
        <v>93667367.506831035</v>
      </c>
      <c r="I193" s="118"/>
      <c r="J193" s="119"/>
      <c r="L193"/>
      <c r="M193"/>
      <c r="N193"/>
      <c r="T193" s="111"/>
      <c r="U193" s="111"/>
      <c r="V193" s="111"/>
      <c r="W193" s="111"/>
      <c r="X193" s="111"/>
      <c r="Y193" s="111"/>
      <c r="Z193" s="111"/>
      <c r="AA193" s="111"/>
      <c r="AB193" s="111"/>
    </row>
    <row r="194" spans="1:28" x14ac:dyDescent="0.3">
      <c r="A194" s="3">
        <v>43435</v>
      </c>
      <c r="B194" s="111"/>
      <c r="C194" s="98">
        <f>(+C182/SUM(C$171:C$182))*Trends!B$22</f>
        <v>509.33597288977279</v>
      </c>
      <c r="D194" s="98">
        <f>(+D182/SUM(D$171:D$182))*Trends!C$22</f>
        <v>0</v>
      </c>
      <c r="E194" s="103">
        <f>+'Purchased Power Model '!E194</f>
        <v>6.3593549999999999E-2</v>
      </c>
      <c r="F194" s="10">
        <f>+'Purchased Power Model '!F194</f>
        <v>31</v>
      </c>
      <c r="G194" s="10">
        <f>+'Purchased Power Model '!G194</f>
        <v>0</v>
      </c>
      <c r="H194" s="117">
        <f t="shared" si="8"/>
        <v>108948176.51243046</v>
      </c>
      <c r="I194" s="118"/>
      <c r="J194" s="119"/>
      <c r="L194"/>
      <c r="M194"/>
      <c r="N194"/>
      <c r="T194" s="111"/>
      <c r="U194" s="111"/>
      <c r="V194" s="111"/>
      <c r="W194" s="111"/>
      <c r="X194" s="111"/>
      <c r="Y194" s="111"/>
      <c r="Z194" s="111"/>
      <c r="AA194" s="111"/>
      <c r="AB194" s="111"/>
    </row>
    <row r="195" spans="1:28" x14ac:dyDescent="0.3">
      <c r="A195" s="3">
        <v>43466</v>
      </c>
      <c r="B195" s="111"/>
      <c r="C195" s="98">
        <f>(+C183/SUM(C$183:C$194))*Trends!B$22</f>
        <v>711.94424771634965</v>
      </c>
      <c r="D195" s="98">
        <f>(+D183/SUM(D$183:D$194))*Trends!C$22</f>
        <v>0</v>
      </c>
      <c r="E195" s="103">
        <f>+'Purchased Power Model '!E195</f>
        <v>6.2343830000000003E-2</v>
      </c>
      <c r="F195" s="10">
        <f>+'Purchased Power Model '!F195</f>
        <v>31</v>
      </c>
      <c r="G195" s="10">
        <f>+'Purchased Power Model '!G195</f>
        <v>0</v>
      </c>
      <c r="H195" s="117">
        <f t="shared" si="8"/>
        <v>117339197.76809567</v>
      </c>
      <c r="I195" s="118"/>
      <c r="J195" s="119"/>
      <c r="L195"/>
      <c r="M195"/>
      <c r="N195"/>
      <c r="T195" s="111"/>
      <c r="U195" s="111"/>
      <c r="V195" s="111"/>
      <c r="W195" s="111"/>
      <c r="X195" s="111"/>
      <c r="Y195" s="111"/>
      <c r="Z195" s="111"/>
      <c r="AA195" s="111"/>
      <c r="AB195" s="111"/>
    </row>
    <row r="196" spans="1:28" x14ac:dyDescent="0.3">
      <c r="A196" s="3">
        <v>43497</v>
      </c>
      <c r="B196" s="111"/>
      <c r="C196" s="98">
        <f>(+C184/SUM(C$183:C$194))*Trends!B$22</f>
        <v>637.68531509767956</v>
      </c>
      <c r="D196" s="98">
        <f>(+D184/SUM(D$183:D$194))*Trends!C$22</f>
        <v>0</v>
      </c>
      <c r="E196" s="103">
        <f>+'Purchased Power Model '!E196</f>
        <v>6.2343830000000003E-2</v>
      </c>
      <c r="F196" s="10">
        <f>+'Purchased Power Model '!F196</f>
        <v>28</v>
      </c>
      <c r="G196" s="10">
        <f>+'Purchased Power Model '!G196</f>
        <v>0</v>
      </c>
      <c r="H196" s="117">
        <f t="shared" ref="H196:H206" si="16">$M$18+C196*$M$19+D196*$M$20+E196*$M$21+F196*$M$22+G196*$M$23</f>
        <v>105889659.8072968</v>
      </c>
      <c r="I196" s="118"/>
      <c r="J196" s="119"/>
      <c r="L196"/>
      <c r="M196"/>
      <c r="N196"/>
      <c r="T196" s="111"/>
      <c r="U196" s="111"/>
      <c r="V196" s="111"/>
      <c r="W196" s="111"/>
      <c r="X196" s="111"/>
      <c r="Y196" s="111"/>
      <c r="Z196" s="111"/>
      <c r="AA196" s="111"/>
      <c r="AB196" s="111"/>
    </row>
    <row r="197" spans="1:28" x14ac:dyDescent="0.3">
      <c r="A197" s="3">
        <v>43525</v>
      </c>
      <c r="B197" s="111"/>
      <c r="C197" s="98">
        <f>(+C185/SUM(C$183:C$194))*Trends!B$22</f>
        <v>625.77804063178974</v>
      </c>
      <c r="D197" s="98">
        <f>(+D185/SUM(D$183:D$194))*Trends!C$22</f>
        <v>0</v>
      </c>
      <c r="E197" s="103">
        <f>+'Purchased Power Model '!E197</f>
        <v>6.2343830000000003E-2</v>
      </c>
      <c r="F197" s="10">
        <f>+'Purchased Power Model '!F197</f>
        <v>31</v>
      </c>
      <c r="G197" s="10">
        <f>+'Purchased Power Model '!G197</f>
        <v>1</v>
      </c>
      <c r="H197" s="117">
        <f t="shared" si="16"/>
        <v>106788266.97400469</v>
      </c>
      <c r="I197" s="118"/>
      <c r="J197" s="119"/>
      <c r="L197"/>
      <c r="M197"/>
      <c r="N197"/>
      <c r="T197" s="111"/>
      <c r="U197" s="111"/>
      <c r="V197" s="111"/>
      <c r="W197" s="111"/>
      <c r="X197" s="111"/>
      <c r="Y197" s="111"/>
      <c r="Z197" s="111"/>
      <c r="AA197" s="111"/>
      <c r="AB197" s="111"/>
    </row>
    <row r="198" spans="1:28" x14ac:dyDescent="0.3">
      <c r="A198" s="3">
        <v>43556</v>
      </c>
      <c r="B198" s="111"/>
      <c r="C198" s="98">
        <f>(+C186/SUM(C$183:C$194))*Trends!B$22</f>
        <v>342.72643482053758</v>
      </c>
      <c r="D198" s="98">
        <f>(+D186/SUM(D$183:D$194))*Trends!C$22</f>
        <v>0</v>
      </c>
      <c r="E198" s="103">
        <f>+'Purchased Power Model '!E198</f>
        <v>6.0906349999999998E-2</v>
      </c>
      <c r="F198" s="10">
        <f>+'Purchased Power Model '!F198</f>
        <v>30</v>
      </c>
      <c r="G198" s="10">
        <f>+'Purchased Power Model '!G198</f>
        <v>1</v>
      </c>
      <c r="H198" s="117">
        <f t="shared" si="16"/>
        <v>92642845.093455389</v>
      </c>
      <c r="I198" s="118"/>
      <c r="J198" s="119"/>
      <c r="L198"/>
      <c r="M198"/>
      <c r="N198"/>
      <c r="T198" s="111"/>
      <c r="U198" s="111"/>
      <c r="V198" s="111"/>
      <c r="W198" s="111"/>
      <c r="X198" s="111"/>
      <c r="Y198" s="111"/>
      <c r="Z198" s="111"/>
      <c r="AA198" s="111"/>
      <c r="AB198" s="111"/>
    </row>
    <row r="199" spans="1:28" x14ac:dyDescent="0.3">
      <c r="A199" s="3">
        <v>43586</v>
      </c>
      <c r="B199" s="111"/>
      <c r="C199" s="98">
        <f>(+C187/SUM(C$183:C$194))*Trends!B$22</f>
        <v>148.14864742444459</v>
      </c>
      <c r="D199" s="98">
        <f>(+D187/SUM(D$183:D$194))*Trends!C$22</f>
        <v>1.699107344632766</v>
      </c>
      <c r="E199" s="103">
        <f>+'Purchased Power Model '!E199</f>
        <v>6.0906349999999998E-2</v>
      </c>
      <c r="F199" s="10">
        <f>+'Purchased Power Model '!F199</f>
        <v>31</v>
      </c>
      <c r="G199" s="10">
        <f>+'Purchased Power Model '!G199</f>
        <v>1</v>
      </c>
      <c r="H199" s="117">
        <f t="shared" si="16"/>
        <v>87785317.325012013</v>
      </c>
      <c r="I199" s="118"/>
      <c r="J199" s="119"/>
      <c r="L199"/>
      <c r="M199"/>
      <c r="N199"/>
      <c r="T199" s="111"/>
      <c r="U199" s="111"/>
      <c r="V199" s="111"/>
      <c r="W199" s="111"/>
      <c r="X199" s="111"/>
      <c r="Y199" s="111"/>
      <c r="Z199" s="111"/>
      <c r="AA199" s="111"/>
      <c r="AB199" s="111"/>
    </row>
    <row r="200" spans="1:28" x14ac:dyDescent="0.3">
      <c r="A200" s="3">
        <v>43617</v>
      </c>
      <c r="B200" s="111"/>
      <c r="C200" s="98">
        <f>(+C188/SUM(C$183:C$194))*Trends!B$22</f>
        <v>24.829897917243368</v>
      </c>
      <c r="D200" s="98">
        <f>(+D188/SUM(D$183:D$194))*Trends!C$22</f>
        <v>52.41092655367224</v>
      </c>
      <c r="E200" s="103">
        <f>+'Purchased Power Model '!E200</f>
        <v>6.0906349999999998E-2</v>
      </c>
      <c r="F200" s="10">
        <f>+'Purchased Power Model '!F200</f>
        <v>30</v>
      </c>
      <c r="G200" s="10">
        <f>+'Purchased Power Model '!G200</f>
        <v>0</v>
      </c>
      <c r="H200" s="117">
        <f t="shared" si="16"/>
        <v>94321022.883967847</v>
      </c>
      <c r="I200" s="118"/>
      <c r="J200" s="119"/>
      <c r="L200"/>
      <c r="M200"/>
      <c r="N200"/>
      <c r="T200" s="111"/>
      <c r="U200" s="111"/>
      <c r="V200" s="111"/>
      <c r="W200" s="111"/>
      <c r="X200" s="111"/>
      <c r="Y200" s="111"/>
      <c r="Z200" s="111"/>
      <c r="AA200" s="111"/>
      <c r="AB200" s="111"/>
    </row>
    <row r="201" spans="1:28" x14ac:dyDescent="0.3">
      <c r="A201" s="3">
        <v>43647</v>
      </c>
      <c r="B201" s="111"/>
      <c r="C201" s="98">
        <f>(+C189/SUM(C$183:C$194))*Trends!B$22</f>
        <v>8.861227509499491</v>
      </c>
      <c r="D201" s="98">
        <f>(+D189/SUM(D$183:D$194))*Trends!C$22</f>
        <v>71.362508474576146</v>
      </c>
      <c r="E201" s="103">
        <f>+'Purchased Power Model '!E201</f>
        <v>5.928129E-2</v>
      </c>
      <c r="F201" s="10">
        <f>+'Purchased Power Model '!F201</f>
        <v>31</v>
      </c>
      <c r="G201" s="10">
        <f>+'Purchased Power Model '!G201</f>
        <v>0</v>
      </c>
      <c r="H201" s="117">
        <f t="shared" si="16"/>
        <v>99412298.193776116</v>
      </c>
      <c r="I201" s="118"/>
      <c r="J201" s="119"/>
      <c r="L201"/>
      <c r="M201"/>
      <c r="N201"/>
      <c r="T201" s="111"/>
      <c r="U201" s="111"/>
      <c r="V201" s="111"/>
      <c r="W201" s="111"/>
      <c r="X201" s="111"/>
      <c r="Y201" s="111"/>
      <c r="Z201" s="111"/>
      <c r="AA201" s="111"/>
      <c r="AB201" s="111"/>
    </row>
    <row r="202" spans="1:28" x14ac:dyDescent="0.3">
      <c r="A202" s="3">
        <v>43678</v>
      </c>
      <c r="B202" s="111"/>
      <c r="C202" s="98">
        <f>(+C190/SUM(C$183:C$194))*Trends!B$22</f>
        <v>11.722665559442033</v>
      </c>
      <c r="D202" s="98">
        <f>(+D190/SUM(D$183:D$194))*Trends!C$22</f>
        <v>75.806327683615706</v>
      </c>
      <c r="E202" s="103">
        <f>+'Purchased Power Model '!E202</f>
        <v>5.928129E-2</v>
      </c>
      <c r="F202" s="10">
        <f>+'Purchased Power Model '!F202</f>
        <v>31</v>
      </c>
      <c r="G202" s="10">
        <f>+'Purchased Power Model '!G202</f>
        <v>0</v>
      </c>
      <c r="H202" s="117">
        <f t="shared" si="16"/>
        <v>100169523.96713844</v>
      </c>
      <c r="I202" s="118"/>
      <c r="J202" s="119"/>
      <c r="L202"/>
      <c r="M202"/>
      <c r="N202"/>
      <c r="T202" s="111"/>
      <c r="U202" s="111"/>
      <c r="V202" s="111"/>
      <c r="W202" s="111"/>
      <c r="X202" s="111"/>
      <c r="Y202" s="111"/>
      <c r="Z202" s="111"/>
      <c r="AA202" s="111"/>
      <c r="AB202" s="111"/>
    </row>
    <row r="203" spans="1:28" x14ac:dyDescent="0.3">
      <c r="A203" s="3">
        <v>43709</v>
      </c>
      <c r="B203" s="111"/>
      <c r="C203" s="98">
        <f>(+C191/SUM(C$183:C$194))*Trends!B$22</f>
        <v>71.44364679533966</v>
      </c>
      <c r="D203" s="98">
        <f>(+D191/SUM(D$183:D$194))*Trends!C$22</f>
        <v>29.407627118644019</v>
      </c>
      <c r="E203" s="103">
        <f>+'Purchased Power Model '!E203</f>
        <v>5.928129E-2</v>
      </c>
      <c r="F203" s="10">
        <f>+'Purchased Power Model '!F203</f>
        <v>30</v>
      </c>
      <c r="G203" s="10">
        <f>+'Purchased Power Model '!G203</f>
        <v>1</v>
      </c>
      <c r="H203" s="117">
        <f t="shared" si="16"/>
        <v>86049766.570577249</v>
      </c>
      <c r="I203" s="118"/>
      <c r="J203" s="119"/>
      <c r="L203"/>
      <c r="M203"/>
      <c r="N203"/>
      <c r="T203" s="111"/>
      <c r="U203" s="111"/>
      <c r="V203" s="111"/>
      <c r="W203" s="111"/>
      <c r="X203" s="111"/>
      <c r="Y203" s="111"/>
      <c r="Z203" s="111"/>
      <c r="AA203" s="111"/>
      <c r="AB203" s="111"/>
    </row>
    <row r="204" spans="1:28" x14ac:dyDescent="0.3">
      <c r="A204" s="3">
        <v>43739</v>
      </c>
      <c r="B204" s="111"/>
      <c r="C204" s="98">
        <f>(+C192/SUM(C$183:C$194))*Trends!B$22</f>
        <v>199.65453232341042</v>
      </c>
      <c r="D204" s="98">
        <f>(+D192/SUM(D$183:D$194))*Trends!C$22</f>
        <v>0.65350282485875599</v>
      </c>
      <c r="E204" s="103">
        <f>+'Purchased Power Model '!E204</f>
        <v>5.7468579999999998E-2</v>
      </c>
      <c r="F204" s="10">
        <f>+'Purchased Power Model '!F204</f>
        <v>31</v>
      </c>
      <c r="G204" s="10">
        <f>+'Purchased Power Model '!G204</f>
        <v>1</v>
      </c>
      <c r="H204" s="117">
        <f t="shared" si="16"/>
        <v>90147036.24331291</v>
      </c>
      <c r="I204" s="118"/>
      <c r="J204" s="119"/>
      <c r="L204"/>
      <c r="M204"/>
      <c r="N204"/>
      <c r="T204" s="111"/>
      <c r="U204" s="111"/>
      <c r="V204" s="111"/>
      <c r="W204" s="111"/>
      <c r="X204" s="111"/>
      <c r="Y204" s="111"/>
      <c r="Z204" s="111"/>
      <c r="AA204" s="111"/>
      <c r="AB204" s="111"/>
    </row>
    <row r="205" spans="1:28" x14ac:dyDescent="0.3">
      <c r="A205" s="3">
        <v>43770</v>
      </c>
      <c r="B205" s="111"/>
      <c r="C205" s="98">
        <f>(+C193/SUM(C$183:C$194))*Trends!B$22</f>
        <v>375.95603798116082</v>
      </c>
      <c r="D205" s="98">
        <f>(+D193/SUM(D$183:D$194))*Trends!C$22</f>
        <v>0</v>
      </c>
      <c r="E205" s="103">
        <f>+'Purchased Power Model '!E205</f>
        <v>5.7468579999999998E-2</v>
      </c>
      <c r="F205" s="10">
        <f>+'Purchased Power Model '!F205</f>
        <v>30</v>
      </c>
      <c r="G205" s="10">
        <f>+'Purchased Power Model '!G205</f>
        <v>1</v>
      </c>
      <c r="H205" s="117">
        <f t="shared" si="16"/>
        <v>94412151.591684788</v>
      </c>
      <c r="I205" s="118"/>
      <c r="J205" s="119"/>
      <c r="L205"/>
      <c r="M205"/>
      <c r="N205"/>
      <c r="T205" s="111"/>
      <c r="U205" s="111"/>
      <c r="V205" s="111"/>
      <c r="W205" s="111"/>
      <c r="X205" s="111"/>
      <c r="Y205" s="111"/>
      <c r="Z205" s="111"/>
      <c r="AA205" s="111"/>
      <c r="AB205" s="111"/>
    </row>
    <row r="206" spans="1:28" x14ac:dyDescent="0.3">
      <c r="A206" s="3">
        <v>43800</v>
      </c>
      <c r="B206" s="111"/>
      <c r="C206" s="98">
        <f>(+C194/SUM(C$183:C$194))*Trends!B$22</f>
        <v>509.33597288977279</v>
      </c>
      <c r="D206" s="98">
        <f>(+D194/SUM(D$183:D$194))*Trends!C$22</f>
        <v>0</v>
      </c>
      <c r="E206" s="103">
        <f>+'Purchased Power Model '!E206</f>
        <v>5.7468579999999998E-2</v>
      </c>
      <c r="F206" s="10">
        <f>+'Purchased Power Model '!F206</f>
        <v>31</v>
      </c>
      <c r="G206" s="10">
        <f>+'Purchased Power Model '!G206</f>
        <v>0</v>
      </c>
      <c r="H206" s="117">
        <f t="shared" si="16"/>
        <v>109692960.59728423</v>
      </c>
      <c r="I206" s="118"/>
      <c r="J206" s="119"/>
      <c r="L206"/>
      <c r="M206"/>
      <c r="N206"/>
      <c r="T206" s="111"/>
      <c r="U206" s="111"/>
      <c r="V206" s="111"/>
      <c r="W206" s="111"/>
      <c r="X206" s="111"/>
      <c r="Y206" s="111"/>
      <c r="Z206" s="111"/>
      <c r="AA206" s="111"/>
      <c r="AB206" s="111"/>
    </row>
    <row r="207" spans="1:28" x14ac:dyDescent="0.3">
      <c r="A207" s="116"/>
      <c r="B207" s="111"/>
      <c r="C207" s="112"/>
      <c r="D207" s="112"/>
      <c r="E207" s="113"/>
      <c r="F207" s="112"/>
      <c r="G207" s="112"/>
      <c r="H207" s="112"/>
      <c r="I207" s="118"/>
      <c r="J207" s="119"/>
      <c r="L207"/>
      <c r="M207"/>
      <c r="N207"/>
      <c r="T207" s="120"/>
      <c r="U207" s="120"/>
      <c r="V207" s="120"/>
      <c r="W207" s="111"/>
      <c r="X207" s="111"/>
      <c r="Y207" s="111"/>
      <c r="Z207" s="111"/>
      <c r="AA207" s="111"/>
      <c r="AB207" s="111"/>
    </row>
    <row r="208" spans="1:28" x14ac:dyDescent="0.3">
      <c r="A208" s="3"/>
      <c r="B208" s="6"/>
      <c r="C208" s="18"/>
      <c r="D208" s="179" t="s">
        <v>60</v>
      </c>
      <c r="E208" s="34"/>
      <c r="F208" s="179"/>
      <c r="G208" s="179"/>
      <c r="H208" s="47">
        <f ca="1">SUM(H3:H206)</f>
        <v>19784046244.744232</v>
      </c>
      <c r="I208" s="36"/>
      <c r="J208" s="5"/>
      <c r="L208"/>
      <c r="M208"/>
      <c r="N208"/>
      <c r="T208" s="111"/>
      <c r="U208" s="111"/>
      <c r="V208" s="111"/>
      <c r="W208" s="111"/>
      <c r="X208" s="111"/>
      <c r="Y208" s="111"/>
      <c r="Z208" s="111"/>
      <c r="AA208" s="111"/>
      <c r="AB208" s="111"/>
    </row>
    <row r="209" spans="1:28" ht="24.9" x14ac:dyDescent="0.3">
      <c r="A209" s="3"/>
      <c r="B209" s="6"/>
      <c r="C209" s="23"/>
      <c r="D209" s="23"/>
      <c r="E209" s="34"/>
      <c r="F209"/>
      <c r="G209"/>
      <c r="H209" s="179"/>
      <c r="I209" s="36"/>
      <c r="J209" s="5" t="s">
        <v>196</v>
      </c>
      <c r="L209" s="393" t="s">
        <v>284</v>
      </c>
      <c r="M209" s="390" t="s">
        <v>282</v>
      </c>
      <c r="N209" s="393" t="s">
        <v>287</v>
      </c>
      <c r="O209" s="391" t="s">
        <v>283</v>
      </c>
      <c r="P209" s="393" t="s">
        <v>286</v>
      </c>
      <c r="Q209" s="391" t="s">
        <v>285</v>
      </c>
      <c r="T209" s="111"/>
      <c r="U209" s="111"/>
      <c r="V209" s="111"/>
      <c r="W209" s="111"/>
      <c r="X209" s="111"/>
      <c r="Y209" s="111"/>
      <c r="Z209" s="111"/>
      <c r="AA209" s="111"/>
      <c r="AB209" s="111"/>
    </row>
    <row r="210" spans="1:28" x14ac:dyDescent="0.3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F210"/>
      <c r="G210"/>
      <c r="H210" s="6">
        <f>SUM(H3:H14)</f>
        <v>1206627694.1608171</v>
      </c>
      <c r="I210" s="36">
        <f t="shared" ref="I210:I224" si="17">H210-B210</f>
        <v>-26096475.839182854</v>
      </c>
      <c r="J210" s="5">
        <f t="shared" ref="J210:J226" si="18">I210/B210</f>
        <v>-2.1169760822636302E-2</v>
      </c>
      <c r="L210" s="182"/>
      <c r="M210" s="392">
        <f>+H210-L210</f>
        <v>1206627694.1608171</v>
      </c>
      <c r="N210" s="182"/>
      <c r="O210" s="392">
        <f>+M210-N210</f>
        <v>1206627694.1608171</v>
      </c>
      <c r="P210" s="182"/>
      <c r="Q210" s="392">
        <f>+O210+P210</f>
        <v>1206627694.1608171</v>
      </c>
      <c r="R210" s="110">
        <v>1208483234.4312544</v>
      </c>
      <c r="S210" s="432">
        <f>+Q210-R210</f>
        <v>-1855540.2704372406</v>
      </c>
      <c r="T210" s="111"/>
      <c r="U210" s="111"/>
      <c r="V210" s="111"/>
      <c r="W210" s="111"/>
      <c r="X210" s="111"/>
      <c r="Y210" s="111"/>
      <c r="Z210" s="111"/>
      <c r="AA210" s="111"/>
      <c r="AB210" s="111"/>
    </row>
    <row r="211" spans="1:28" x14ac:dyDescent="0.3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F211"/>
      <c r="G211"/>
      <c r="H211" s="6">
        <f>SUM(H15:H26)</f>
        <v>1193979451.6981936</v>
      </c>
      <c r="I211" s="36">
        <f t="shared" si="17"/>
        <v>15538261.69819355</v>
      </c>
      <c r="J211" s="5">
        <f t="shared" si="18"/>
        <v>1.3185436685383977E-2</v>
      </c>
      <c r="L211" s="182"/>
      <c r="M211" s="392">
        <f t="shared" ref="M211:M226" si="19">+H211-L211</f>
        <v>1193979451.6981936</v>
      </c>
      <c r="N211" s="182"/>
      <c r="O211" s="392">
        <f t="shared" ref="O211:O226" si="20">+M211-N211</f>
        <v>1193979451.6981936</v>
      </c>
      <c r="P211" s="182"/>
      <c r="Q211" s="392">
        <f t="shared" ref="Q211:Q226" si="21">+O211+P211</f>
        <v>1193979451.6981936</v>
      </c>
      <c r="R211" s="110">
        <v>1193278221.7053266</v>
      </c>
      <c r="S211" s="432">
        <f t="shared" ref="S211:S226" si="22">+Q211-R211</f>
        <v>701229.99286699295</v>
      </c>
      <c r="T211" s="111"/>
      <c r="U211" s="111"/>
      <c r="V211" s="111"/>
      <c r="W211" s="111"/>
      <c r="X211" s="111"/>
      <c r="Y211" s="111"/>
      <c r="Z211" s="111"/>
      <c r="AA211" s="111"/>
      <c r="AB211" s="111"/>
    </row>
    <row r="212" spans="1:28" x14ac:dyDescent="0.3">
      <c r="A212" s="16">
        <v>2005</v>
      </c>
      <c r="B212" s="6">
        <f>SUM(B27:B38)</f>
        <v>1174501350</v>
      </c>
      <c r="C212" s="107">
        <f t="shared" ref="C212:C226" si="23">+B212-B211</f>
        <v>-3939840</v>
      </c>
      <c r="D212" s="109">
        <f t="shared" ref="D212:D226" si="24">+C212/B211</f>
        <v>-3.3432639943619079E-3</v>
      </c>
      <c r="E212" s="109">
        <f>RATE(2,0,-B$210,B212)</f>
        <v>-2.3901142331683341E-2</v>
      </c>
      <c r="F212"/>
      <c r="G212"/>
      <c r="H212" s="6">
        <f>SUM(H27:H38)</f>
        <v>1203979720.1338103</v>
      </c>
      <c r="I212" s="36">
        <f t="shared" si="17"/>
        <v>29478370.133810282</v>
      </c>
      <c r="J212" s="5">
        <f t="shared" si="18"/>
        <v>2.5098626011634879E-2</v>
      </c>
      <c r="L212" s="182"/>
      <c r="M212" s="392">
        <f t="shared" si="19"/>
        <v>1203979720.1338103</v>
      </c>
      <c r="N212" s="182"/>
      <c r="O212" s="392">
        <f t="shared" si="20"/>
        <v>1203979720.1338103</v>
      </c>
      <c r="P212" s="182"/>
      <c r="Q212" s="392">
        <f t="shared" si="21"/>
        <v>1203979720.1338103</v>
      </c>
      <c r="R212" s="110">
        <v>1203281045.2314129</v>
      </c>
      <c r="S212" s="432">
        <f t="shared" si="22"/>
        <v>698674.90239739418</v>
      </c>
      <c r="T212" s="120"/>
      <c r="U212" s="120"/>
      <c r="V212" s="120"/>
      <c r="W212" s="111"/>
      <c r="X212" s="111"/>
      <c r="Y212" s="111"/>
      <c r="Z212" s="111"/>
      <c r="AA212" s="111"/>
      <c r="AB212" s="111"/>
    </row>
    <row r="213" spans="1:28" x14ac:dyDescent="0.3">
      <c r="A213">
        <v>2006</v>
      </c>
      <c r="B213" s="6">
        <f>SUM(B39:B50)</f>
        <v>1151360440</v>
      </c>
      <c r="C213" s="107">
        <f t="shared" si="23"/>
        <v>-23140910</v>
      </c>
      <c r="D213" s="109">
        <f t="shared" si="24"/>
        <v>-1.9702753002369899E-2</v>
      </c>
      <c r="E213" s="109">
        <f>RATE(3,0,-B$210,B213)</f>
        <v>-2.2503680894619967E-2</v>
      </c>
      <c r="F213"/>
      <c r="G213"/>
      <c r="H213" s="6">
        <f>SUM(H39:H50)</f>
        <v>1167569771.1626649</v>
      </c>
      <c r="I213" s="36">
        <f t="shared" si="17"/>
        <v>16209331.16266489</v>
      </c>
      <c r="J213" s="5">
        <f t="shared" si="18"/>
        <v>1.4078415932603078E-2</v>
      </c>
      <c r="L213" s="182"/>
      <c r="M213" s="392">
        <f t="shared" si="19"/>
        <v>1167569771.1626649</v>
      </c>
      <c r="N213" s="182"/>
      <c r="O213" s="392">
        <f t="shared" si="20"/>
        <v>1167569771.1626649</v>
      </c>
      <c r="P213" s="182"/>
      <c r="Q213" s="392">
        <f t="shared" si="21"/>
        <v>1167569771.1626649</v>
      </c>
      <c r="R213" s="110">
        <v>1166568192.2886453</v>
      </c>
      <c r="S213" s="432">
        <f t="shared" si="22"/>
        <v>1001578.8740196228</v>
      </c>
      <c r="T213" s="111"/>
      <c r="U213" s="111"/>
      <c r="V213" s="111"/>
      <c r="W213" s="111"/>
      <c r="X213" s="111"/>
      <c r="Y213" s="111"/>
      <c r="Z213" s="111"/>
      <c r="AA213" s="111"/>
      <c r="AB213" s="111"/>
    </row>
    <row r="214" spans="1:28" x14ac:dyDescent="0.3">
      <c r="A214" s="16">
        <v>2007</v>
      </c>
      <c r="B214" s="6">
        <f>SUM(B51:B62)</f>
        <v>1191153590</v>
      </c>
      <c r="C214" s="107">
        <f t="shared" si="23"/>
        <v>39793150</v>
      </c>
      <c r="D214" s="109">
        <f t="shared" si="24"/>
        <v>3.4561852759158546E-2</v>
      </c>
      <c r="E214" s="109">
        <f>RATE(4,0,-B$210,B214)</f>
        <v>-8.5393934317338754E-3</v>
      </c>
      <c r="F214"/>
      <c r="G214"/>
      <c r="H214" s="6">
        <f>SUM(H51:H62)</f>
        <v>1143276288.5600548</v>
      </c>
      <c r="I214" s="36">
        <f t="shared" si="17"/>
        <v>-47877301.439945221</v>
      </c>
      <c r="J214" s="5">
        <f t="shared" si="18"/>
        <v>-4.0194062161156917E-2</v>
      </c>
      <c r="L214" s="182"/>
      <c r="M214" s="392">
        <f t="shared" si="19"/>
        <v>1143276288.5600548</v>
      </c>
      <c r="N214" s="182"/>
      <c r="O214" s="392">
        <f t="shared" si="20"/>
        <v>1143276288.5600548</v>
      </c>
      <c r="P214" s="182"/>
      <c r="Q214" s="392">
        <f t="shared" si="21"/>
        <v>1143276288.5600548</v>
      </c>
      <c r="R214" s="110">
        <v>1142506607.2224176</v>
      </c>
      <c r="S214" s="432">
        <f t="shared" si="22"/>
        <v>769681.33763718605</v>
      </c>
      <c r="T214" s="111"/>
      <c r="U214" s="111"/>
      <c r="V214" s="111"/>
      <c r="W214" s="111"/>
      <c r="X214" s="111"/>
      <c r="Y214" s="111"/>
      <c r="Z214" s="111"/>
      <c r="AA214" s="111"/>
      <c r="AB214" s="111"/>
    </row>
    <row r="215" spans="1:28" x14ac:dyDescent="0.3">
      <c r="A215">
        <v>2008</v>
      </c>
      <c r="B215" s="6">
        <f>SUM(B63:B74)</f>
        <v>1158881926</v>
      </c>
      <c r="C215" s="107">
        <f t="shared" si="23"/>
        <v>-32271664</v>
      </c>
      <c r="D215" s="109">
        <f t="shared" si="24"/>
        <v>-2.70927815446537E-2</v>
      </c>
      <c r="E215" s="109">
        <f>RATE(5,0,-B$210,B215)</f>
        <v>-1.2278162500929547E-2</v>
      </c>
      <c r="F215"/>
      <c r="G215"/>
      <c r="H215" s="6">
        <f>SUM(H63:H74)</f>
        <v>1104122225.6612682</v>
      </c>
      <c r="I215" s="36">
        <f t="shared" si="17"/>
        <v>-54759700.338731766</v>
      </c>
      <c r="J215" s="5">
        <f t="shared" si="18"/>
        <v>-4.7252182565087106E-2</v>
      </c>
      <c r="L215" s="182"/>
      <c r="M215" s="392">
        <f t="shared" si="19"/>
        <v>1104122225.6612682</v>
      </c>
      <c r="N215" s="182"/>
      <c r="O215" s="392">
        <f t="shared" si="20"/>
        <v>1104122225.6612682</v>
      </c>
      <c r="P215" s="182"/>
      <c r="Q215" s="392">
        <f t="shared" si="21"/>
        <v>1104122225.6612682</v>
      </c>
      <c r="R215" s="110">
        <v>1105605337.8738799</v>
      </c>
      <c r="S215" s="432">
        <f t="shared" si="22"/>
        <v>-1483112.2126116753</v>
      </c>
      <c r="T215" s="111"/>
      <c r="U215" s="111"/>
      <c r="V215" s="111"/>
      <c r="W215" s="111"/>
      <c r="X215" s="111"/>
      <c r="Y215" s="111"/>
      <c r="Z215" s="111"/>
      <c r="AA215" s="111"/>
      <c r="AB215" s="111"/>
    </row>
    <row r="216" spans="1:28" x14ac:dyDescent="0.3">
      <c r="A216" s="16">
        <v>2009</v>
      </c>
      <c r="B216" s="6">
        <f>SUM(B75:B86)</f>
        <v>1128390784.5107694</v>
      </c>
      <c r="C216" s="107">
        <f t="shared" si="23"/>
        <v>-30491141.489230633</v>
      </c>
      <c r="D216" s="109">
        <f t="shared" si="24"/>
        <v>-2.6310826672803447E-2</v>
      </c>
      <c r="E216" s="109">
        <f>RATE(6,0,-B$210,B216)</f>
        <v>-1.4630905973235077E-2</v>
      </c>
      <c r="F216"/>
      <c r="G216"/>
      <c r="H216" s="6">
        <f>SUM(H75:H86)</f>
        <v>1123059224.0894532</v>
      </c>
      <c r="I216" s="36">
        <f t="shared" si="17"/>
        <v>-5331560.4213161469</v>
      </c>
      <c r="J216" s="5">
        <f t="shared" si="18"/>
        <v>-4.7249237538108078E-3</v>
      </c>
      <c r="L216" s="182"/>
      <c r="M216" s="392">
        <f t="shared" si="19"/>
        <v>1123059224.0894532</v>
      </c>
      <c r="N216" s="182"/>
      <c r="O216" s="392">
        <f t="shared" si="20"/>
        <v>1123059224.0894532</v>
      </c>
      <c r="P216" s="182"/>
      <c r="Q216" s="392">
        <f t="shared" si="21"/>
        <v>1123059224.0894532</v>
      </c>
      <c r="R216" s="110">
        <v>1123816338.2115908</v>
      </c>
      <c r="S216" s="432">
        <f t="shared" si="22"/>
        <v>-757114.12213754654</v>
      </c>
      <c r="T216" s="111"/>
      <c r="U216" s="111"/>
      <c r="V216" s="111"/>
      <c r="W216" s="111"/>
      <c r="X216" s="111"/>
      <c r="Y216" s="111"/>
      <c r="Z216" s="111"/>
      <c r="AA216" s="111"/>
      <c r="AB216" s="111"/>
    </row>
    <row r="217" spans="1:28" x14ac:dyDescent="0.3">
      <c r="A217">
        <v>2010</v>
      </c>
      <c r="B217" s="6">
        <f>SUM(B87:B98)</f>
        <v>1148489331.8146157</v>
      </c>
      <c r="C217" s="107">
        <f t="shared" si="23"/>
        <v>20098547.303846359</v>
      </c>
      <c r="D217" s="109">
        <f t="shared" si="24"/>
        <v>1.781169039993568E-2</v>
      </c>
      <c r="E217" s="109">
        <f>RATE(7,0,-B$210,B217)</f>
        <v>-1.0060343960087228E-2</v>
      </c>
      <c r="F217"/>
      <c r="G217"/>
      <c r="H217" s="6">
        <f>SUM(H87:H98)</f>
        <v>1129587697.9506867</v>
      </c>
      <c r="I217" s="36">
        <f t="shared" si="17"/>
        <v>-18901633.863929033</v>
      </c>
      <c r="J217" s="5">
        <f t="shared" si="18"/>
        <v>-1.645782275928015E-2</v>
      </c>
      <c r="L217" s="182"/>
      <c r="M217" s="392">
        <f t="shared" si="19"/>
        <v>1129587697.9506867</v>
      </c>
      <c r="N217" s="182"/>
      <c r="O217" s="392">
        <f t="shared" si="20"/>
        <v>1129587697.9506867</v>
      </c>
      <c r="P217" s="182"/>
      <c r="Q217" s="392">
        <f t="shared" si="21"/>
        <v>1129587697.9506867</v>
      </c>
      <c r="R217" s="110">
        <v>1128203375.0065463</v>
      </c>
      <c r="S217" s="432">
        <f t="shared" si="22"/>
        <v>1384322.9441404343</v>
      </c>
      <c r="T217" s="111"/>
      <c r="U217" s="111"/>
      <c r="V217" s="111"/>
      <c r="W217" s="111"/>
      <c r="X217" s="111"/>
      <c r="Y217" s="111"/>
      <c r="Z217" s="111"/>
      <c r="AA217" s="111"/>
      <c r="AB217" s="111"/>
    </row>
    <row r="218" spans="1:28" x14ac:dyDescent="0.3">
      <c r="A218">
        <v>2011</v>
      </c>
      <c r="B218" s="6">
        <f>SUM(B99:B110)</f>
        <v>1148632387.3953846</v>
      </c>
      <c r="C218" s="107">
        <f t="shared" si="23"/>
        <v>143055.58076882362</v>
      </c>
      <c r="D218" s="109">
        <f t="shared" si="24"/>
        <v>1.2455978197272019E-4</v>
      </c>
      <c r="E218" s="109">
        <f>RATE(8,0,-B$210,B218)</f>
        <v>-8.7929249231188996E-3</v>
      </c>
      <c r="F218"/>
      <c r="G218"/>
      <c r="H218" s="6">
        <f>SUM(H99:H110)</f>
        <v>1161830633.4946833</v>
      </c>
      <c r="I218" s="36">
        <f t="shared" si="17"/>
        <v>13198246.099298716</v>
      </c>
      <c r="J218" s="5">
        <f t="shared" si="18"/>
        <v>1.1490400448507977E-2</v>
      </c>
      <c r="L218" s="182"/>
      <c r="M218" s="392">
        <f t="shared" si="19"/>
        <v>1161830633.4946833</v>
      </c>
      <c r="N218" s="182"/>
      <c r="O218" s="392">
        <f t="shared" si="20"/>
        <v>1161830633.4946833</v>
      </c>
      <c r="P218" s="182"/>
      <c r="Q218" s="392">
        <f t="shared" si="21"/>
        <v>1161830633.4946833</v>
      </c>
      <c r="R218" s="110">
        <v>1162405206.2491772</v>
      </c>
      <c r="S218" s="432">
        <f t="shared" si="22"/>
        <v>-574572.7544939518</v>
      </c>
      <c r="T218" s="111"/>
      <c r="U218" s="111"/>
      <c r="V218" s="111"/>
      <c r="W218" s="111"/>
      <c r="X218" s="111"/>
      <c r="Y218" s="111"/>
      <c r="Z218" s="111"/>
      <c r="AA218" s="111"/>
      <c r="AB218" s="111"/>
    </row>
    <row r="219" spans="1:28" x14ac:dyDescent="0.3">
      <c r="A219">
        <v>2012</v>
      </c>
      <c r="B219" s="6">
        <f>SUM(B111:B122)</f>
        <v>1136211952.670979</v>
      </c>
      <c r="C219" s="107">
        <f t="shared" si="23"/>
        <v>-12420434.724405527</v>
      </c>
      <c r="D219" s="109">
        <f t="shared" si="24"/>
        <v>-1.0813237429748827E-2</v>
      </c>
      <c r="E219" s="109">
        <f>RATE(9,0,-B$210,B219)</f>
        <v>-9.0176077035169049E-3</v>
      </c>
      <c r="F219"/>
      <c r="G219"/>
      <c r="H219" s="6">
        <f>SUM(H111:H122)</f>
        <v>1150989222.1932878</v>
      </c>
      <c r="I219" s="36">
        <f t="shared" si="17"/>
        <v>14777269.522308826</v>
      </c>
      <c r="J219" s="5">
        <f t="shared" si="18"/>
        <v>1.3005733206353608E-2</v>
      </c>
      <c r="L219" s="182"/>
      <c r="M219" s="392">
        <f t="shared" si="19"/>
        <v>1150989222.1932878</v>
      </c>
      <c r="N219" s="182"/>
      <c r="O219" s="392">
        <f t="shared" si="20"/>
        <v>1150989222.1932878</v>
      </c>
      <c r="P219" s="182"/>
      <c r="Q219" s="392">
        <f t="shared" si="21"/>
        <v>1150989222.1932878</v>
      </c>
      <c r="R219" s="110">
        <v>1148412454.4669952</v>
      </c>
      <c r="S219" s="432">
        <f t="shared" si="22"/>
        <v>2576767.7262926102</v>
      </c>
      <c r="T219" s="111"/>
      <c r="U219" s="111"/>
      <c r="V219" s="111"/>
      <c r="W219" s="111"/>
      <c r="X219" s="111"/>
      <c r="Y219" s="111"/>
      <c r="Z219" s="111"/>
      <c r="AA219" s="111"/>
      <c r="AB219" s="111"/>
    </row>
    <row r="220" spans="1:28" x14ac:dyDescent="0.3">
      <c r="A220">
        <v>2013</v>
      </c>
      <c r="B220" s="6">
        <f>SUM(B123:B134)</f>
        <v>1130407041.6666667</v>
      </c>
      <c r="C220" s="107">
        <f t="shared" si="23"/>
        <v>-5804911.0043122768</v>
      </c>
      <c r="D220" s="109">
        <f t="shared" si="24"/>
        <v>-5.1090036420284399E-3</v>
      </c>
      <c r="E220" s="109">
        <f>RATE(10,0,-B$210,B220)</f>
        <v>-8.6274392985243292E-3</v>
      </c>
      <c r="F220"/>
      <c r="G220"/>
      <c r="H220" s="6">
        <f ca="1">SUM(H123:H134)</f>
        <v>1157767974.9881625</v>
      </c>
      <c r="I220" s="36">
        <f t="shared" ca="1" si="17"/>
        <v>27360933.321495771</v>
      </c>
      <c r="J220" s="5">
        <f t="shared" ca="1" si="18"/>
        <v>2.4204496533527377E-2</v>
      </c>
      <c r="L220" s="182"/>
      <c r="M220" s="392">
        <f t="shared" ca="1" si="19"/>
        <v>1157767974.9881625</v>
      </c>
      <c r="N220" s="182"/>
      <c r="O220" s="392">
        <f t="shared" ca="1" si="20"/>
        <v>1157767974.9881625</v>
      </c>
      <c r="P220" s="182"/>
      <c r="Q220" s="392">
        <f t="shared" ca="1" si="21"/>
        <v>1157767974.9881625</v>
      </c>
      <c r="R220" s="110">
        <v>1162091422.8514135</v>
      </c>
      <c r="S220" s="432">
        <f t="shared" ca="1" si="22"/>
        <v>-4323447.8632509708</v>
      </c>
      <c r="T220" s="111"/>
      <c r="U220" s="111"/>
      <c r="V220" s="111"/>
      <c r="W220" s="111"/>
      <c r="X220" s="111"/>
      <c r="Y220" s="111"/>
      <c r="Z220" s="111"/>
      <c r="AA220" s="111"/>
      <c r="AB220" s="111"/>
    </row>
    <row r="221" spans="1:28" x14ac:dyDescent="0.3">
      <c r="A221">
        <v>2014</v>
      </c>
      <c r="B221" s="6">
        <f>SUM(B135:B146)</f>
        <v>1134970142.7733078</v>
      </c>
      <c r="C221" s="107">
        <f t="shared" ref="C221" si="25">+B221-B220</f>
        <v>4563101.1066410542</v>
      </c>
      <c r="D221" s="109">
        <f t="shared" ref="D221" si="26">+C221/B220</f>
        <v>4.0366885010847415E-3</v>
      </c>
      <c r="E221" s="109">
        <f>RATE(10,0,-B$210,B221)</f>
        <v>-8.2279781660642495E-3</v>
      </c>
      <c r="F221"/>
      <c r="G221"/>
      <c r="H221" s="6">
        <f>SUM(H135:H146)</f>
        <v>1171374402.7386408</v>
      </c>
      <c r="I221" s="36">
        <f t="shared" si="17"/>
        <v>36404259.965332985</v>
      </c>
      <c r="J221" s="5">
        <f t="shared" si="18"/>
        <v>3.2075081619661737E-2</v>
      </c>
      <c r="L221" s="6"/>
      <c r="M221" s="392">
        <f t="shared" si="19"/>
        <v>1171374402.7386408</v>
      </c>
      <c r="N221" s="6"/>
      <c r="O221" s="392">
        <f t="shared" si="20"/>
        <v>1171374402.7386408</v>
      </c>
      <c r="P221" s="6"/>
      <c r="Q221" s="392">
        <f t="shared" si="21"/>
        <v>1171374402.7386408</v>
      </c>
      <c r="R221" s="110">
        <v>1169512871.2930617</v>
      </c>
      <c r="S221" s="432">
        <f t="shared" si="22"/>
        <v>1861531.445579052</v>
      </c>
      <c r="T221" s="111"/>
      <c r="U221" s="111"/>
      <c r="V221" s="111"/>
      <c r="W221" s="111"/>
      <c r="X221" s="111"/>
      <c r="Y221" s="111"/>
      <c r="Z221" s="111"/>
      <c r="AA221" s="111"/>
      <c r="AB221" s="111"/>
    </row>
    <row r="222" spans="1:28" x14ac:dyDescent="0.3">
      <c r="A222">
        <v>2015</v>
      </c>
      <c r="B222" s="6">
        <f t="shared" ref="B222:B224" si="27">+H222</f>
        <v>1162032943.568074</v>
      </c>
      <c r="C222" s="107">
        <f t="shared" si="23"/>
        <v>27062800.794766188</v>
      </c>
      <c r="D222" s="109">
        <f t="shared" si="24"/>
        <v>2.3844504604004856E-2</v>
      </c>
      <c r="E222" s="109">
        <f>RATE(12,0,-B$210,B222)</f>
        <v>-4.9092006223714311E-3</v>
      </c>
      <c r="F222"/>
      <c r="G222"/>
      <c r="H222" s="6">
        <f>SUM(H147:H158)</f>
        <v>1162032943.568074</v>
      </c>
      <c r="I222" s="36">
        <f t="shared" si="17"/>
        <v>0</v>
      </c>
      <c r="J222" s="5">
        <f t="shared" si="18"/>
        <v>0</v>
      </c>
      <c r="L222" s="403">
        <f>+'Purchased Power Model '!L222</f>
        <v>11592521.495236788</v>
      </c>
      <c r="M222" s="392">
        <f t="shared" si="19"/>
        <v>1150440422.0728371</v>
      </c>
      <c r="N222" s="403">
        <f>+'Purchased Power Model '!N222</f>
        <v>699556.55750752124</v>
      </c>
      <c r="O222" s="392">
        <f t="shared" si="20"/>
        <v>1149740865.5153296</v>
      </c>
      <c r="P222" s="403">
        <f ca="1">+'Purchased Power Model '!P222</f>
        <v>12847873.6919739</v>
      </c>
      <c r="Q222" s="392">
        <f t="shared" ca="1" si="21"/>
        <v>1162588739.2073035</v>
      </c>
      <c r="R222" s="110">
        <v>1179352653.1424644</v>
      </c>
      <c r="S222" s="432">
        <f t="shared" ca="1" si="22"/>
        <v>-16763913.935160875</v>
      </c>
      <c r="T222" s="111"/>
      <c r="U222" s="111"/>
      <c r="V222" s="111"/>
      <c r="W222" s="111"/>
      <c r="X222" s="111"/>
      <c r="Y222" s="111"/>
      <c r="Z222" s="111"/>
      <c r="AA222" s="111"/>
      <c r="AB222" s="111"/>
    </row>
    <row r="223" spans="1:28" x14ac:dyDescent="0.3">
      <c r="A223">
        <v>2016</v>
      </c>
      <c r="B223" s="6">
        <f t="shared" si="27"/>
        <v>1171408917.4698792</v>
      </c>
      <c r="C223" s="107">
        <f t="shared" si="23"/>
        <v>9375973.9018051624</v>
      </c>
      <c r="D223" s="109">
        <f t="shared" si="24"/>
        <v>8.0685956054015271E-3</v>
      </c>
      <c r="E223" s="109">
        <f>RATE(13,0,-B$210,B223)</f>
        <v>-3.916867863717869E-3</v>
      </c>
      <c r="F223"/>
      <c r="G223"/>
      <c r="H223" s="6">
        <f>SUM(H159:H170)</f>
        <v>1171408917.4698792</v>
      </c>
      <c r="I223" s="36">
        <f t="shared" si="17"/>
        <v>0</v>
      </c>
      <c r="J223" s="5">
        <f t="shared" si="18"/>
        <v>0</v>
      </c>
      <c r="L223" s="403">
        <f>+'Purchased Power Model '!L223</f>
        <v>20998903.467279524</v>
      </c>
      <c r="M223" s="392">
        <f t="shared" si="19"/>
        <v>1150410014.0025997</v>
      </c>
      <c r="N223" s="403">
        <f>+'Purchased Power Model '!N223</f>
        <v>4299297.8358792122</v>
      </c>
      <c r="O223" s="392">
        <f t="shared" si="20"/>
        <v>1146110716.1667204</v>
      </c>
      <c r="P223" s="403">
        <f ca="1">+'Purchased Power Model '!P223</f>
        <v>20289882.587203253</v>
      </c>
      <c r="Q223" s="392">
        <f t="shared" ca="1" si="21"/>
        <v>1166400598.7539237</v>
      </c>
      <c r="R223" s="110">
        <v>1197242217.6608162</v>
      </c>
      <c r="S223" s="432">
        <f t="shared" ca="1" si="22"/>
        <v>-30841618.906892538</v>
      </c>
      <c r="T223" s="111"/>
      <c r="U223" s="111"/>
      <c r="V223" s="111"/>
      <c r="W223" s="111"/>
      <c r="X223" s="111"/>
      <c r="Y223" s="111"/>
      <c r="Z223" s="111"/>
      <c r="AA223" s="111"/>
      <c r="AB223" s="111"/>
    </row>
    <row r="224" spans="1:28" x14ac:dyDescent="0.3">
      <c r="A224">
        <v>2017</v>
      </c>
      <c r="B224" s="6">
        <f t="shared" si="27"/>
        <v>1174435807.9556987</v>
      </c>
      <c r="C224" s="107">
        <f t="shared" si="23"/>
        <v>3026890.4858195782</v>
      </c>
      <c r="D224" s="109">
        <f t="shared" si="24"/>
        <v>2.5839742558536648E-3</v>
      </c>
      <c r="E224" s="109">
        <f>RATE(14,0,-B$210,B224)</f>
        <v>-3.4539231450303452E-3</v>
      </c>
      <c r="F224"/>
      <c r="G224"/>
      <c r="H224" s="6">
        <f>SUM(H171:H182)</f>
        <v>1174435807.9556987</v>
      </c>
      <c r="I224" s="36">
        <f t="shared" si="17"/>
        <v>0</v>
      </c>
      <c r="J224" s="5">
        <f t="shared" si="18"/>
        <v>0</v>
      </c>
      <c r="L224" s="403">
        <f>+'Purchased Power Model '!L224</f>
        <v>28541509.501449063</v>
      </c>
      <c r="M224" s="392">
        <f t="shared" si="19"/>
        <v>1145894298.4542496</v>
      </c>
      <c r="N224" s="403">
        <f>+'Purchased Power Model '!N224</f>
        <v>4800425.2625000002</v>
      </c>
      <c r="O224" s="392">
        <f t="shared" si="20"/>
        <v>1141093873.1917496</v>
      </c>
      <c r="P224" s="403">
        <f ca="1">+'Purchased Power Model '!P224</f>
        <v>27722070.617245946</v>
      </c>
      <c r="Q224" s="392">
        <f t="shared" ca="1" si="21"/>
        <v>1168815943.8089955</v>
      </c>
      <c r="R224" s="110">
        <v>1213666646.3641269</v>
      </c>
      <c r="S224" s="432">
        <f t="shared" ca="1" si="22"/>
        <v>-44850702.555131435</v>
      </c>
      <c r="T224" s="111"/>
      <c r="U224" s="111"/>
      <c r="V224" s="111"/>
      <c r="W224" s="111"/>
      <c r="X224" s="111"/>
      <c r="Y224" s="111"/>
      <c r="Z224" s="111"/>
      <c r="AA224" s="111"/>
      <c r="AB224" s="111"/>
    </row>
    <row r="225" spans="1:28" x14ac:dyDescent="0.3">
      <c r="A225">
        <v>2018</v>
      </c>
      <c r="B225" s="6">
        <f>+H225</f>
        <v>1177354221.9032569</v>
      </c>
      <c r="C225" s="107">
        <f t="shared" si="23"/>
        <v>2918413.9475581646</v>
      </c>
      <c r="D225" s="109">
        <f t="shared" si="24"/>
        <v>2.4849497331302854E-3</v>
      </c>
      <c r="E225" s="109">
        <f>RATE(15,0,-B$210,B225)</f>
        <v>-3.0590951746347099E-3</v>
      </c>
      <c r="F225"/>
      <c r="G225"/>
      <c r="H225" s="6">
        <f>SUM(H183:H194)</f>
        <v>1177354221.9032569</v>
      </c>
      <c r="I225" s="36">
        <f>H225-B225</f>
        <v>0</v>
      </c>
      <c r="J225" s="5">
        <f t="shared" si="18"/>
        <v>0</v>
      </c>
      <c r="L225" s="403">
        <f>+'Purchased Power Model '!L225</f>
        <v>39359539.795637913</v>
      </c>
      <c r="M225" s="392">
        <f t="shared" si="19"/>
        <v>1137994682.107619</v>
      </c>
      <c r="N225" s="403">
        <f>+'Purchased Power Model '!N225</f>
        <v>4800425.2625000002</v>
      </c>
      <c r="O225" s="392">
        <f t="shared" si="20"/>
        <v>1133194256.845119</v>
      </c>
      <c r="P225" s="403">
        <f ca="1">+'Purchased Power Model '!P225</f>
        <v>39230167.609783046</v>
      </c>
      <c r="Q225" s="392">
        <f t="shared" ca="1" si="21"/>
        <v>1172424424.4549019</v>
      </c>
      <c r="R225" s="110">
        <v>1231718015.80163</v>
      </c>
      <c r="S225" s="432">
        <f t="shared" ca="1" si="22"/>
        <v>-59293591.346728086</v>
      </c>
      <c r="T225" s="111"/>
      <c r="U225" s="111"/>
      <c r="V225" s="111"/>
      <c r="W225" s="111"/>
      <c r="X225" s="111"/>
      <c r="Y225" s="111"/>
      <c r="Z225" s="111"/>
      <c r="AA225" s="111"/>
      <c r="AB225" s="111"/>
    </row>
    <row r="226" spans="1:28" x14ac:dyDescent="0.3">
      <c r="A226">
        <v>2019</v>
      </c>
      <c r="B226" s="6">
        <f>+H226</f>
        <v>1184650047.0156062</v>
      </c>
      <c r="C226" s="107">
        <f t="shared" si="23"/>
        <v>7295825.1123492718</v>
      </c>
      <c r="D226" s="109">
        <f t="shared" si="24"/>
        <v>6.1967970018022064E-3</v>
      </c>
      <c r="E226" s="109">
        <f>RATE(16,0,-B$210,B226)</f>
        <v>-2.4831045299356651E-3</v>
      </c>
      <c r="F226"/>
      <c r="G226"/>
      <c r="H226" s="6">
        <f>SUM(H195:H206)</f>
        <v>1184650047.0156062</v>
      </c>
      <c r="I226" s="36">
        <f>H226-B226</f>
        <v>0</v>
      </c>
      <c r="J226" s="5">
        <f t="shared" si="18"/>
        <v>0</v>
      </c>
      <c r="L226" s="403">
        <f>+'Purchased Power Model '!L226</f>
        <v>54127908.595370837</v>
      </c>
      <c r="M226" s="392">
        <f t="shared" si="19"/>
        <v>1130522138.4202354</v>
      </c>
      <c r="N226" s="403">
        <f>+'Purchased Power Model '!N226</f>
        <v>4800425.2625000002</v>
      </c>
      <c r="O226" s="392">
        <f t="shared" si="20"/>
        <v>1125721713.1577353</v>
      </c>
      <c r="P226" s="403">
        <f ca="1">+'Purchased Power Model '!P226</f>
        <v>51175926.187507756</v>
      </c>
      <c r="Q226" s="392">
        <f t="shared" ca="1" si="21"/>
        <v>1176897639.3452432</v>
      </c>
      <c r="R226" s="110">
        <v>1242718095.457262</v>
      </c>
      <c r="S226" s="432">
        <f t="shared" ca="1" si="22"/>
        <v>-65820456.112018824</v>
      </c>
      <c r="T226" s="111"/>
      <c r="U226" s="111"/>
      <c r="V226" s="111"/>
      <c r="W226" s="111"/>
      <c r="X226" s="111"/>
      <c r="Y226" s="111"/>
      <c r="Z226" s="111"/>
      <c r="AA226" s="111"/>
      <c r="AB226" s="111"/>
    </row>
    <row r="227" spans="1:28" x14ac:dyDescent="0.3">
      <c r="A227"/>
      <c r="B227" s="6"/>
      <c r="C227" s="101"/>
      <c r="D227" s="179"/>
      <c r="E227" s="34"/>
      <c r="F227" s="179"/>
      <c r="G227" s="179"/>
      <c r="H227" s="6"/>
      <c r="I227" s="179"/>
      <c r="J227" s="179"/>
      <c r="L227"/>
      <c r="M227"/>
      <c r="N227"/>
      <c r="T227" s="111"/>
      <c r="U227" s="111"/>
      <c r="V227" s="111"/>
      <c r="W227" s="111"/>
      <c r="X227" s="111"/>
      <c r="Y227" s="111"/>
      <c r="Z227" s="111"/>
      <c r="AA227" s="111"/>
      <c r="AB227" s="111"/>
    </row>
    <row r="228" spans="1:28" x14ac:dyDescent="0.3">
      <c r="A228" t="s">
        <v>9</v>
      </c>
      <c r="B228" s="6">
        <f>SUM(B210:B226)</f>
        <v>19784046244.744232</v>
      </c>
      <c r="C228" s="101"/>
      <c r="D228" s="179"/>
      <c r="E228" s="34"/>
      <c r="F228" s="179"/>
      <c r="G228" s="179"/>
      <c r="H228" s="6">
        <f ca="1">SUM(H210:H226)</f>
        <v>19784046244.744236</v>
      </c>
      <c r="I228" s="183">
        <f ca="1">H228-B228</f>
        <v>0</v>
      </c>
      <c r="J228" s="179"/>
      <c r="L228"/>
      <c r="M228"/>
      <c r="N228"/>
      <c r="T228" s="111"/>
      <c r="U228" s="111"/>
      <c r="V228" s="111"/>
      <c r="W228" s="111"/>
      <c r="X228" s="111"/>
      <c r="Y228" s="111"/>
      <c r="Z228" s="111"/>
      <c r="AA228" s="111"/>
      <c r="AB228" s="111"/>
    </row>
    <row r="229" spans="1:28" x14ac:dyDescent="0.3">
      <c r="A229"/>
      <c r="B229" s="6"/>
      <c r="C229" s="179"/>
      <c r="D229" s="179"/>
      <c r="E229" s="34"/>
      <c r="F229" s="179"/>
      <c r="G229" s="179"/>
      <c r="H229" s="179"/>
      <c r="I229" s="62"/>
      <c r="J229" s="179"/>
      <c r="T229" s="111"/>
      <c r="U229" s="111"/>
      <c r="V229" s="111"/>
      <c r="W229" s="111"/>
      <c r="X229" s="111"/>
      <c r="Y229" s="111"/>
      <c r="Z229" s="111"/>
      <c r="AA229" s="111"/>
      <c r="AB229" s="111"/>
    </row>
    <row r="230" spans="1:28" x14ac:dyDescent="0.3">
      <c r="A230"/>
      <c r="B230" s="6"/>
      <c r="C230" s="179"/>
      <c r="D230" s="179"/>
      <c r="E230" s="34"/>
      <c r="F230" s="179"/>
      <c r="G230" s="179"/>
      <c r="H230" s="6">
        <f ca="1">SUM(H210:H226)</f>
        <v>19784046244.744236</v>
      </c>
      <c r="I230" s="183">
        <f ca="1">H208-H230</f>
        <v>0</v>
      </c>
      <c r="J230" s="179"/>
      <c r="T230" s="111"/>
      <c r="U230" s="111"/>
      <c r="V230" s="111"/>
      <c r="W230" s="111"/>
      <c r="X230" s="111"/>
      <c r="Y230" s="111"/>
      <c r="Z230" s="111"/>
      <c r="AA230" s="111"/>
      <c r="AB230" s="111"/>
    </row>
    <row r="231" spans="1:28" x14ac:dyDescent="0.3">
      <c r="A231"/>
      <c r="B231" s="6"/>
      <c r="C231" s="179"/>
      <c r="D231" s="179"/>
      <c r="E231" s="34"/>
      <c r="F231" s="179"/>
      <c r="G231" s="179"/>
      <c r="H231" s="23"/>
      <c r="I231" s="184" t="s">
        <v>69</v>
      </c>
      <c r="J231" s="18"/>
      <c r="T231" s="111"/>
      <c r="U231" s="111"/>
      <c r="V231" s="111"/>
      <c r="W231" s="111"/>
      <c r="X231" s="111"/>
      <c r="Y231" s="111"/>
      <c r="Z231" s="111"/>
      <c r="AA231" s="111"/>
      <c r="AB231" s="111"/>
    </row>
    <row r="232" spans="1:28" x14ac:dyDescent="0.3">
      <c r="B232" s="111"/>
      <c r="C232" s="112"/>
      <c r="D232" s="112"/>
      <c r="E232" s="113"/>
      <c r="F232" s="112"/>
      <c r="G232" s="112"/>
      <c r="H232" s="112"/>
      <c r="I232" s="112"/>
      <c r="J232" s="112"/>
      <c r="T232" s="111"/>
      <c r="U232" s="111"/>
      <c r="V232" s="111"/>
      <c r="W232" s="111"/>
      <c r="X232" s="111"/>
      <c r="Y232" s="111"/>
      <c r="Z232" s="111"/>
      <c r="AA232" s="111"/>
      <c r="AB232" s="111"/>
    </row>
    <row r="233" spans="1:28" x14ac:dyDescent="0.3">
      <c r="B233" s="111"/>
      <c r="C233" s="111"/>
      <c r="D233" s="111"/>
      <c r="E233" s="113"/>
      <c r="F233" s="111"/>
      <c r="G233" s="111"/>
      <c r="H233" s="111"/>
      <c r="I233" s="112"/>
      <c r="J233" s="112"/>
      <c r="T233" s="111"/>
      <c r="U233" s="111"/>
      <c r="V233" s="111"/>
      <c r="W233" s="111"/>
      <c r="X233" s="111"/>
      <c r="Y233" s="111"/>
      <c r="Z233" s="111"/>
      <c r="AA233" s="111"/>
      <c r="AB233" s="111"/>
    </row>
    <row r="234" spans="1:28" x14ac:dyDescent="0.3">
      <c r="B234" s="111"/>
      <c r="C234" s="112"/>
      <c r="D234" s="112"/>
      <c r="E234" s="113"/>
      <c r="F234" s="112"/>
      <c r="G234" s="112"/>
      <c r="H234" s="111"/>
      <c r="I234" s="112"/>
      <c r="J234" s="112"/>
      <c r="T234" s="111"/>
      <c r="U234" s="111"/>
      <c r="V234" s="111"/>
      <c r="W234" s="111"/>
      <c r="X234" s="111"/>
      <c r="Y234" s="111"/>
      <c r="Z234" s="111"/>
      <c r="AA234" s="111"/>
      <c r="AB234" s="111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2"/>
  <sheetViews>
    <sheetView topLeftCell="I203" workbookViewId="0">
      <selection activeCell="M239" sqref="M239"/>
    </sheetView>
  </sheetViews>
  <sheetFormatPr defaultColWidth="9.15234375" defaultRowHeight="12.45" x14ac:dyDescent="0.3"/>
  <cols>
    <col min="1" max="1" width="11.84375" style="110" customWidth="1"/>
    <col min="2" max="2" width="18" style="110" customWidth="1"/>
    <col min="3" max="3" width="13.3828125" style="110" bestFit="1" customWidth="1"/>
    <col min="4" max="4" width="13.3828125" style="110" customWidth="1"/>
    <col min="5" max="5" width="14.3828125" style="110" customWidth="1"/>
    <col min="6" max="6" width="14" style="110" bestFit="1" customWidth="1"/>
    <col min="7" max="7" width="12.69140625" style="110" bestFit="1" customWidth="1"/>
    <col min="8" max="8" width="17.53515625" style="110" bestFit="1" customWidth="1"/>
    <col min="9" max="9" width="17" style="110" customWidth="1"/>
    <col min="10" max="10" width="13" style="110" customWidth="1"/>
    <col min="11" max="11" width="2.53515625" style="110" customWidth="1"/>
    <col min="12" max="12" width="30.3828125" style="110" bestFit="1" customWidth="1"/>
    <col min="13" max="13" width="15.53515625" style="110" bestFit="1" customWidth="1"/>
    <col min="14" max="14" width="25.15234375" style="110" bestFit="1" customWidth="1"/>
    <col min="15" max="15" width="24.15234375" style="110" bestFit="1" customWidth="1"/>
    <col min="16" max="16" width="17.15234375" style="110" bestFit="1" customWidth="1"/>
    <col min="17" max="17" width="17.84375" style="110" bestFit="1" customWidth="1"/>
    <col min="18" max="18" width="17.15234375" style="110" bestFit="1" customWidth="1"/>
    <col min="19" max="19" width="15.53515625" style="110" bestFit="1" customWidth="1"/>
    <col min="20" max="20" width="14.53515625" style="110" bestFit="1" customWidth="1"/>
    <col min="21" max="21" width="11.3046875" style="110" customWidth="1"/>
    <col min="22" max="22" width="11.53515625" style="110" customWidth="1"/>
    <col min="23" max="23" width="9.3046875" style="110" customWidth="1"/>
    <col min="24" max="24" width="9.15234375" style="110"/>
    <col min="25" max="25" width="11.69140625" style="110" bestFit="1" customWidth="1"/>
    <col min="26" max="26" width="10.69140625" style="110" bestFit="1" customWidth="1"/>
    <col min="27" max="16384" width="9.15234375" style="110"/>
  </cols>
  <sheetData>
    <row r="1" spans="1:28" x14ac:dyDescent="0.3">
      <c r="B1" s="111"/>
      <c r="C1" s="112"/>
      <c r="D1" s="112"/>
      <c r="E1" s="113"/>
      <c r="F1" s="112"/>
      <c r="G1" s="112"/>
      <c r="H1" s="112"/>
      <c r="I1" s="112"/>
      <c r="J1" s="112"/>
      <c r="T1" s="111"/>
      <c r="U1" s="111"/>
      <c r="V1" s="111"/>
      <c r="W1" s="111"/>
      <c r="X1" s="111"/>
      <c r="Y1" s="111"/>
      <c r="Z1" s="111"/>
      <c r="AA1" s="111"/>
      <c r="AB1" s="111"/>
    </row>
    <row r="2" spans="1:28" ht="37.299999999999997" x14ac:dyDescent="0.3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14" t="s">
        <v>10</v>
      </c>
      <c r="I2" s="114" t="s">
        <v>11</v>
      </c>
      <c r="L2" t="s">
        <v>18</v>
      </c>
      <c r="M2"/>
      <c r="N2"/>
      <c r="O2"/>
      <c r="P2"/>
      <c r="Q2"/>
      <c r="R2"/>
      <c r="S2"/>
      <c r="T2"/>
      <c r="U2" s="115"/>
      <c r="V2" s="115"/>
      <c r="W2" s="111"/>
      <c r="X2" s="111"/>
      <c r="Y2" s="111"/>
      <c r="Z2" s="111"/>
      <c r="AA2" s="111"/>
      <c r="AB2" s="111"/>
    </row>
    <row r="3" spans="1:28" ht="12.9" thickBot="1" x14ac:dyDescent="0.35">
      <c r="A3" s="116">
        <v>37622</v>
      </c>
      <c r="B3" s="41">
        <f>+'Purchased Power Model '!B3</f>
        <v>126011890</v>
      </c>
      <c r="C3" s="96">
        <f>+'Purchased Power Model '!C3</f>
        <v>786</v>
      </c>
      <c r="D3" s="96">
        <f>+'Purchased Power Model '!D3</f>
        <v>0</v>
      </c>
      <c r="E3" s="103">
        <f>+'Purchased Power Model '!E3</f>
        <v>5.2000000000000005E-2</v>
      </c>
      <c r="F3" s="10">
        <f>+'Purchased Power Model '!F3</f>
        <v>31</v>
      </c>
      <c r="G3" s="10">
        <f>+'Purchased Power Model '!G3</f>
        <v>0</v>
      </c>
      <c r="H3" s="117">
        <f>$M$18+C3*$M$19+D3*$M$20+E3*$M$21+F3*$M$22+G3*$M$23</f>
        <v>121608461.13549522</v>
      </c>
      <c r="I3" s="118">
        <f t="shared" ref="I3:I66" si="0">H3-B3</f>
        <v>-4403428.8645047843</v>
      </c>
      <c r="J3" s="5">
        <f t="shared" ref="J3:J66" si="1">I3/B3</f>
        <v>-3.4944550585700958E-2</v>
      </c>
      <c r="K3"/>
      <c r="L3"/>
      <c r="M3"/>
      <c r="N3"/>
      <c r="O3"/>
      <c r="P3"/>
      <c r="Q3"/>
      <c r="R3"/>
      <c r="S3"/>
      <c r="T3"/>
      <c r="U3" s="111"/>
      <c r="V3" s="111"/>
      <c r="W3" s="111"/>
      <c r="X3" s="111"/>
      <c r="Y3" s="111"/>
      <c r="Z3" s="111"/>
      <c r="AA3" s="111"/>
      <c r="AB3" s="111"/>
    </row>
    <row r="4" spans="1:28" ht="12.9" x14ac:dyDescent="0.35">
      <c r="A4" s="116">
        <v>37653</v>
      </c>
      <c r="B4" s="41">
        <f>+'Purchased Power Model '!B4</f>
        <v>112581000</v>
      </c>
      <c r="C4" s="96">
        <f>+'Purchased Power Model '!C4</f>
        <v>686.5</v>
      </c>
      <c r="D4" s="96">
        <f>+'Purchased Power Model '!D4</f>
        <v>0</v>
      </c>
      <c r="E4" s="103">
        <f>+'Purchased Power Model '!E4</f>
        <v>5.2000000000000005E-2</v>
      </c>
      <c r="F4" s="10">
        <f>+'Purchased Power Model '!F4</f>
        <v>28</v>
      </c>
      <c r="G4" s="10">
        <f>+'Purchased Power Model '!G4</f>
        <v>0</v>
      </c>
      <c r="H4" s="117">
        <f t="shared" ref="H4:H67" si="2">$M$18+C4*$M$19+D4*$M$20+E4*$M$21+F4*$M$22+G4*$M$23</f>
        <v>109132496.12756082</v>
      </c>
      <c r="I4" s="118">
        <f t="shared" si="0"/>
        <v>-3448503.8724391758</v>
      </c>
      <c r="J4" s="5">
        <f t="shared" si="1"/>
        <v>-3.0631313209504053E-2</v>
      </c>
      <c r="K4"/>
      <c r="L4" s="53" t="s">
        <v>19</v>
      </c>
      <c r="M4" s="53"/>
      <c r="N4"/>
      <c r="O4"/>
      <c r="P4"/>
      <c r="Q4"/>
      <c r="R4"/>
      <c r="S4"/>
      <c r="T4"/>
      <c r="U4" s="111"/>
      <c r="V4" s="111"/>
      <c r="W4" s="111"/>
      <c r="X4" s="111"/>
      <c r="Y4" s="111"/>
      <c r="Z4" s="111"/>
      <c r="AA4" s="111"/>
      <c r="AB4" s="111"/>
    </row>
    <row r="5" spans="1:28" x14ac:dyDescent="0.3">
      <c r="A5" s="116">
        <v>37681</v>
      </c>
      <c r="B5" s="41">
        <f>+'Purchased Power Model '!B5</f>
        <v>110536430</v>
      </c>
      <c r="C5" s="96">
        <f>+'Purchased Power Model '!C5</f>
        <v>572.5</v>
      </c>
      <c r="D5" s="96">
        <f>+'Purchased Power Model '!D5</f>
        <v>0</v>
      </c>
      <c r="E5" s="103">
        <f>+'Purchased Power Model '!E5</f>
        <v>5.2000000000000005E-2</v>
      </c>
      <c r="F5" s="10">
        <f>+'Purchased Power Model '!F5</f>
        <v>31</v>
      </c>
      <c r="G5" s="10">
        <f>+'Purchased Power Model '!G5</f>
        <v>1</v>
      </c>
      <c r="H5" s="117">
        <f t="shared" si="2"/>
        <v>105879506.48495534</v>
      </c>
      <c r="I5" s="118">
        <f t="shared" si="0"/>
        <v>-4656923.5150446594</v>
      </c>
      <c r="J5" s="5">
        <f t="shared" si="1"/>
        <v>-4.2130214582148703E-2</v>
      </c>
      <c r="K5"/>
      <c r="L5" s="35" t="s">
        <v>20</v>
      </c>
      <c r="M5" s="95">
        <v>0.93108949266954033</v>
      </c>
      <c r="N5"/>
      <c r="O5"/>
      <c r="P5"/>
      <c r="Q5"/>
      <c r="R5"/>
      <c r="S5"/>
      <c r="T5"/>
      <c r="U5" s="111"/>
      <c r="V5" s="111"/>
      <c r="W5" s="111"/>
      <c r="X5" s="111"/>
      <c r="Y5" s="111"/>
      <c r="Z5" s="111"/>
      <c r="AA5" s="111"/>
      <c r="AB5" s="111"/>
    </row>
    <row r="6" spans="1:28" x14ac:dyDescent="0.3">
      <c r="A6" s="116">
        <v>37712</v>
      </c>
      <c r="B6" s="41">
        <f>+'Purchased Power Model '!B6</f>
        <v>97712940</v>
      </c>
      <c r="C6" s="96">
        <f>+'Purchased Power Model '!C6</f>
        <v>403.9</v>
      </c>
      <c r="D6" s="96">
        <f>+'Purchased Power Model '!D6</f>
        <v>0</v>
      </c>
      <c r="E6" s="103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17">
        <f t="shared" si="2"/>
        <v>95727068.133391276</v>
      </c>
      <c r="I6" s="118">
        <f t="shared" si="0"/>
        <v>-1985871.866608724</v>
      </c>
      <c r="J6" s="5">
        <f t="shared" si="1"/>
        <v>-2.0323529991101732E-2</v>
      </c>
      <c r="K6"/>
      <c r="L6" s="35" t="s">
        <v>21</v>
      </c>
      <c r="M6" s="95">
        <v>0.86692764335962202</v>
      </c>
      <c r="N6"/>
      <c r="O6"/>
      <c r="P6"/>
      <c r="Q6"/>
      <c r="R6"/>
      <c r="S6"/>
      <c r="T6"/>
      <c r="U6" s="111"/>
      <c r="V6" s="111"/>
      <c r="W6" s="111"/>
      <c r="X6" s="111"/>
      <c r="Y6" s="111"/>
      <c r="Z6" s="111"/>
      <c r="AA6" s="111"/>
      <c r="AB6" s="111"/>
    </row>
    <row r="7" spans="1:28" x14ac:dyDescent="0.3">
      <c r="A7" s="116">
        <v>37742</v>
      </c>
      <c r="B7" s="41">
        <f>+'Purchased Power Model '!B7</f>
        <v>90261150</v>
      </c>
      <c r="C7" s="96">
        <f>+'Purchased Power Model '!C7</f>
        <v>192</v>
      </c>
      <c r="D7" s="96">
        <f>+'Purchased Power Model '!D7</f>
        <v>0</v>
      </c>
      <c r="E7" s="103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17">
        <f t="shared" si="2"/>
        <v>89920096.43658556</v>
      </c>
      <c r="I7" s="118">
        <f t="shared" si="0"/>
        <v>-341053.56341443956</v>
      </c>
      <c r="J7" s="5">
        <f t="shared" si="1"/>
        <v>-3.7785200323111278E-3</v>
      </c>
      <c r="K7"/>
      <c r="L7" s="35" t="s">
        <v>22</v>
      </c>
      <c r="M7" s="95">
        <v>0.86210618116250692</v>
      </c>
      <c r="N7"/>
      <c r="O7"/>
      <c r="P7"/>
      <c r="Q7"/>
      <c r="R7"/>
      <c r="S7"/>
      <c r="T7"/>
      <c r="U7" s="111"/>
      <c r="V7" s="111"/>
      <c r="W7" s="111"/>
      <c r="X7" s="111"/>
      <c r="Y7" s="111"/>
      <c r="Z7" s="111"/>
      <c r="AA7" s="111"/>
      <c r="AB7" s="111"/>
    </row>
    <row r="8" spans="1:28" x14ac:dyDescent="0.3">
      <c r="A8" s="116">
        <v>37773</v>
      </c>
      <c r="B8" s="41">
        <f>+'Purchased Power Model '!B8</f>
        <v>92476040</v>
      </c>
      <c r="C8" s="96">
        <f>+'Purchased Power Model '!C8</f>
        <v>55.1</v>
      </c>
      <c r="D8" s="96">
        <f>+'Purchased Power Model '!D8</f>
        <v>31</v>
      </c>
      <c r="E8" s="103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17">
        <f t="shared" si="2"/>
        <v>93060780.436009645</v>
      </c>
      <c r="I8" s="118">
        <f t="shared" si="0"/>
        <v>584740.43600964546</v>
      </c>
      <c r="J8" s="5">
        <f t="shared" si="1"/>
        <v>6.323156095456136E-3</v>
      </c>
      <c r="K8"/>
      <c r="L8" s="35" t="s">
        <v>23</v>
      </c>
      <c r="M8" s="67">
        <v>3874064.0358141405</v>
      </c>
      <c r="N8"/>
      <c r="O8"/>
      <c r="P8"/>
      <c r="Q8"/>
      <c r="R8"/>
      <c r="S8"/>
      <c r="T8"/>
      <c r="U8" s="111"/>
      <c r="V8" s="111"/>
      <c r="W8" s="111"/>
      <c r="X8" s="111"/>
      <c r="Y8" s="111"/>
      <c r="Z8" s="111"/>
      <c r="AA8" s="111"/>
      <c r="AB8" s="111"/>
    </row>
    <row r="9" spans="1:28" ht="12.9" thickBot="1" x14ac:dyDescent="0.35">
      <c r="A9" s="116">
        <v>37803</v>
      </c>
      <c r="B9" s="41">
        <f>+'Purchased Power Model '!B9</f>
        <v>100371630</v>
      </c>
      <c r="C9" s="96">
        <f>+'Purchased Power Model '!C9</f>
        <v>5.7</v>
      </c>
      <c r="D9" s="96">
        <f>+'Purchased Power Model '!D9</f>
        <v>59.1</v>
      </c>
      <c r="E9" s="103">
        <f>+'Purchased Power Model '!E9</f>
        <v>5.0999999999999997E-2</v>
      </c>
      <c r="F9" s="10">
        <f>+'Purchased Power Model '!F9</f>
        <v>31</v>
      </c>
      <c r="G9" s="10">
        <f>+'Purchased Power Model '!G9</f>
        <v>0</v>
      </c>
      <c r="H9" s="117">
        <f t="shared" si="2"/>
        <v>98522297.294301718</v>
      </c>
      <c r="I9" s="118">
        <f t="shared" si="0"/>
        <v>-1849332.7056982815</v>
      </c>
      <c r="J9" s="5">
        <f t="shared" si="1"/>
        <v>-1.8424854769204021E-2</v>
      </c>
      <c r="K9"/>
      <c r="L9" s="51" t="s">
        <v>24</v>
      </c>
      <c r="M9" s="68">
        <v>144</v>
      </c>
      <c r="N9"/>
      <c r="O9"/>
      <c r="P9"/>
      <c r="Q9"/>
      <c r="R9"/>
      <c r="S9"/>
      <c r="T9"/>
      <c r="U9" s="111"/>
      <c r="V9" s="111"/>
      <c r="W9" s="111"/>
      <c r="X9" s="111"/>
      <c r="Y9" s="111"/>
      <c r="Z9" s="111"/>
      <c r="AA9" s="111"/>
      <c r="AB9" s="111"/>
    </row>
    <row r="10" spans="1:28" x14ac:dyDescent="0.3">
      <c r="A10" s="116">
        <v>37834</v>
      </c>
      <c r="B10" s="41">
        <f>+'Purchased Power Model '!B10</f>
        <v>101507680</v>
      </c>
      <c r="C10" s="96">
        <f>+'Purchased Power Model '!C10</f>
        <v>10.4</v>
      </c>
      <c r="D10" s="96">
        <f>+'Purchased Power Model '!D10</f>
        <v>106.5</v>
      </c>
      <c r="E10" s="103">
        <f>+'Purchased Power Model '!E10</f>
        <v>5.0999999999999997E-2</v>
      </c>
      <c r="F10" s="10">
        <f>+'Purchased Power Model '!F10</f>
        <v>31</v>
      </c>
      <c r="G10" s="10">
        <f>+'Purchased Power Model '!G10</f>
        <v>0</v>
      </c>
      <c r="H10" s="117">
        <f t="shared" si="2"/>
        <v>105549214.85777354</v>
      </c>
      <c r="I10" s="118">
        <f t="shared" si="0"/>
        <v>4041534.8577735424</v>
      </c>
      <c r="J10" s="5">
        <f t="shared" si="1"/>
        <v>3.9815064808628689E-2</v>
      </c>
      <c r="K10"/>
      <c r="L10"/>
      <c r="M10"/>
      <c r="N10"/>
      <c r="O10"/>
      <c r="P10"/>
      <c r="Q10"/>
      <c r="R10"/>
      <c r="S10"/>
      <c r="T10"/>
      <c r="U10" s="111"/>
      <c r="V10" s="111"/>
      <c r="W10" s="111"/>
      <c r="X10" s="111"/>
      <c r="Y10" s="111"/>
      <c r="Z10" s="111"/>
      <c r="AA10" s="111"/>
      <c r="AB10" s="111"/>
    </row>
    <row r="11" spans="1:28" ht="12.9" thickBot="1" x14ac:dyDescent="0.35">
      <c r="A11" s="116">
        <v>37865</v>
      </c>
      <c r="B11" s="41">
        <f>+'Purchased Power Model '!B11</f>
        <v>91341000</v>
      </c>
      <c r="C11" s="96">
        <f>+'Purchased Power Model '!C11</f>
        <v>55.2</v>
      </c>
      <c r="D11" s="96">
        <f>+'Purchased Power Model '!D11</f>
        <v>12.1</v>
      </c>
      <c r="E11" s="103">
        <f>+'Purchased Power Model '!E11</f>
        <v>5.0999999999999997E-2</v>
      </c>
      <c r="F11" s="10">
        <f>+'Purchased Power Model '!F11</f>
        <v>30</v>
      </c>
      <c r="G11" s="10">
        <f>+'Purchased Power Model '!G11</f>
        <v>1</v>
      </c>
      <c r="H11" s="117">
        <f t="shared" si="2"/>
        <v>83900187.669904038</v>
      </c>
      <c r="I11" s="118">
        <f t="shared" si="0"/>
        <v>-7440812.3300959617</v>
      </c>
      <c r="J11" s="5">
        <f t="shared" si="1"/>
        <v>-8.1461910096188583E-2</v>
      </c>
      <c r="K11"/>
      <c r="L11" t="s">
        <v>25</v>
      </c>
      <c r="M11"/>
      <c r="N11"/>
      <c r="O11"/>
      <c r="P11"/>
      <c r="Q11"/>
      <c r="R11"/>
      <c r="S11"/>
      <c r="T11"/>
      <c r="U11" s="111"/>
      <c r="V11" s="111"/>
      <c r="W11" s="111"/>
      <c r="X11" s="111"/>
      <c r="Y11" s="111"/>
      <c r="Z11" s="111"/>
      <c r="AA11" s="111"/>
      <c r="AB11" s="111"/>
    </row>
    <row r="12" spans="1:28" ht="12.9" x14ac:dyDescent="0.35">
      <c r="A12" s="116">
        <v>37895</v>
      </c>
      <c r="B12" s="41">
        <f>+'Purchased Power Model '!B12</f>
        <v>95672250</v>
      </c>
      <c r="C12" s="96">
        <f>+'Purchased Power Model '!C12</f>
        <v>289.7</v>
      </c>
      <c r="D12" s="96">
        <f>+'Purchased Power Model '!D12</f>
        <v>0</v>
      </c>
      <c r="E12" s="103">
        <f>+'Purchased Power Model '!E12</f>
        <v>4.8000000000000001E-2</v>
      </c>
      <c r="F12" s="10">
        <f>+'Purchased Power Model '!F12</f>
        <v>31</v>
      </c>
      <c r="G12" s="10">
        <f>+'Purchased Power Model '!G12</f>
        <v>1</v>
      </c>
      <c r="H12" s="117">
        <f t="shared" si="2"/>
        <v>94865847.206289545</v>
      </c>
      <c r="I12" s="118">
        <f t="shared" si="0"/>
        <v>-806402.7937104553</v>
      </c>
      <c r="J12" s="5">
        <f t="shared" si="1"/>
        <v>-8.4288055701674768E-3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11"/>
      <c r="V12" s="111"/>
      <c r="W12" s="111"/>
      <c r="X12" s="111"/>
      <c r="Y12" s="111"/>
      <c r="Z12" s="111"/>
      <c r="AA12" s="111"/>
      <c r="AB12" s="111"/>
    </row>
    <row r="13" spans="1:28" x14ac:dyDescent="0.3">
      <c r="A13" s="116">
        <v>37926</v>
      </c>
      <c r="B13" s="41">
        <f>+'Purchased Power Model '!B13</f>
        <v>101404920</v>
      </c>
      <c r="C13" s="96">
        <f>+'Purchased Power Model '!C13</f>
        <v>387.6</v>
      </c>
      <c r="D13" s="96">
        <f>+'Purchased Power Model '!D13</f>
        <v>0</v>
      </c>
      <c r="E13" s="103">
        <f>+'Purchased Power Model '!E13</f>
        <v>4.8000000000000001E-2</v>
      </c>
      <c r="F13" s="10">
        <f>+'Purchased Power Model '!F13</f>
        <v>30</v>
      </c>
      <c r="G13" s="10">
        <f>+'Purchased Power Model '!G13</f>
        <v>1</v>
      </c>
      <c r="H13" s="117">
        <f t="shared" si="2"/>
        <v>96037013.229520619</v>
      </c>
      <c r="I13" s="118">
        <f t="shared" si="0"/>
        <v>-5367906.7704793811</v>
      </c>
      <c r="J13" s="5">
        <f t="shared" si="1"/>
        <v>-5.2935368130849876E-2</v>
      </c>
      <c r="K13"/>
      <c r="L13" s="35" t="s">
        <v>26</v>
      </c>
      <c r="M13" s="67">
        <v>5</v>
      </c>
      <c r="N13" s="67">
        <v>1.3492973884104858E+16</v>
      </c>
      <c r="O13" s="67">
        <v>2698594776820971.5</v>
      </c>
      <c r="P13" s="67">
        <v>179.80596091333791</v>
      </c>
      <c r="Q13" s="67">
        <v>1.3085487673335761E-58</v>
      </c>
      <c r="R13"/>
      <c r="S13"/>
      <c r="T13"/>
      <c r="U13" s="111"/>
      <c r="V13" s="111"/>
      <c r="W13" s="111"/>
      <c r="X13" s="111"/>
      <c r="Y13" s="111"/>
      <c r="Z13" s="111"/>
      <c r="AA13" s="111"/>
      <c r="AB13" s="111"/>
    </row>
    <row r="14" spans="1:28" x14ac:dyDescent="0.3">
      <c r="A14" s="116">
        <v>37956</v>
      </c>
      <c r="B14" s="41">
        <f>+'Purchased Power Model '!B14</f>
        <v>112847240</v>
      </c>
      <c r="C14" s="96">
        <f>+'Purchased Power Model '!C14</f>
        <v>548.20000000000005</v>
      </c>
      <c r="D14" s="96">
        <f>+'Purchased Power Model '!D14</f>
        <v>0</v>
      </c>
      <c r="E14" s="103">
        <f>+'Purchased Power Model '!E14</f>
        <v>4.8000000000000001E-2</v>
      </c>
      <c r="F14" s="10">
        <f>+'Purchased Power Model '!F14</f>
        <v>31</v>
      </c>
      <c r="G14" s="10">
        <f>+'Purchased Power Model '!G14</f>
        <v>0</v>
      </c>
      <c r="H14" s="117">
        <f t="shared" si="2"/>
        <v>112424725.14902994</v>
      </c>
      <c r="I14" s="118">
        <f t="shared" si="0"/>
        <v>-422514.85097005963</v>
      </c>
      <c r="J14" s="5">
        <f t="shared" si="1"/>
        <v>-3.7441310125977353E-3</v>
      </c>
      <c r="K14"/>
      <c r="L14" s="35" t="s">
        <v>27</v>
      </c>
      <c r="M14" s="67">
        <v>138</v>
      </c>
      <c r="N14" s="67">
        <v>2071155357195219.5</v>
      </c>
      <c r="O14" s="67">
        <v>15008372153588.547</v>
      </c>
      <c r="P14" s="67"/>
      <c r="Q14" s="67"/>
      <c r="R14"/>
      <c r="S14"/>
      <c r="T14"/>
      <c r="U14" s="111"/>
      <c r="V14" s="111"/>
      <c r="W14" s="111"/>
      <c r="X14" s="111"/>
      <c r="Y14" s="111"/>
      <c r="Z14" s="111"/>
      <c r="AA14" s="111"/>
      <c r="AB14" s="111"/>
    </row>
    <row r="15" spans="1:28" ht="12.9" thickBot="1" x14ac:dyDescent="0.35">
      <c r="A15" s="116">
        <v>37987</v>
      </c>
      <c r="B15" s="41">
        <f>+'Purchased Power Model '!B15</f>
        <v>127196340</v>
      </c>
      <c r="C15" s="96">
        <f>+'Purchased Power Model '!C15</f>
        <v>828.8</v>
      </c>
      <c r="D15" s="96">
        <f>+'Purchased Power Model '!D15</f>
        <v>0</v>
      </c>
      <c r="E15" s="103">
        <f>+'Purchased Power Model '!E15</f>
        <v>5.0999999999999997E-2</v>
      </c>
      <c r="F15" s="10">
        <f>+'Purchased Power Model '!F15</f>
        <v>31</v>
      </c>
      <c r="G15" s="10">
        <f>+'Purchased Power Model '!G15</f>
        <v>0</v>
      </c>
      <c r="H15" s="117">
        <f t="shared" si="2"/>
        <v>123470519.50837895</v>
      </c>
      <c r="I15" s="118">
        <f t="shared" si="0"/>
        <v>-3725820.4916210473</v>
      </c>
      <c r="J15" s="5">
        <f t="shared" si="1"/>
        <v>-2.9291884433318184E-2</v>
      </c>
      <c r="K15"/>
      <c r="L15" s="51" t="s">
        <v>9</v>
      </c>
      <c r="M15" s="68">
        <v>143</v>
      </c>
      <c r="N15" s="68">
        <v>1.5564129241300078E+16</v>
      </c>
      <c r="O15" s="68"/>
      <c r="P15" s="68"/>
      <c r="Q15" s="68"/>
      <c r="R15"/>
      <c r="S15"/>
      <c r="T15"/>
      <c r="U15" s="111"/>
      <c r="V15" s="111"/>
      <c r="W15" s="111"/>
      <c r="X15" s="111"/>
      <c r="Y15" s="111"/>
      <c r="Z15" s="111"/>
      <c r="AA15" s="111"/>
      <c r="AB15" s="111"/>
    </row>
    <row r="16" spans="1:28" ht="12.9" thickBot="1" x14ac:dyDescent="0.35">
      <c r="A16" s="116">
        <v>38018</v>
      </c>
      <c r="B16" s="41">
        <f>+'Purchased Power Model '!B16</f>
        <v>108928270</v>
      </c>
      <c r="C16" s="96">
        <f>+'Purchased Power Model '!C16</f>
        <v>615.6</v>
      </c>
      <c r="D16" s="96">
        <f>+'Purchased Power Model '!D16</f>
        <v>0</v>
      </c>
      <c r="E16" s="103">
        <f>+'Purchased Power Model '!E16</f>
        <v>5.0999999999999997E-2</v>
      </c>
      <c r="F16" s="10">
        <f>+'Purchased Power Model '!F16</f>
        <v>29</v>
      </c>
      <c r="G16" s="10">
        <f>+'Purchased Power Model '!G16</f>
        <v>0</v>
      </c>
      <c r="H16" s="117">
        <f t="shared" si="2"/>
        <v>109180882.07684086</v>
      </c>
      <c r="I16" s="118">
        <f t="shared" si="0"/>
        <v>252612.07684086263</v>
      </c>
      <c r="J16" s="5">
        <f t="shared" si="1"/>
        <v>2.3190681063865481E-3</v>
      </c>
      <c r="K16"/>
      <c r="L16"/>
      <c r="M16"/>
      <c r="N16"/>
      <c r="O16"/>
      <c r="P16"/>
      <c r="Q16"/>
      <c r="R16"/>
      <c r="S16"/>
      <c r="T16"/>
      <c r="U16" s="111"/>
      <c r="V16" s="111"/>
      <c r="W16" s="111"/>
      <c r="X16" s="111"/>
      <c r="Y16" s="111"/>
      <c r="Z16" s="111"/>
      <c r="AA16" s="111"/>
      <c r="AB16" s="111"/>
    </row>
    <row r="17" spans="1:28" ht="12.9" x14ac:dyDescent="0.35">
      <c r="A17" s="116">
        <v>38047</v>
      </c>
      <c r="B17" s="41">
        <f>+'Purchased Power Model '!B17</f>
        <v>105064150</v>
      </c>
      <c r="C17" s="96">
        <f>+'Purchased Power Model '!C17</f>
        <v>487.1</v>
      </c>
      <c r="D17" s="96">
        <f>+'Purchased Power Model '!D17</f>
        <v>0</v>
      </c>
      <c r="E17" s="103">
        <f>+'Purchased Power Model '!E17</f>
        <v>5.0999999999999997E-2</v>
      </c>
      <c r="F17" s="10">
        <f>+'Purchased Power Model '!F17</f>
        <v>31</v>
      </c>
      <c r="G17" s="10">
        <f>+'Purchased Power Model '!G17</f>
        <v>1</v>
      </c>
      <c r="H17" s="117">
        <f t="shared" si="2"/>
        <v>102528316.72317006</v>
      </c>
      <c r="I17" s="118">
        <f t="shared" si="0"/>
        <v>-2535833.2768299431</v>
      </c>
      <c r="J17" s="5">
        <f t="shared" si="1"/>
        <v>-2.4136047137200873E-2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11"/>
      <c r="V17" s="111"/>
      <c r="W17" s="111"/>
      <c r="X17" s="111"/>
      <c r="Y17" s="111"/>
      <c r="Z17" s="111"/>
      <c r="AA17" s="111"/>
      <c r="AB17" s="111"/>
    </row>
    <row r="18" spans="1:28" x14ac:dyDescent="0.3">
      <c r="A18" s="116">
        <v>38078</v>
      </c>
      <c r="B18" s="41">
        <f>+'Purchased Power Model '!B18</f>
        <v>91322380</v>
      </c>
      <c r="C18" s="96">
        <f>+'Purchased Power Model '!C18</f>
        <v>345</v>
      </c>
      <c r="D18" s="96">
        <f>+'Purchased Power Model '!D18</f>
        <v>0</v>
      </c>
      <c r="E18" s="103">
        <f>+'Purchased Power Model '!E18</f>
        <v>5.2999999999999999E-2</v>
      </c>
      <c r="F18" s="10">
        <f>+'Purchased Power Model '!F18</f>
        <v>30</v>
      </c>
      <c r="G18" s="10">
        <f>+'Purchased Power Model '!G18</f>
        <v>1</v>
      </c>
      <c r="H18" s="117">
        <f t="shared" si="2"/>
        <v>93696695.860283449</v>
      </c>
      <c r="I18" s="118">
        <f t="shared" si="0"/>
        <v>2374315.8602834493</v>
      </c>
      <c r="J18" s="5">
        <f t="shared" si="1"/>
        <v>2.5999277069689262E-2</v>
      </c>
      <c r="K18"/>
      <c r="L18" s="35" t="s">
        <v>28</v>
      </c>
      <c r="M18" s="67">
        <v>8860950.216936864</v>
      </c>
      <c r="N18" s="67">
        <v>12653679.844812186</v>
      </c>
      <c r="O18" s="67">
        <v>0.70026666753147837</v>
      </c>
      <c r="P18" s="67">
        <v>0.48493968415084332</v>
      </c>
      <c r="Q18" s="67">
        <v>-16159215.759894215</v>
      </c>
      <c r="R18" s="67">
        <v>33881116.193767942</v>
      </c>
      <c r="S18" s="67">
        <v>-16159215.759894215</v>
      </c>
      <c r="T18" s="67">
        <v>33881116.193767942</v>
      </c>
      <c r="U18" s="111"/>
      <c r="V18" s="111"/>
      <c r="W18" s="111"/>
      <c r="X18" s="111"/>
      <c r="Y18" s="111"/>
      <c r="Z18" s="111"/>
      <c r="AA18" s="111"/>
      <c r="AB18" s="111"/>
    </row>
    <row r="19" spans="1:28" x14ac:dyDescent="0.3">
      <c r="A19" s="116">
        <v>38108</v>
      </c>
      <c r="B19" s="41">
        <f>+'Purchased Power Model '!B19</f>
        <v>86885250</v>
      </c>
      <c r="C19" s="96">
        <f>+'Purchased Power Model '!C19</f>
        <v>177.5</v>
      </c>
      <c r="D19" s="96">
        <f>+'Purchased Power Model '!D19</f>
        <v>0</v>
      </c>
      <c r="E19" s="103">
        <f>+'Purchased Power Model '!E19</f>
        <v>5.2999999999999999E-2</v>
      </c>
      <c r="F19" s="10">
        <f>+'Purchased Power Model '!F19</f>
        <v>31</v>
      </c>
      <c r="G19" s="10">
        <f>+'Purchased Power Model '!G19</f>
        <v>1</v>
      </c>
      <c r="H19" s="117">
        <f t="shared" si="2"/>
        <v>89695248.478448913</v>
      </c>
      <c r="I19" s="118">
        <f t="shared" si="0"/>
        <v>2809998.4784489125</v>
      </c>
      <c r="J19" s="5">
        <f t="shared" si="1"/>
        <v>3.2341490396228502E-2</v>
      </c>
      <c r="K19"/>
      <c r="L19" s="35" t="s">
        <v>3</v>
      </c>
      <c r="M19" s="67">
        <v>40664.962048900314</v>
      </c>
      <c r="N19" s="67">
        <v>1974.5590070506544</v>
      </c>
      <c r="O19" s="67">
        <v>20.594452687256215</v>
      </c>
      <c r="P19" s="67">
        <v>6.3711837372287355E-44</v>
      </c>
      <c r="Q19" s="67">
        <v>36760.659530316443</v>
      </c>
      <c r="R19" s="67">
        <v>44569.264567484184</v>
      </c>
      <c r="S19" s="67">
        <v>36760.659530316443</v>
      </c>
      <c r="T19" s="67">
        <v>44569.264567484184</v>
      </c>
      <c r="U19" s="111"/>
      <c r="V19" s="111"/>
      <c r="W19" s="111"/>
      <c r="X19" s="111"/>
      <c r="Y19" s="111"/>
      <c r="Z19" s="111"/>
      <c r="AA19" s="111"/>
      <c r="AB19" s="111"/>
    </row>
    <row r="20" spans="1:28" x14ac:dyDescent="0.3">
      <c r="A20" s="116">
        <v>38139</v>
      </c>
      <c r="B20" s="41">
        <f>+'Purchased Power Model '!B20</f>
        <v>86876500</v>
      </c>
      <c r="C20" s="96">
        <f>+'Purchased Power Model '!C20</f>
        <v>73.2</v>
      </c>
      <c r="D20" s="96">
        <f>+'Purchased Power Model '!D20</f>
        <v>15.6</v>
      </c>
      <c r="E20" s="103">
        <f>+'Purchased Power Model '!E20</f>
        <v>5.2999999999999999E-2</v>
      </c>
      <c r="F20" s="10">
        <f>+'Purchased Power Model '!F20</f>
        <v>30</v>
      </c>
      <c r="G20" s="10">
        <f>+'Purchased Power Model '!G20</f>
        <v>0</v>
      </c>
      <c r="H20" s="117">
        <f t="shared" si="2"/>
        <v>91940698.837199494</v>
      </c>
      <c r="I20" s="118">
        <f t="shared" si="0"/>
        <v>5064198.8371994942</v>
      </c>
      <c r="J20" s="5">
        <f t="shared" si="1"/>
        <v>5.8291929776170703E-2</v>
      </c>
      <c r="K20"/>
      <c r="L20" s="35" t="s">
        <v>4</v>
      </c>
      <c r="M20" s="67">
        <v>144215.02619919807</v>
      </c>
      <c r="N20" s="67">
        <v>15275.223181131068</v>
      </c>
      <c r="O20" s="67">
        <v>9.4411076348358485</v>
      </c>
      <c r="P20" s="67">
        <v>1.2524911828936526E-16</v>
      </c>
      <c r="Q20" s="67">
        <v>114011.27329788466</v>
      </c>
      <c r="R20" s="67">
        <v>174418.77910051146</v>
      </c>
      <c r="S20" s="67">
        <v>114011.27329788466</v>
      </c>
      <c r="T20" s="67">
        <v>174418.77910051146</v>
      </c>
      <c r="U20" s="111"/>
      <c r="V20" s="111"/>
      <c r="W20" s="111"/>
      <c r="X20" s="111"/>
      <c r="Y20" s="111"/>
      <c r="Z20" s="111"/>
      <c r="AA20" s="111"/>
      <c r="AB20" s="111"/>
    </row>
    <row r="21" spans="1:28" x14ac:dyDescent="0.3">
      <c r="A21" s="116">
        <v>38169</v>
      </c>
      <c r="B21" s="41">
        <f>+'Purchased Power Model '!B21</f>
        <v>92903530</v>
      </c>
      <c r="C21" s="96">
        <f>+'Purchased Power Model '!C21</f>
        <v>2</v>
      </c>
      <c r="D21" s="96">
        <f>+'Purchased Power Model '!D21</f>
        <v>69.3</v>
      </c>
      <c r="E21" s="103">
        <f>+'Purchased Power Model '!E21</f>
        <v>5.2999999999999999E-2</v>
      </c>
      <c r="F21" s="10">
        <f>+'Purchased Power Model '!F21</f>
        <v>31</v>
      </c>
      <c r="G21" s="10">
        <f>+'Purchased Power Model '!G21</f>
        <v>0</v>
      </c>
      <c r="H21" s="117">
        <f t="shared" si="2"/>
        <v>99599634.207571</v>
      </c>
      <c r="I21" s="118">
        <f t="shared" si="0"/>
        <v>6696104.2075709999</v>
      </c>
      <c r="J21" s="5">
        <f t="shared" si="1"/>
        <v>7.2075885680242716E-2</v>
      </c>
      <c r="K21"/>
      <c r="L21" s="35" t="s">
        <v>218</v>
      </c>
      <c r="M21" s="67">
        <v>-121597997.19080326</v>
      </c>
      <c r="N21" s="67">
        <v>21684816.545596559</v>
      </c>
      <c r="O21" s="67">
        <v>-5.6075179116742691</v>
      </c>
      <c r="P21" s="67">
        <v>1.0791074287329415E-7</v>
      </c>
      <c r="Q21" s="67">
        <v>-164475461.75463122</v>
      </c>
      <c r="R21" s="67">
        <v>-78720532.626975298</v>
      </c>
      <c r="S21" s="67">
        <v>-164475461.75463122</v>
      </c>
      <c r="T21" s="67">
        <v>-78720532.626975298</v>
      </c>
      <c r="U21" s="111"/>
      <c r="V21" s="111"/>
      <c r="W21" s="111"/>
      <c r="X21" s="111"/>
      <c r="Y21" s="111"/>
      <c r="Z21" s="111"/>
      <c r="AA21" s="111"/>
      <c r="AB21" s="111"/>
    </row>
    <row r="22" spans="1:28" x14ac:dyDescent="0.3">
      <c r="A22" s="116">
        <v>38200</v>
      </c>
      <c r="B22" s="41">
        <f>+'Purchased Power Model '!B22</f>
        <v>94121760</v>
      </c>
      <c r="C22" s="96">
        <f>+'Purchased Power Model '!C22</f>
        <v>19.600000000000001</v>
      </c>
      <c r="D22" s="96">
        <f>+'Purchased Power Model '!D22</f>
        <v>53.6</v>
      </c>
      <c r="E22" s="103">
        <f>+'Purchased Power Model '!E22</f>
        <v>5.2999999999999999E-2</v>
      </c>
      <c r="F22" s="10">
        <f>+'Purchased Power Model '!F22</f>
        <v>31</v>
      </c>
      <c r="G22" s="10">
        <f>+'Purchased Power Model '!G22</f>
        <v>0</v>
      </c>
      <c r="H22" s="117">
        <f t="shared" si="2"/>
        <v>98051161.628304228</v>
      </c>
      <c r="I22" s="118">
        <f t="shared" si="0"/>
        <v>3929401.6283042282</v>
      </c>
      <c r="J22" s="5">
        <f t="shared" si="1"/>
        <v>4.1748067910164749E-2</v>
      </c>
      <c r="K22"/>
      <c r="L22" s="35" t="s">
        <v>5</v>
      </c>
      <c r="M22" s="67">
        <v>2809933.7613562737</v>
      </c>
      <c r="N22" s="67">
        <v>413889.83860015869</v>
      </c>
      <c r="O22" s="67">
        <v>6.7890861270233573</v>
      </c>
      <c r="P22" s="67">
        <v>3.0716683705617651E-10</v>
      </c>
      <c r="Q22" s="67">
        <v>1991547.9174829256</v>
      </c>
      <c r="R22" s="67">
        <v>3628319.6052296218</v>
      </c>
      <c r="S22" s="67">
        <v>1991547.9174829256</v>
      </c>
      <c r="T22" s="67">
        <v>3628319.6052296218</v>
      </c>
      <c r="U22" s="111"/>
      <c r="V22" s="111"/>
      <c r="W22" s="111"/>
      <c r="X22" s="111"/>
      <c r="Y22" s="111"/>
      <c r="Z22" s="111"/>
      <c r="AA22" s="111"/>
      <c r="AB22" s="111"/>
    </row>
    <row r="23" spans="1:28" ht="12.9" thickBot="1" x14ac:dyDescent="0.35">
      <c r="A23" s="116">
        <v>38231</v>
      </c>
      <c r="B23" s="41">
        <f>+'Purchased Power Model '!B23</f>
        <v>88536700</v>
      </c>
      <c r="C23" s="96">
        <f>+'Purchased Power Model '!C23</f>
        <v>41.7</v>
      </c>
      <c r="D23" s="96">
        <f>+'Purchased Power Model '!D23</f>
        <v>26.7</v>
      </c>
      <c r="E23" s="103">
        <f>+'Purchased Power Model '!E23</f>
        <v>5.2999999999999999E-2</v>
      </c>
      <c r="F23" s="10">
        <f>+'Purchased Power Model '!F23</f>
        <v>30</v>
      </c>
      <c r="G23" s="10">
        <f>+'Purchased Power Model '!G23</f>
        <v>1</v>
      </c>
      <c r="H23" s="117">
        <f t="shared" si="2"/>
        <v>85213554.07037057</v>
      </c>
      <c r="I23" s="118">
        <f t="shared" si="0"/>
        <v>-3323145.9296294302</v>
      </c>
      <c r="J23" s="5">
        <f t="shared" si="1"/>
        <v>-3.7534106530166929E-2</v>
      </c>
      <c r="K23"/>
      <c r="L23" s="51" t="s">
        <v>17</v>
      </c>
      <c r="M23" s="68">
        <v>-7046985.2530996641</v>
      </c>
      <c r="N23" s="68">
        <v>834637.93948855624</v>
      </c>
      <c r="O23" s="68">
        <v>-8.4431642987830955</v>
      </c>
      <c r="P23" s="68">
        <v>3.7993072229728816E-14</v>
      </c>
      <c r="Q23" s="68">
        <v>-8697317.8071610499</v>
      </c>
      <c r="R23" s="68">
        <v>-5396652.6990382783</v>
      </c>
      <c r="S23" s="68">
        <v>-8697317.8071610499</v>
      </c>
      <c r="T23" s="68">
        <v>-5396652.6990382783</v>
      </c>
      <c r="U23" s="111"/>
      <c r="V23" s="111"/>
      <c r="W23" s="111"/>
      <c r="X23" s="111"/>
      <c r="Y23" s="111"/>
      <c r="Z23" s="111"/>
      <c r="AA23" s="111"/>
      <c r="AB23" s="111"/>
    </row>
    <row r="24" spans="1:28" x14ac:dyDescent="0.3">
      <c r="A24" s="116">
        <v>38261</v>
      </c>
      <c r="B24" s="41">
        <f>+'Purchased Power Model '!B24</f>
        <v>88377710</v>
      </c>
      <c r="C24" s="96">
        <f>+'Purchased Power Model '!C24</f>
        <v>235</v>
      </c>
      <c r="D24" s="96">
        <f>+'Purchased Power Model '!D24</f>
        <v>0</v>
      </c>
      <c r="E24" s="103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17">
        <f t="shared" si="2"/>
        <v>91425493.810306668</v>
      </c>
      <c r="I24" s="118">
        <f t="shared" si="0"/>
        <v>3047783.8103066683</v>
      </c>
      <c r="J24" s="5">
        <f t="shared" si="1"/>
        <v>3.4485888017540489E-2</v>
      </c>
      <c r="K24"/>
      <c r="L24"/>
      <c r="M24"/>
      <c r="N24"/>
      <c r="O24"/>
      <c r="P24"/>
      <c r="Q24"/>
      <c r="R24"/>
      <c r="S24"/>
      <c r="T24"/>
      <c r="U24" s="111"/>
      <c r="V24" s="111"/>
      <c r="W24" s="111"/>
      <c r="X24" s="111"/>
      <c r="Y24" s="111"/>
      <c r="Z24" s="111"/>
      <c r="AA24" s="111"/>
      <c r="AB24" s="111"/>
    </row>
    <row r="25" spans="1:28" x14ac:dyDescent="0.3">
      <c r="A25" s="116">
        <v>38292</v>
      </c>
      <c r="B25" s="41">
        <f>+'Purchased Power Model '!B25</f>
        <v>94905100</v>
      </c>
      <c r="C25" s="96">
        <f>+'Purchased Power Model '!C25</f>
        <v>385.7</v>
      </c>
      <c r="D25" s="96">
        <f>+'Purchased Power Model '!D25</f>
        <v>0</v>
      </c>
      <c r="E25" s="103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17">
        <f t="shared" si="2"/>
        <v>94743769.829719678</v>
      </c>
      <c r="I25" s="118">
        <f t="shared" si="0"/>
        <v>-161330.17028032243</v>
      </c>
      <c r="J25" s="5">
        <f t="shared" si="1"/>
        <v>-1.6999104398006265E-3</v>
      </c>
      <c r="K25"/>
      <c r="L25"/>
      <c r="M25"/>
      <c r="N25"/>
      <c r="O25"/>
      <c r="P25"/>
      <c r="Q25"/>
      <c r="R25"/>
      <c r="S25"/>
      <c r="T25"/>
      <c r="U25" s="111"/>
      <c r="V25" s="111"/>
      <c r="W25" s="111"/>
      <c r="X25" s="111"/>
      <c r="Y25" s="111"/>
      <c r="Z25" s="111"/>
      <c r="AA25" s="111"/>
      <c r="AB25" s="111"/>
    </row>
    <row r="26" spans="1:28" x14ac:dyDescent="0.3">
      <c r="A26" s="116">
        <v>38322</v>
      </c>
      <c r="B26" s="41">
        <f>+'Purchased Power Model '!B26</f>
        <v>113323500</v>
      </c>
      <c r="C26" s="96">
        <f>+'Purchased Power Model '!C26</f>
        <v>627.5</v>
      </c>
      <c r="D26" s="96">
        <f>+'Purchased Power Model '!D26</f>
        <v>0</v>
      </c>
      <c r="E26" s="103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17">
        <f t="shared" si="2"/>
        <v>114433476.66759969</v>
      </c>
      <c r="I26" s="118">
        <f t="shared" si="0"/>
        <v>1109976.6675996929</v>
      </c>
      <c r="J26" s="5">
        <f t="shared" si="1"/>
        <v>9.7947616125489672E-3</v>
      </c>
      <c r="K26"/>
      <c r="L26"/>
      <c r="M26"/>
      <c r="N26"/>
      <c r="O26"/>
      <c r="P26"/>
      <c r="Q26"/>
      <c r="R26"/>
      <c r="S26"/>
      <c r="T26"/>
      <c r="U26" s="111"/>
      <c r="V26" s="111"/>
      <c r="W26" s="111"/>
      <c r="X26" s="111"/>
      <c r="Y26" s="111"/>
      <c r="Z26" s="111"/>
      <c r="AA26" s="111"/>
      <c r="AB26" s="111"/>
    </row>
    <row r="27" spans="1:28" x14ac:dyDescent="0.3">
      <c r="A27" s="116">
        <v>38353</v>
      </c>
      <c r="B27" s="41">
        <f>+'Purchased Power Model '!B27</f>
        <v>118166820</v>
      </c>
      <c r="C27" s="96">
        <f>+'Purchased Power Model '!C27</f>
        <v>745.5</v>
      </c>
      <c r="D27" s="96">
        <f>+'Purchased Power Model '!D27</f>
        <v>0</v>
      </c>
      <c r="E27" s="103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17">
        <f t="shared" si="2"/>
        <v>117529570.22869869</v>
      </c>
      <c r="I27" s="118">
        <f t="shared" si="0"/>
        <v>-637249.77130131423</v>
      </c>
      <c r="J27" s="5">
        <f t="shared" si="1"/>
        <v>-5.3927978370012343E-3</v>
      </c>
      <c r="K27"/>
      <c r="T27" s="111"/>
      <c r="U27" s="111"/>
      <c r="V27" s="111"/>
      <c r="W27" s="111"/>
      <c r="X27" s="111"/>
      <c r="Y27" s="111"/>
      <c r="Z27" s="111"/>
      <c r="AA27" s="111"/>
      <c r="AB27" s="111"/>
    </row>
    <row r="28" spans="1:28" x14ac:dyDescent="0.3">
      <c r="A28" s="116">
        <v>38384</v>
      </c>
      <c r="B28" s="41">
        <f>+'Purchased Power Model '!B28</f>
        <v>100566840</v>
      </c>
      <c r="C28" s="96">
        <f>+'Purchased Power Model '!C28</f>
        <v>589.5</v>
      </c>
      <c r="D28" s="96">
        <f>+'Purchased Power Model '!D28</f>
        <v>0</v>
      </c>
      <c r="E28" s="103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17">
        <f t="shared" si="2"/>
        <v>102756034.86500144</v>
      </c>
      <c r="I28" s="118">
        <f t="shared" si="0"/>
        <v>2189194.86500144</v>
      </c>
      <c r="J28" s="5">
        <f t="shared" si="1"/>
        <v>2.1768555768496255E-2</v>
      </c>
      <c r="K28"/>
      <c r="T28" s="111"/>
      <c r="U28" s="111"/>
      <c r="V28" s="111"/>
      <c r="W28" s="111"/>
      <c r="X28" s="111"/>
      <c r="Y28" s="111"/>
      <c r="Z28" s="111"/>
      <c r="AA28" s="111"/>
      <c r="AB28" s="111"/>
    </row>
    <row r="29" spans="1:28" x14ac:dyDescent="0.3">
      <c r="A29" s="116">
        <v>38412</v>
      </c>
      <c r="B29" s="41">
        <f>+'Purchased Power Model '!B29</f>
        <v>104158730</v>
      </c>
      <c r="C29" s="96">
        <f>+'Purchased Power Model '!C29</f>
        <v>578.29999999999995</v>
      </c>
      <c r="D29" s="96">
        <f>+'Purchased Power Model '!D29</f>
        <v>0</v>
      </c>
      <c r="E29" s="103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17">
        <f t="shared" si="2"/>
        <v>103683403.32102288</v>
      </c>
      <c r="I29" s="118">
        <f t="shared" si="0"/>
        <v>-475326.67897711694</v>
      </c>
      <c r="J29" s="5">
        <f t="shared" si="1"/>
        <v>-4.5634838191394708E-3</v>
      </c>
      <c r="K29"/>
      <c r="T29" s="111"/>
      <c r="U29" s="111"/>
      <c r="V29" s="111"/>
      <c r="W29" s="111"/>
      <c r="X29" s="111"/>
      <c r="Y29" s="111"/>
      <c r="Z29" s="111"/>
      <c r="AA29" s="111"/>
      <c r="AB29" s="111"/>
    </row>
    <row r="30" spans="1:28" x14ac:dyDescent="0.3">
      <c r="A30" s="116">
        <v>38443</v>
      </c>
      <c r="B30" s="41">
        <f>+'Purchased Power Model '!B30</f>
        <v>84434840</v>
      </c>
      <c r="C30" s="96">
        <f>+'Purchased Power Model '!C30</f>
        <v>325.3</v>
      </c>
      <c r="D30" s="96">
        <f>+'Purchased Power Model '!D30</f>
        <v>0</v>
      </c>
      <c r="E30" s="103">
        <f>+'Purchased Power Model '!E30</f>
        <v>6.3E-2</v>
      </c>
      <c r="F30" s="10">
        <f>+'Purchased Power Model '!F30</f>
        <v>30</v>
      </c>
      <c r="G30" s="10">
        <f>+'Purchased Power Model '!G30</f>
        <v>1</v>
      </c>
      <c r="H30" s="117">
        <f t="shared" si="2"/>
        <v>91679616.136012077</v>
      </c>
      <c r="I30" s="118">
        <f t="shared" si="0"/>
        <v>7244776.1360120773</v>
      </c>
      <c r="J30" s="5">
        <f t="shared" si="1"/>
        <v>8.5803160591197636E-2</v>
      </c>
      <c r="K30"/>
      <c r="T30" s="111"/>
      <c r="U30" s="111"/>
      <c r="V30" s="111"/>
      <c r="W30" s="111"/>
      <c r="X30" s="111"/>
      <c r="Y30" s="111"/>
      <c r="Z30" s="111"/>
      <c r="AA30" s="111"/>
      <c r="AB30" s="111"/>
    </row>
    <row r="31" spans="1:28" x14ac:dyDescent="0.3">
      <c r="A31" s="116">
        <v>38473</v>
      </c>
      <c r="B31" s="41">
        <f>+'Purchased Power Model '!B31</f>
        <v>81831370</v>
      </c>
      <c r="C31" s="96">
        <f>+'Purchased Power Model '!C31</f>
        <v>216.1</v>
      </c>
      <c r="D31" s="96">
        <f>+'Purchased Power Model '!D31</f>
        <v>0.3</v>
      </c>
      <c r="E31" s="103">
        <f>+'Purchased Power Model '!E31</f>
        <v>6.3E-2</v>
      </c>
      <c r="F31" s="10">
        <f>+'Purchased Power Model '!F31</f>
        <v>31</v>
      </c>
      <c r="G31" s="10">
        <f>+'Purchased Power Model '!G31</f>
        <v>1</v>
      </c>
      <c r="H31" s="117">
        <f t="shared" si="2"/>
        <v>90092200.549488187</v>
      </c>
      <c r="I31" s="118">
        <f t="shared" si="0"/>
        <v>8260830.5494881868</v>
      </c>
      <c r="J31" s="5">
        <f t="shared" si="1"/>
        <v>0.10094943478873918</v>
      </c>
      <c r="K31"/>
      <c r="T31" s="111"/>
      <c r="U31" s="111"/>
      <c r="V31" s="111"/>
      <c r="W31" s="111"/>
      <c r="X31" s="111"/>
      <c r="Y31" s="111"/>
      <c r="Z31" s="111"/>
      <c r="AA31" s="111"/>
      <c r="AB31" s="111"/>
    </row>
    <row r="32" spans="1:28" x14ac:dyDescent="0.3">
      <c r="A32" s="116">
        <v>38504</v>
      </c>
      <c r="B32" s="41">
        <f>+'Purchased Power Model '!B32</f>
        <v>98362500</v>
      </c>
      <c r="C32" s="96">
        <f>+'Purchased Power Model '!C32</f>
        <v>13.7</v>
      </c>
      <c r="D32" s="96">
        <f>+'Purchased Power Model '!D32</f>
        <v>89.9</v>
      </c>
      <c r="E32" s="103">
        <f>+'Purchased Power Model '!E32</f>
        <v>6.3E-2</v>
      </c>
      <c r="F32" s="10">
        <f>+'Purchased Power Model '!F32</f>
        <v>30</v>
      </c>
      <c r="G32" s="10">
        <f>+'Purchased Power Model '!G32</f>
        <v>0</v>
      </c>
      <c r="H32" s="117">
        <f t="shared" si="2"/>
        <v>99020330.06998232</v>
      </c>
      <c r="I32" s="118">
        <f t="shared" si="0"/>
        <v>657830.06998232007</v>
      </c>
      <c r="J32" s="5">
        <f t="shared" si="1"/>
        <v>6.6878136483143483E-3</v>
      </c>
      <c r="K32"/>
      <c r="T32" s="111"/>
      <c r="U32" s="111"/>
      <c r="V32" s="111"/>
      <c r="W32" s="111"/>
      <c r="X32" s="111"/>
      <c r="Y32" s="111"/>
      <c r="Z32" s="111"/>
      <c r="AA32" s="111"/>
      <c r="AB32" s="111"/>
    </row>
    <row r="33" spans="1:28" x14ac:dyDescent="0.3">
      <c r="A33" s="116">
        <v>38534</v>
      </c>
      <c r="B33" s="41">
        <f>+'Purchased Power Model '!B33</f>
        <v>103745750</v>
      </c>
      <c r="C33" s="96">
        <f>+'Purchased Power Model '!C33</f>
        <v>2.2000000000000002</v>
      </c>
      <c r="D33" s="96">
        <f>+'Purchased Power Model '!D33</f>
        <v>153</v>
      </c>
      <c r="E33" s="103">
        <f>+'Purchased Power Model '!E33</f>
        <v>5.7000000000000002E-2</v>
      </c>
      <c r="F33" s="10">
        <f>+'Purchased Power Model '!F33</f>
        <v>31</v>
      </c>
      <c r="G33" s="10">
        <f>+'Purchased Power Model '!G33</f>
        <v>0</v>
      </c>
      <c r="H33" s="117">
        <f t="shared" si="2"/>
        <v>111192172.90409043</v>
      </c>
      <c r="I33" s="118">
        <f t="shared" si="0"/>
        <v>7446422.9040904343</v>
      </c>
      <c r="J33" s="5">
        <f t="shared" si="1"/>
        <v>7.1775691091832045E-2</v>
      </c>
      <c r="K33"/>
      <c r="T33" s="111"/>
      <c r="U33" s="111"/>
      <c r="V33" s="111"/>
      <c r="W33" s="111"/>
      <c r="X33" s="111"/>
      <c r="Y33" s="111"/>
      <c r="Z33" s="111"/>
      <c r="AA33" s="111"/>
      <c r="AB33" s="111"/>
    </row>
    <row r="34" spans="1:28" x14ac:dyDescent="0.3">
      <c r="A34" s="116">
        <v>38565</v>
      </c>
      <c r="B34" s="41">
        <f>+'Purchased Power Model '!B34</f>
        <v>101425330</v>
      </c>
      <c r="C34" s="96">
        <f>+'Purchased Power Model '!C34</f>
        <v>0</v>
      </c>
      <c r="D34" s="96">
        <f>+'Purchased Power Model '!D34</f>
        <v>108</v>
      </c>
      <c r="E34" s="103">
        <f>+'Purchased Power Model '!E34</f>
        <v>5.7000000000000002E-2</v>
      </c>
      <c r="F34" s="10">
        <f>+'Purchased Power Model '!F34</f>
        <v>31</v>
      </c>
      <c r="G34" s="10">
        <f>+'Purchased Power Model '!G34</f>
        <v>0</v>
      </c>
      <c r="H34" s="117">
        <f t="shared" si="2"/>
        <v>104613033.80861895</v>
      </c>
      <c r="I34" s="118">
        <f t="shared" si="0"/>
        <v>3187703.8086189479</v>
      </c>
      <c r="J34" s="5">
        <f t="shared" si="1"/>
        <v>3.1429070121033353E-2</v>
      </c>
      <c r="K34"/>
      <c r="T34" s="111"/>
      <c r="U34" s="111"/>
      <c r="V34" s="111"/>
      <c r="W34" s="111"/>
      <c r="X34" s="111"/>
      <c r="Y34" s="111"/>
      <c r="Z34" s="111"/>
      <c r="AA34" s="111"/>
      <c r="AB34" s="111"/>
    </row>
    <row r="35" spans="1:28" x14ac:dyDescent="0.3">
      <c r="A35" s="116">
        <v>38596</v>
      </c>
      <c r="B35" s="41">
        <f>+'Purchased Power Model '!B35</f>
        <v>87813850</v>
      </c>
      <c r="C35" s="96">
        <f>+'Purchased Power Model '!C35</f>
        <v>36.700000000000003</v>
      </c>
      <c r="D35" s="96">
        <f>+'Purchased Power Model '!D35</f>
        <v>32.799999999999997</v>
      </c>
      <c r="E35" s="103">
        <f>+'Purchased Power Model '!E35</f>
        <v>5.7000000000000002E-2</v>
      </c>
      <c r="F35" s="10">
        <f>+'Purchased Power Model '!F35</f>
        <v>30</v>
      </c>
      <c r="G35" s="10">
        <f>+'Purchased Power Model '!G35</f>
        <v>1</v>
      </c>
      <c r="H35" s="117">
        <f t="shared" si="2"/>
        <v>85403548.931177959</v>
      </c>
      <c r="I35" s="118">
        <f t="shared" si="0"/>
        <v>-2410301.0688220412</v>
      </c>
      <c r="J35" s="5">
        <f t="shared" si="1"/>
        <v>-2.7447846425387806E-2</v>
      </c>
      <c r="K35"/>
      <c r="T35" s="111"/>
      <c r="U35" s="111"/>
      <c r="V35" s="111"/>
      <c r="W35" s="111"/>
      <c r="X35" s="111"/>
      <c r="Y35" s="111"/>
      <c r="Z35" s="111"/>
      <c r="AA35" s="111"/>
      <c r="AB35" s="111"/>
    </row>
    <row r="36" spans="1:28" x14ac:dyDescent="0.3">
      <c r="A36" s="116">
        <v>38626</v>
      </c>
      <c r="B36" s="41">
        <f>+'Purchased Power Model '!B36</f>
        <v>87350690</v>
      </c>
      <c r="C36" s="96">
        <f>+'Purchased Power Model '!C36</f>
        <v>223.8</v>
      </c>
      <c r="D36" s="96">
        <f>+'Purchased Power Model '!D36</f>
        <v>0.5</v>
      </c>
      <c r="E36" s="103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17">
        <f t="shared" si="2"/>
        <v>89947771.77374135</v>
      </c>
      <c r="I36" s="118">
        <f t="shared" si="0"/>
        <v>2597081.7737413496</v>
      </c>
      <c r="J36" s="5">
        <f t="shared" si="1"/>
        <v>2.9731668676473529E-2</v>
      </c>
      <c r="K36"/>
      <c r="T36" s="111"/>
      <c r="U36" s="111"/>
      <c r="V36" s="111"/>
      <c r="W36" s="111"/>
      <c r="X36" s="111"/>
      <c r="Y36" s="111"/>
      <c r="Z36" s="111"/>
      <c r="AA36" s="111"/>
      <c r="AB36" s="111"/>
    </row>
    <row r="37" spans="1:28" x14ac:dyDescent="0.3">
      <c r="A37" s="116">
        <v>38657</v>
      </c>
      <c r="B37" s="41">
        <f>+'Purchased Power Model '!B37</f>
        <v>94515140</v>
      </c>
      <c r="C37" s="96">
        <f>+'Purchased Power Model '!C37</f>
        <v>398.5</v>
      </c>
      <c r="D37" s="96">
        <f>+'Purchased Power Model '!D37</f>
        <v>0</v>
      </c>
      <c r="E37" s="103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17">
        <f t="shared" si="2"/>
        <v>94169899.369228378</v>
      </c>
      <c r="I37" s="118">
        <f t="shared" si="0"/>
        <v>-345240.63077162206</v>
      </c>
      <c r="J37" s="5">
        <f t="shared" si="1"/>
        <v>-3.6527547943284227E-3</v>
      </c>
      <c r="K37"/>
      <c r="T37" s="111"/>
      <c r="U37" s="111"/>
      <c r="V37" s="111"/>
      <c r="W37" s="111"/>
      <c r="X37" s="111"/>
      <c r="Y37" s="111"/>
      <c r="Z37" s="111"/>
      <c r="AA37" s="111"/>
      <c r="AB37" s="111"/>
    </row>
    <row r="38" spans="1:28" x14ac:dyDescent="0.3">
      <c r="A38" s="116">
        <v>38687</v>
      </c>
      <c r="B38" s="41">
        <f>+'Purchased Power Model '!B38</f>
        <v>112129490</v>
      </c>
      <c r="C38" s="96">
        <f>+'Purchased Power Model '!C38</f>
        <v>641.1</v>
      </c>
      <c r="D38" s="96">
        <f>+'Purchased Power Model '!D38</f>
        <v>0</v>
      </c>
      <c r="E38" s="103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17">
        <f t="shared" si="2"/>
        <v>113892138.17674752</v>
      </c>
      <c r="I38" s="118">
        <f t="shared" si="0"/>
        <v>1762648.1767475158</v>
      </c>
      <c r="J38" s="5">
        <f t="shared" si="1"/>
        <v>1.5719755585685048E-2</v>
      </c>
      <c r="K38"/>
      <c r="T38" s="111"/>
      <c r="U38" s="111"/>
      <c r="V38" s="111"/>
      <c r="W38" s="111"/>
      <c r="X38" s="111"/>
      <c r="Y38" s="111"/>
      <c r="Z38" s="111"/>
      <c r="AA38" s="111"/>
      <c r="AB38" s="111"/>
    </row>
    <row r="39" spans="1:28" x14ac:dyDescent="0.3">
      <c r="A39" s="116">
        <v>38718</v>
      </c>
      <c r="B39" s="41">
        <f>+'Purchased Power Model '!B39</f>
        <v>108586490</v>
      </c>
      <c r="C39" s="96">
        <f>+'Purchased Power Model '!C39</f>
        <v>558.20000000000005</v>
      </c>
      <c r="D39" s="96">
        <f>+'Purchased Power Model '!D39</f>
        <v>0</v>
      </c>
      <c r="E39" s="103">
        <f>+'Purchased Power Model '!E39</f>
        <v>6.7000000000000004E-2</v>
      </c>
      <c r="F39" s="10">
        <f>+'Purchased Power Model '!F39</f>
        <v>31</v>
      </c>
      <c r="G39" s="10">
        <f>+'Purchased Power Model '!G39</f>
        <v>0</v>
      </c>
      <c r="H39" s="117">
        <f t="shared" si="2"/>
        <v>110521012.82289368</v>
      </c>
      <c r="I39" s="118">
        <f t="shared" si="0"/>
        <v>1934522.8228936791</v>
      </c>
      <c r="J39" s="5">
        <f t="shared" si="1"/>
        <v>1.7815501936692853E-2</v>
      </c>
      <c r="K39"/>
      <c r="T39" s="111"/>
      <c r="U39" s="111"/>
      <c r="V39" s="111"/>
      <c r="W39" s="111"/>
      <c r="X39" s="111"/>
      <c r="Y39" s="111"/>
      <c r="Z39" s="111"/>
      <c r="AA39" s="111"/>
      <c r="AB39" s="111"/>
    </row>
    <row r="40" spans="1:28" x14ac:dyDescent="0.3">
      <c r="A40" s="116">
        <v>38749</v>
      </c>
      <c r="B40" s="41">
        <f>+'Purchased Power Model '!B40</f>
        <v>101769990</v>
      </c>
      <c r="C40" s="96">
        <f>+'Purchased Power Model '!C40</f>
        <v>608.79999999999995</v>
      </c>
      <c r="D40" s="96">
        <f>+'Purchased Power Model '!D40</f>
        <v>0</v>
      </c>
      <c r="E40" s="103">
        <f>+'Purchased Power Model '!E40</f>
        <v>6.7000000000000004E-2</v>
      </c>
      <c r="F40" s="10">
        <f>+'Purchased Power Model '!F40</f>
        <v>28</v>
      </c>
      <c r="G40" s="10">
        <f>+'Purchased Power Model '!G40</f>
        <v>0</v>
      </c>
      <c r="H40" s="117">
        <f t="shared" si="2"/>
        <v>104148858.61849922</v>
      </c>
      <c r="I40" s="118">
        <f t="shared" si="0"/>
        <v>2378868.6184992194</v>
      </c>
      <c r="J40" s="5">
        <f t="shared" si="1"/>
        <v>2.3374951874312058E-2</v>
      </c>
      <c r="K40"/>
      <c r="T40" s="111"/>
      <c r="U40" s="111"/>
      <c r="V40" s="111"/>
      <c r="W40" s="111"/>
      <c r="X40" s="111"/>
      <c r="Y40" s="111"/>
      <c r="Z40" s="111"/>
      <c r="AA40" s="111"/>
      <c r="AB40" s="111"/>
    </row>
    <row r="41" spans="1:28" x14ac:dyDescent="0.3">
      <c r="A41" s="116">
        <v>38777</v>
      </c>
      <c r="B41" s="41">
        <f>+'Purchased Power Model '!B41</f>
        <v>102729300</v>
      </c>
      <c r="C41" s="96">
        <f>+'Purchased Power Model '!C41</f>
        <v>534</v>
      </c>
      <c r="D41" s="96">
        <f>+'Purchased Power Model '!D41</f>
        <v>0</v>
      </c>
      <c r="E41" s="103">
        <f>+'Purchased Power Model '!E41</f>
        <v>6.7000000000000004E-2</v>
      </c>
      <c r="F41" s="10">
        <f>+'Purchased Power Model '!F41</f>
        <v>31</v>
      </c>
      <c r="G41" s="10">
        <f>+'Purchased Power Model '!G41</f>
        <v>1</v>
      </c>
      <c r="H41" s="117">
        <f t="shared" si="2"/>
        <v>102489935.48821063</v>
      </c>
      <c r="I41" s="118">
        <f t="shared" si="0"/>
        <v>-239364.5117893666</v>
      </c>
      <c r="J41" s="5">
        <f t="shared" si="1"/>
        <v>-2.330051034995533E-3</v>
      </c>
      <c r="K41"/>
      <c r="T41" s="111"/>
      <c r="U41" s="111"/>
      <c r="V41" s="111"/>
      <c r="W41" s="111"/>
      <c r="X41" s="111"/>
      <c r="Y41" s="111"/>
      <c r="Z41" s="111"/>
      <c r="AA41" s="111"/>
      <c r="AB41" s="111"/>
    </row>
    <row r="42" spans="1:28" x14ac:dyDescent="0.3">
      <c r="A42" s="116">
        <v>38808</v>
      </c>
      <c r="B42" s="41">
        <f>+'Purchased Power Model '!B42</f>
        <v>85245280</v>
      </c>
      <c r="C42" s="96">
        <f>+'Purchased Power Model '!C42</f>
        <v>323.60000000000002</v>
      </c>
      <c r="D42" s="96">
        <f>+'Purchased Power Model '!D42</f>
        <v>0</v>
      </c>
      <c r="E42" s="103">
        <f>+'Purchased Power Model '!E42</f>
        <v>6.3E-2</v>
      </c>
      <c r="F42" s="10">
        <f>+'Purchased Power Model '!F42</f>
        <v>30</v>
      </c>
      <c r="G42" s="10">
        <f>+'Purchased Power Model '!G42</f>
        <v>1</v>
      </c>
      <c r="H42" s="117">
        <f t="shared" si="2"/>
        <v>91610485.700528949</v>
      </c>
      <c r="I42" s="118">
        <f t="shared" si="0"/>
        <v>6365205.7005289495</v>
      </c>
      <c r="J42" s="5">
        <f t="shared" si="1"/>
        <v>7.4669303690819588E-2</v>
      </c>
      <c r="K42"/>
      <c r="T42" s="111"/>
      <c r="U42" s="111"/>
      <c r="V42" s="111"/>
      <c r="W42" s="111"/>
      <c r="X42" s="111"/>
      <c r="Y42" s="111"/>
      <c r="Z42" s="111"/>
      <c r="AA42" s="111"/>
      <c r="AB42" s="111"/>
    </row>
    <row r="43" spans="1:28" x14ac:dyDescent="0.3">
      <c r="A43" s="116">
        <v>38838</v>
      </c>
      <c r="B43" s="41">
        <f>+'Purchased Power Model '!B43</f>
        <v>85191000</v>
      </c>
      <c r="C43" s="96">
        <f>+'Purchased Power Model '!C43</f>
        <v>172.6</v>
      </c>
      <c r="D43" s="96">
        <f>+'Purchased Power Model '!D43</f>
        <v>12.8</v>
      </c>
      <c r="E43" s="103">
        <f>+'Purchased Power Model '!E43</f>
        <v>6.3E-2</v>
      </c>
      <c r="F43" s="10">
        <f>+'Purchased Power Model '!F43</f>
        <v>31</v>
      </c>
      <c r="G43" s="10">
        <f>+'Purchased Power Model '!G43</f>
        <v>1</v>
      </c>
      <c r="H43" s="117">
        <f t="shared" si="2"/>
        <v>90125962.527851</v>
      </c>
      <c r="I43" s="118">
        <f t="shared" si="0"/>
        <v>4934962.5278510004</v>
      </c>
      <c r="J43" s="5">
        <f t="shared" si="1"/>
        <v>5.7928214574908155E-2</v>
      </c>
      <c r="K43"/>
      <c r="T43" s="111"/>
      <c r="U43" s="111"/>
      <c r="V43" s="111"/>
      <c r="W43" s="111"/>
      <c r="X43" s="111"/>
      <c r="Y43" s="111"/>
      <c r="Z43" s="111"/>
      <c r="AA43" s="111"/>
      <c r="AB43" s="111"/>
    </row>
    <row r="44" spans="1:28" x14ac:dyDescent="0.3">
      <c r="A44" s="116">
        <v>38869</v>
      </c>
      <c r="B44" s="41">
        <f>+'Purchased Power Model '!B44</f>
        <v>91808310</v>
      </c>
      <c r="C44" s="96">
        <f>+'Purchased Power Model '!C44</f>
        <v>22.6</v>
      </c>
      <c r="D44" s="96">
        <f>+'Purchased Power Model '!D44</f>
        <v>36.200000000000003</v>
      </c>
      <c r="E44" s="103">
        <f>+'Purchased Power Model '!E44</f>
        <v>6.3E-2</v>
      </c>
      <c r="F44" s="10">
        <f>+'Purchased Power Model '!F44</f>
        <v>30</v>
      </c>
      <c r="G44" s="10">
        <f>+'Purchased Power Model '!G44</f>
        <v>0</v>
      </c>
      <c r="H44" s="117">
        <f t="shared" si="2"/>
        <v>91637901.325320587</v>
      </c>
      <c r="I44" s="118">
        <f t="shared" si="0"/>
        <v>-170408.67467941344</v>
      </c>
      <c r="J44" s="5">
        <f t="shared" si="1"/>
        <v>-1.8561356230107431E-3</v>
      </c>
      <c r="K44"/>
      <c r="T44" s="111"/>
      <c r="U44" s="111"/>
      <c r="V44" s="111"/>
      <c r="W44" s="111"/>
      <c r="X44" s="111"/>
      <c r="Y44" s="111"/>
      <c r="Z44" s="111"/>
      <c r="AA44" s="111"/>
      <c r="AB44" s="111"/>
    </row>
    <row r="45" spans="1:28" x14ac:dyDescent="0.3">
      <c r="A45" s="116">
        <v>38899</v>
      </c>
      <c r="B45" s="41">
        <f>+'Purchased Power Model '!B45</f>
        <v>103610940</v>
      </c>
      <c r="C45" s="96">
        <f>+'Purchased Power Model '!C45</f>
        <v>1.7</v>
      </c>
      <c r="D45" s="96">
        <f>+'Purchased Power Model '!D45</f>
        <v>107.6</v>
      </c>
      <c r="E45" s="103">
        <f>+'Purchased Power Model '!E45</f>
        <v>6.6000000000000003E-2</v>
      </c>
      <c r="F45" s="10">
        <f>+'Purchased Power Model '!F45</f>
        <v>31</v>
      </c>
      <c r="G45" s="10">
        <f>+'Purchased Power Model '!G45</f>
        <v>0</v>
      </c>
      <c r="H45" s="117">
        <f t="shared" si="2"/>
        <v>103530096.25890517</v>
      </c>
      <c r="I45" s="118">
        <f t="shared" si="0"/>
        <v>-80843.741094827652</v>
      </c>
      <c r="J45" s="5">
        <f t="shared" si="1"/>
        <v>-7.8026259673763846E-4</v>
      </c>
      <c r="K45"/>
      <c r="T45" s="111"/>
      <c r="U45" s="111"/>
      <c r="V45" s="111"/>
      <c r="W45" s="111"/>
      <c r="X45" s="111"/>
      <c r="Y45" s="111"/>
      <c r="Z45" s="111"/>
      <c r="AA45" s="111"/>
      <c r="AB45" s="111"/>
    </row>
    <row r="46" spans="1:28" x14ac:dyDescent="0.3">
      <c r="A46" s="116">
        <v>38930</v>
      </c>
      <c r="B46" s="41">
        <f>+'Purchased Power Model '!B46</f>
        <v>98252830</v>
      </c>
      <c r="C46" s="96">
        <f>+'Purchased Power Model '!C46</f>
        <v>4.4000000000000004</v>
      </c>
      <c r="D46" s="96">
        <f>+'Purchased Power Model '!D46</f>
        <v>82.1</v>
      </c>
      <c r="E46" s="103">
        <f>+'Purchased Power Model '!E46</f>
        <v>6.6000000000000003E-2</v>
      </c>
      <c r="F46" s="10">
        <f>+'Purchased Power Model '!F46</f>
        <v>31</v>
      </c>
      <c r="G46" s="10">
        <f>+'Purchased Power Model '!G46</f>
        <v>0</v>
      </c>
      <c r="H46" s="117">
        <f t="shared" si="2"/>
        <v>99962408.488357648</v>
      </c>
      <c r="I46" s="118">
        <f t="shared" si="0"/>
        <v>1709578.4883576483</v>
      </c>
      <c r="J46" s="5">
        <f t="shared" si="1"/>
        <v>1.7399788773083159E-2</v>
      </c>
      <c r="K46"/>
      <c r="T46" s="111"/>
      <c r="U46" s="111"/>
      <c r="V46" s="111"/>
      <c r="W46" s="111"/>
      <c r="X46" s="111"/>
      <c r="Y46" s="111"/>
      <c r="Z46" s="111"/>
      <c r="AA46" s="111"/>
      <c r="AB46" s="111"/>
    </row>
    <row r="47" spans="1:28" x14ac:dyDescent="0.3">
      <c r="A47" s="116">
        <v>38961</v>
      </c>
      <c r="B47" s="41">
        <f>+'Purchased Power Model '!B47</f>
        <v>83090470</v>
      </c>
      <c r="C47" s="96">
        <f>+'Purchased Power Model '!C47</f>
        <v>70.7</v>
      </c>
      <c r="D47" s="96">
        <f>+'Purchased Power Model '!D47</f>
        <v>5.0999999999999996</v>
      </c>
      <c r="E47" s="103">
        <f>+'Purchased Power Model '!E47</f>
        <v>6.6000000000000003E-2</v>
      </c>
      <c r="F47" s="10">
        <f>+'Purchased Power Model '!F47</f>
        <v>30</v>
      </c>
      <c r="G47" s="10">
        <f>+'Purchased Power Model '!G47</f>
        <v>1</v>
      </c>
      <c r="H47" s="117">
        <f t="shared" si="2"/>
        <v>81697019.440405563</v>
      </c>
      <c r="I47" s="118">
        <f t="shared" si="0"/>
        <v>-1393450.5595944375</v>
      </c>
      <c r="J47" s="5">
        <f t="shared" si="1"/>
        <v>-1.6770281352295125E-2</v>
      </c>
      <c r="K47"/>
      <c r="T47" s="111"/>
      <c r="U47" s="111"/>
      <c r="V47" s="111"/>
      <c r="W47" s="111"/>
      <c r="X47" s="111"/>
      <c r="Y47" s="111"/>
      <c r="Z47" s="111"/>
      <c r="AA47" s="111"/>
      <c r="AB47" s="111"/>
    </row>
    <row r="48" spans="1:28" x14ac:dyDescent="0.3">
      <c r="A48" s="116">
        <v>38991</v>
      </c>
      <c r="B48" s="41">
        <f>+'Purchased Power Model '!B48</f>
        <v>90859410</v>
      </c>
      <c r="C48" s="96">
        <f>+'Purchased Power Model '!C48</f>
        <v>274.60000000000002</v>
      </c>
      <c r="D48" s="96">
        <f>+'Purchased Power Model '!D48</f>
        <v>0</v>
      </c>
      <c r="E48" s="103">
        <f>+'Purchased Power Model '!E48</f>
        <v>6.7000000000000004E-2</v>
      </c>
      <c r="F48" s="10">
        <f>+'Purchased Power Model '!F48</f>
        <v>31</v>
      </c>
      <c r="G48" s="10">
        <f>+'Purchased Power Model '!G48</f>
        <v>1</v>
      </c>
      <c r="H48" s="117">
        <f t="shared" si="2"/>
        <v>91941444.332725883</v>
      </c>
      <c r="I48" s="118">
        <f t="shared" si="0"/>
        <v>1082034.3327258825</v>
      </c>
      <c r="J48" s="5">
        <f t="shared" si="1"/>
        <v>1.1908885746956562E-2</v>
      </c>
      <c r="K48"/>
      <c r="T48" s="111"/>
      <c r="U48" s="111"/>
      <c r="V48" s="111"/>
      <c r="W48" s="111"/>
      <c r="X48" s="111"/>
      <c r="Y48" s="111"/>
      <c r="Z48" s="111"/>
      <c r="AA48" s="111"/>
      <c r="AB48" s="111"/>
    </row>
    <row r="49" spans="1:28" x14ac:dyDescent="0.3">
      <c r="A49" s="116">
        <v>39022</v>
      </c>
      <c r="B49" s="41">
        <f>+'Purchased Power Model '!B49</f>
        <v>95117460</v>
      </c>
      <c r="C49" s="96">
        <f>+'Purchased Power Model '!C49</f>
        <v>367.5</v>
      </c>
      <c r="D49" s="96">
        <f>+'Purchased Power Model '!D49</f>
        <v>0</v>
      </c>
      <c r="E49" s="103">
        <f>+'Purchased Power Model '!E49</f>
        <v>6.7000000000000004E-2</v>
      </c>
      <c r="F49" s="10">
        <f>+'Purchased Power Model '!F49</f>
        <v>30</v>
      </c>
      <c r="G49" s="10">
        <f>+'Purchased Power Model '!G49</f>
        <v>1</v>
      </c>
      <c r="H49" s="117">
        <f t="shared" si="2"/>
        <v>92909285.545712456</v>
      </c>
      <c r="I49" s="118">
        <f t="shared" si="0"/>
        <v>-2208174.4542875439</v>
      </c>
      <c r="J49" s="5">
        <f t="shared" si="1"/>
        <v>-2.3215237815302721E-2</v>
      </c>
      <c r="K49"/>
      <c r="T49" s="111"/>
      <c r="U49" s="111"/>
      <c r="V49" s="111"/>
      <c r="W49" s="111"/>
      <c r="X49" s="111"/>
      <c r="Y49" s="111"/>
      <c r="Z49" s="111"/>
      <c r="AA49" s="111"/>
      <c r="AB49" s="111"/>
    </row>
    <row r="50" spans="1:28" x14ac:dyDescent="0.3">
      <c r="A50" s="116">
        <v>39052</v>
      </c>
      <c r="B50" s="41">
        <f>+'Purchased Power Model '!B50</f>
        <v>105098960</v>
      </c>
      <c r="C50" s="96">
        <f>+'Purchased Power Model '!C50</f>
        <v>471.5</v>
      </c>
      <c r="D50" s="96">
        <f>+'Purchased Power Model '!D50</f>
        <v>0</v>
      </c>
      <c r="E50" s="103">
        <f>+'Purchased Power Model '!E50</f>
        <v>6.7000000000000004E-2</v>
      </c>
      <c r="F50" s="10">
        <f>+'Purchased Power Model '!F50</f>
        <v>31</v>
      </c>
      <c r="G50" s="10">
        <f>+'Purchased Power Model '!G50</f>
        <v>0</v>
      </c>
      <c r="H50" s="117">
        <f t="shared" si="2"/>
        <v>106995360.61325401</v>
      </c>
      <c r="I50" s="118">
        <f t="shared" si="0"/>
        <v>1896400.6132540107</v>
      </c>
      <c r="J50" s="5">
        <f t="shared" si="1"/>
        <v>1.8043952226111569E-2</v>
      </c>
      <c r="K50"/>
      <c r="T50" s="111"/>
      <c r="U50" s="111"/>
      <c r="V50" s="111"/>
      <c r="W50" s="111"/>
      <c r="X50" s="111"/>
      <c r="Y50" s="111"/>
      <c r="Z50" s="111"/>
      <c r="AA50" s="111"/>
      <c r="AB50" s="111"/>
    </row>
    <row r="51" spans="1:28" x14ac:dyDescent="0.3">
      <c r="A51" s="116">
        <v>39083</v>
      </c>
      <c r="B51" s="41">
        <f>+'Purchased Power Model '!B51</f>
        <v>112093789.99999999</v>
      </c>
      <c r="C51" s="96">
        <f>+'Purchased Power Model '!C51</f>
        <v>573.1</v>
      </c>
      <c r="D51" s="96">
        <f>+'Purchased Power Model '!D51</f>
        <v>0</v>
      </c>
      <c r="E51" s="103">
        <f>+'Purchased Power Model '!E51</f>
        <v>6.2E-2</v>
      </c>
      <c r="F51" s="10">
        <f>+'Purchased Power Model '!F51</f>
        <v>31</v>
      </c>
      <c r="G51" s="10">
        <f>+'Purchased Power Model '!G51</f>
        <v>0</v>
      </c>
      <c r="H51" s="117">
        <f t="shared" si="2"/>
        <v>111734910.74337631</v>
      </c>
      <c r="I51" s="118">
        <f t="shared" si="0"/>
        <v>-358879.25662367046</v>
      </c>
      <c r="J51" s="5">
        <f t="shared" si="1"/>
        <v>-3.2015980245084989E-3</v>
      </c>
      <c r="K51"/>
      <c r="T51" s="111"/>
      <c r="U51" s="111"/>
      <c r="V51" s="111"/>
      <c r="W51" s="111"/>
      <c r="X51" s="111"/>
      <c r="Y51" s="111"/>
      <c r="Z51" s="111"/>
      <c r="AA51" s="111"/>
      <c r="AB51" s="111"/>
    </row>
    <row r="52" spans="1:28" x14ac:dyDescent="0.3">
      <c r="A52" s="116">
        <v>39114</v>
      </c>
      <c r="B52" s="41">
        <f>+'Purchased Power Model '!B52</f>
        <v>109302770</v>
      </c>
      <c r="C52" s="96">
        <f>+'Purchased Power Model '!C52</f>
        <v>693.5</v>
      </c>
      <c r="D52" s="96">
        <f>+'Purchased Power Model '!D52</f>
        <v>0</v>
      </c>
      <c r="E52" s="103">
        <f>+'Purchased Power Model '!E52</f>
        <v>6.2E-2</v>
      </c>
      <c r="F52" s="10">
        <f>+'Purchased Power Model '!F52</f>
        <v>28</v>
      </c>
      <c r="G52" s="10">
        <f>+'Purchased Power Model '!G52</f>
        <v>0</v>
      </c>
      <c r="H52" s="117">
        <f t="shared" si="2"/>
        <v>108201170.8899951</v>
      </c>
      <c r="I52" s="118">
        <f t="shared" si="0"/>
        <v>-1101599.1100049019</v>
      </c>
      <c r="J52" s="5">
        <f t="shared" si="1"/>
        <v>-1.00784189641754E-2</v>
      </c>
      <c r="K52"/>
      <c r="T52" s="111"/>
      <c r="U52" s="111"/>
      <c r="V52" s="111"/>
      <c r="W52" s="111"/>
      <c r="X52" s="111"/>
      <c r="Y52" s="111"/>
      <c r="Z52" s="111"/>
      <c r="AA52" s="111"/>
      <c r="AB52" s="111"/>
    </row>
    <row r="53" spans="1:28" x14ac:dyDescent="0.3">
      <c r="A53" s="116">
        <v>39142</v>
      </c>
      <c r="B53" s="41">
        <f>+'Purchased Power Model '!B53</f>
        <v>106781890</v>
      </c>
      <c r="C53" s="96">
        <f>+'Purchased Power Model '!C53</f>
        <v>477.9</v>
      </c>
      <c r="D53" s="96">
        <f>+'Purchased Power Model '!D53</f>
        <v>0</v>
      </c>
      <c r="E53" s="103">
        <f>+'Purchased Power Model '!E53</f>
        <v>6.2E-2</v>
      </c>
      <c r="F53" s="10">
        <f>+'Purchased Power Model '!F53</f>
        <v>31</v>
      </c>
      <c r="G53" s="10">
        <f>+'Purchased Power Model '!G53</f>
        <v>1</v>
      </c>
      <c r="H53" s="117">
        <f t="shared" si="2"/>
        <v>100816621.10322134</v>
      </c>
      <c r="I53" s="118">
        <f t="shared" si="0"/>
        <v>-5965268.896778658</v>
      </c>
      <c r="J53" s="5">
        <f t="shared" si="1"/>
        <v>-5.5864050512485386E-2</v>
      </c>
      <c r="K53"/>
      <c r="T53" s="111"/>
      <c r="U53" s="111"/>
      <c r="V53" s="111"/>
      <c r="W53" s="111"/>
      <c r="X53" s="111"/>
      <c r="Y53" s="111"/>
      <c r="Z53" s="111"/>
      <c r="AA53" s="111"/>
      <c r="AB53" s="111"/>
    </row>
    <row r="54" spans="1:28" x14ac:dyDescent="0.3">
      <c r="A54" s="116">
        <v>39173</v>
      </c>
      <c r="B54" s="41">
        <f>+'Purchased Power Model '!B54</f>
        <v>92267850</v>
      </c>
      <c r="C54" s="96">
        <f>+'Purchased Power Model '!C54</f>
        <v>280.39999999999998</v>
      </c>
      <c r="D54" s="96">
        <f>+'Purchased Power Model '!D54</f>
        <v>0</v>
      </c>
      <c r="E54" s="103">
        <f>+'Purchased Power Model '!E54</f>
        <v>5.9000000000000004E-2</v>
      </c>
      <c r="F54" s="10">
        <f>+'Purchased Power Model '!F54</f>
        <v>30</v>
      </c>
      <c r="G54" s="10">
        <f>+'Purchased Power Model '!G54</f>
        <v>1</v>
      </c>
      <c r="H54" s="117">
        <f t="shared" si="2"/>
        <v>90340151.328779668</v>
      </c>
      <c r="I54" s="118">
        <f t="shared" si="0"/>
        <v>-1927698.6712203324</v>
      </c>
      <c r="J54" s="5">
        <f t="shared" si="1"/>
        <v>-2.0892419962319837E-2</v>
      </c>
      <c r="K54"/>
      <c r="T54" s="111"/>
      <c r="U54" s="111"/>
      <c r="V54" s="111"/>
      <c r="W54" s="111"/>
      <c r="X54" s="111"/>
      <c r="Y54" s="111"/>
      <c r="Z54" s="111"/>
      <c r="AA54" s="111"/>
      <c r="AB54" s="111"/>
    </row>
    <row r="55" spans="1:28" x14ac:dyDescent="0.3">
      <c r="A55" s="116">
        <v>39203</v>
      </c>
      <c r="B55" s="41">
        <f>+'Purchased Power Model '!B55</f>
        <v>86029130</v>
      </c>
      <c r="C55" s="96">
        <f>+'Purchased Power Model '!C55</f>
        <v>72.8</v>
      </c>
      <c r="D55" s="96">
        <f>+'Purchased Power Model '!D55</f>
        <v>4.5</v>
      </c>
      <c r="E55" s="103">
        <f>+'Purchased Power Model '!E55</f>
        <v>5.9000000000000004E-2</v>
      </c>
      <c r="F55" s="10">
        <f>+'Purchased Power Model '!F55</f>
        <v>31</v>
      </c>
      <c r="G55" s="10">
        <f>+'Purchased Power Model '!G55</f>
        <v>1</v>
      </c>
      <c r="H55" s="117">
        <f t="shared" si="2"/>
        <v>85357006.586680621</v>
      </c>
      <c r="I55" s="118">
        <f t="shared" si="0"/>
        <v>-672123.41331937909</v>
      </c>
      <c r="J55" s="5">
        <f t="shared" si="1"/>
        <v>-7.8127421876680505E-3</v>
      </c>
      <c r="K55"/>
      <c r="T55" s="111"/>
      <c r="U55" s="111"/>
      <c r="V55" s="111"/>
      <c r="W55" s="111"/>
      <c r="X55" s="111"/>
      <c r="Y55" s="111"/>
      <c r="Z55" s="111"/>
      <c r="AA55" s="111"/>
      <c r="AB55" s="111"/>
    </row>
    <row r="56" spans="1:28" x14ac:dyDescent="0.3">
      <c r="A56" s="116">
        <v>39234</v>
      </c>
      <c r="B56" s="41">
        <f>+'Purchased Power Model '!B56</f>
        <v>96829929.999999985</v>
      </c>
      <c r="C56" s="96">
        <f>+'Purchased Power Model '!C56</f>
        <v>6.2</v>
      </c>
      <c r="D56" s="96">
        <f>+'Purchased Power Model '!D56</f>
        <v>32.799999999999997</v>
      </c>
      <c r="E56" s="103">
        <f>+'Purchased Power Model '!E56</f>
        <v>5.9000000000000004E-2</v>
      </c>
      <c r="F56" s="10">
        <f>+'Purchased Power Model '!F56</f>
        <v>30</v>
      </c>
      <c r="G56" s="10">
        <f>+'Purchased Power Model '!G56</f>
        <v>0</v>
      </c>
      <c r="H56" s="117">
        <f t="shared" si="2"/>
        <v>90967056.847404569</v>
      </c>
      <c r="I56" s="118">
        <f t="shared" si="0"/>
        <v>-5862873.1525954157</v>
      </c>
      <c r="J56" s="5">
        <f t="shared" si="1"/>
        <v>-6.054815027332372E-2</v>
      </c>
      <c r="K56"/>
      <c r="T56" s="111"/>
      <c r="U56" s="111"/>
      <c r="V56" s="111"/>
      <c r="W56" s="111"/>
      <c r="X56" s="111"/>
      <c r="Y56" s="111"/>
      <c r="Z56" s="111"/>
      <c r="AA56" s="111"/>
      <c r="AB56" s="111"/>
    </row>
    <row r="57" spans="1:28" x14ac:dyDescent="0.3">
      <c r="A57" s="116">
        <v>39264</v>
      </c>
      <c r="B57" s="41">
        <f>+'Purchased Power Model '!B57</f>
        <v>96919610</v>
      </c>
      <c r="C57" s="96">
        <f>+'Purchased Power Model '!C57</f>
        <v>8.6999999999999993</v>
      </c>
      <c r="D57" s="96">
        <f>+'Purchased Power Model '!D57</f>
        <v>41.6</v>
      </c>
      <c r="E57" s="103">
        <f>+'Purchased Power Model '!E57</f>
        <v>6.4000000000000001E-2</v>
      </c>
      <c r="F57" s="10">
        <f>+'Purchased Power Model '!F57</f>
        <v>31</v>
      </c>
      <c r="G57" s="10">
        <f>+'Purchased Power Model '!G57</f>
        <v>0</v>
      </c>
      <c r="H57" s="117">
        <f t="shared" si="2"/>
        <v>94539755.258482009</v>
      </c>
      <c r="I57" s="118">
        <f t="shared" si="0"/>
        <v>-2379854.7415179908</v>
      </c>
      <c r="J57" s="5">
        <f t="shared" si="1"/>
        <v>-2.4554935183065542E-2</v>
      </c>
      <c r="K57"/>
      <c r="T57" s="111"/>
      <c r="U57" s="111"/>
      <c r="V57" s="111"/>
      <c r="W57" s="111"/>
      <c r="X57" s="111"/>
      <c r="Y57" s="111"/>
      <c r="Z57" s="111"/>
      <c r="AA57" s="111"/>
      <c r="AB57" s="111"/>
    </row>
    <row r="58" spans="1:28" x14ac:dyDescent="0.3">
      <c r="A58" s="116">
        <v>39295</v>
      </c>
      <c r="B58" s="41">
        <f>+'Purchased Power Model '!B58</f>
        <v>103644560</v>
      </c>
      <c r="C58" s="96">
        <f>+'Purchased Power Model '!C58</f>
        <v>4</v>
      </c>
      <c r="D58" s="96">
        <f>+'Purchased Power Model '!D58</f>
        <v>87.8</v>
      </c>
      <c r="E58" s="103">
        <f>+'Purchased Power Model '!E58</f>
        <v>6.4000000000000001E-2</v>
      </c>
      <c r="F58" s="10">
        <f>+'Purchased Power Model '!F58</f>
        <v>31</v>
      </c>
      <c r="G58" s="10">
        <f>+'Purchased Power Model '!G58</f>
        <v>0</v>
      </c>
      <c r="H58" s="117">
        <f t="shared" si="2"/>
        <v>101011364.14725512</v>
      </c>
      <c r="I58" s="118">
        <f t="shared" si="0"/>
        <v>-2633195.8527448773</v>
      </c>
      <c r="J58" s="5">
        <f t="shared" si="1"/>
        <v>-2.5406020853818833E-2</v>
      </c>
      <c r="K58"/>
      <c r="T58" s="111"/>
      <c r="U58" s="111"/>
      <c r="V58" s="111"/>
      <c r="W58" s="111"/>
      <c r="X58" s="111"/>
      <c r="Y58" s="111"/>
      <c r="Z58" s="111"/>
      <c r="AA58" s="111"/>
      <c r="AB58" s="111"/>
    </row>
    <row r="59" spans="1:28" x14ac:dyDescent="0.3">
      <c r="A59" s="116">
        <v>39326</v>
      </c>
      <c r="B59" s="41">
        <f>+'Purchased Power Model '!B59</f>
        <v>87760000</v>
      </c>
      <c r="C59" s="96">
        <f>+'Purchased Power Model '!C59</f>
        <v>20.100000000000001</v>
      </c>
      <c r="D59" s="96">
        <f>+'Purchased Power Model '!D59</f>
        <v>12.3</v>
      </c>
      <c r="E59" s="103">
        <f>+'Purchased Power Model '!E59</f>
        <v>6.4000000000000001E-2</v>
      </c>
      <c r="F59" s="10">
        <f>+'Purchased Power Model '!F59</f>
        <v>30</v>
      </c>
      <c r="G59" s="10">
        <f>+'Purchased Power Model '!G59</f>
        <v>1</v>
      </c>
      <c r="H59" s="117">
        <f t="shared" si="2"/>
        <v>80920916.543747038</v>
      </c>
      <c r="I59" s="118">
        <f t="shared" si="0"/>
        <v>-6839083.4562529624</v>
      </c>
      <c r="J59" s="5">
        <f t="shared" si="1"/>
        <v>-7.7929392163319997E-2</v>
      </c>
      <c r="K59"/>
      <c r="T59" s="111"/>
      <c r="U59" s="111"/>
      <c r="V59" s="111"/>
      <c r="W59" s="111"/>
      <c r="X59" s="111"/>
      <c r="Y59" s="111"/>
      <c r="Z59" s="111"/>
      <c r="AA59" s="111"/>
      <c r="AB59" s="111"/>
    </row>
    <row r="60" spans="1:28" x14ac:dyDescent="0.3">
      <c r="A60" s="116">
        <v>39356</v>
      </c>
      <c r="B60" s="41">
        <f>+'Purchased Power Model '!B60</f>
        <v>88883380</v>
      </c>
      <c r="C60" s="96">
        <f>+'Purchased Power Model '!C60</f>
        <v>101.5</v>
      </c>
      <c r="D60" s="96">
        <f>+'Purchased Power Model '!D60</f>
        <v>0</v>
      </c>
      <c r="E60" s="103">
        <f>+'Purchased Power Model '!E60</f>
        <v>6.0999999999999999E-2</v>
      </c>
      <c r="F60" s="10">
        <f>+'Purchased Power Model '!F60</f>
        <v>31</v>
      </c>
      <c r="G60" s="10">
        <f>+'Purchased Power Model '!G60</f>
        <v>1</v>
      </c>
      <c r="H60" s="117">
        <f t="shared" si="2"/>
        <v>85631927.385206059</v>
      </c>
      <c r="I60" s="118">
        <f t="shared" si="0"/>
        <v>-3251452.6147939414</v>
      </c>
      <c r="J60" s="5">
        <f t="shared" si="1"/>
        <v>-3.6581109030664014E-2</v>
      </c>
      <c r="K60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28" x14ac:dyDescent="0.3">
      <c r="A61" s="116">
        <v>39387</v>
      </c>
      <c r="B61" s="41">
        <f>+'Purchased Power Model '!B61</f>
        <v>97788230</v>
      </c>
      <c r="C61" s="96">
        <f>+'Purchased Power Model '!C61</f>
        <v>314.10000000000002</v>
      </c>
      <c r="D61" s="96">
        <f>+'Purchased Power Model '!D61</f>
        <v>0</v>
      </c>
      <c r="E61" s="103">
        <f>+'Purchased Power Model '!E61</f>
        <v>6.0999999999999999E-2</v>
      </c>
      <c r="F61" s="10">
        <f>+'Purchased Power Model '!F61</f>
        <v>30</v>
      </c>
      <c r="G61" s="10">
        <f>+'Purchased Power Model '!G61</f>
        <v>1</v>
      </c>
      <c r="H61" s="117">
        <f t="shared" si="2"/>
        <v>91467364.555445999</v>
      </c>
      <c r="I61" s="118">
        <f t="shared" si="0"/>
        <v>-6320865.4445540011</v>
      </c>
      <c r="J61" s="5">
        <f t="shared" si="1"/>
        <v>-6.463830508593929E-2</v>
      </c>
      <c r="K61"/>
      <c r="T61" s="111"/>
      <c r="U61" s="111"/>
      <c r="V61" s="111"/>
      <c r="W61" s="111"/>
      <c r="X61" s="111"/>
      <c r="Y61" s="111"/>
      <c r="Z61" s="111"/>
      <c r="AA61" s="111"/>
      <c r="AB61" s="111"/>
    </row>
    <row r="62" spans="1:28" x14ac:dyDescent="0.3">
      <c r="A62" s="116">
        <v>39417</v>
      </c>
      <c r="B62" s="41">
        <f>+'Purchased Power Model '!B62</f>
        <v>112852450</v>
      </c>
      <c r="C62" s="96">
        <f>+'Purchased Power Model '!C62</f>
        <v>337.8</v>
      </c>
      <c r="D62" s="96">
        <f>+'Purchased Power Model '!D62</f>
        <v>0</v>
      </c>
      <c r="E62" s="103">
        <f>+'Purchased Power Model '!E62</f>
        <v>6.0999999999999999E-2</v>
      </c>
      <c r="F62" s="10">
        <f>+'Purchased Power Model '!F62</f>
        <v>31</v>
      </c>
      <c r="G62" s="10">
        <f>+'Purchased Power Model '!G62</f>
        <v>0</v>
      </c>
      <c r="H62" s="117">
        <f t="shared" si="2"/>
        <v>102288043.17046086</v>
      </c>
      <c r="I62" s="118">
        <f t="shared" si="0"/>
        <v>-10564406.829539135</v>
      </c>
      <c r="J62" s="5">
        <f t="shared" si="1"/>
        <v>-9.3612560733410177E-2</v>
      </c>
      <c r="K62"/>
      <c r="T62" s="111"/>
      <c r="U62" s="111"/>
      <c r="V62" s="111"/>
      <c r="W62" s="111"/>
      <c r="X62" s="111"/>
      <c r="Y62" s="111"/>
      <c r="Z62" s="111"/>
      <c r="AA62" s="111"/>
      <c r="AB62" s="111"/>
    </row>
    <row r="63" spans="1:28" x14ac:dyDescent="0.3">
      <c r="A63" s="116">
        <v>39448</v>
      </c>
      <c r="B63" s="41">
        <f>+'Purchased Power Model '!B63</f>
        <v>111423480</v>
      </c>
      <c r="C63" s="96">
        <f>+'Purchased Power Model '!C63</f>
        <v>432.8</v>
      </c>
      <c r="D63" s="96">
        <f>+'Purchased Power Model '!D63</f>
        <v>0</v>
      </c>
      <c r="E63" s="103">
        <f>+'Purchased Power Model '!E63</f>
        <v>6.6000000000000003E-2</v>
      </c>
      <c r="F63" s="10">
        <f>+'Purchased Power Model '!F63</f>
        <v>31</v>
      </c>
      <c r="G63" s="10">
        <f>+'Purchased Power Model '!G63</f>
        <v>0</v>
      </c>
      <c r="H63" s="117">
        <f t="shared" si="2"/>
        <v>105543224.57915238</v>
      </c>
      <c r="I63" s="118">
        <f t="shared" si="0"/>
        <v>-5880255.4208476245</v>
      </c>
      <c r="J63" s="5">
        <f t="shared" si="1"/>
        <v>-5.2773934370454273E-2</v>
      </c>
      <c r="K63"/>
      <c r="T63" s="111"/>
      <c r="U63" s="111"/>
      <c r="V63" s="111"/>
      <c r="W63" s="111"/>
      <c r="X63" s="111"/>
      <c r="Y63" s="111"/>
      <c r="Z63" s="111"/>
      <c r="AA63" s="111"/>
      <c r="AB63" s="111"/>
    </row>
    <row r="64" spans="1:28" x14ac:dyDescent="0.3">
      <c r="A64" s="116">
        <v>39479</v>
      </c>
      <c r="B64" s="41">
        <f>+'Purchased Power Model '!B64</f>
        <v>106527560</v>
      </c>
      <c r="C64" s="96">
        <f>+'Purchased Power Model '!C64</f>
        <v>317.60000000000002</v>
      </c>
      <c r="D64" s="96">
        <f>+'Purchased Power Model '!D64</f>
        <v>0</v>
      </c>
      <c r="E64" s="103">
        <f>+'Purchased Power Model '!E64</f>
        <v>6.6000000000000003E-2</v>
      </c>
      <c r="F64" s="10">
        <f>+'Purchased Power Model '!F64</f>
        <v>29</v>
      </c>
      <c r="G64" s="10">
        <f>+'Purchased Power Model '!G64</f>
        <v>0</v>
      </c>
      <c r="H64" s="117">
        <f t="shared" si="2"/>
        <v>95238753.428406522</v>
      </c>
      <c r="I64" s="118">
        <f t="shared" si="0"/>
        <v>-11288806.571593478</v>
      </c>
      <c r="J64" s="5">
        <f t="shared" si="1"/>
        <v>-0.10597076072702198</v>
      </c>
      <c r="K64"/>
      <c r="T64" s="111"/>
      <c r="U64" s="111"/>
      <c r="V64" s="111"/>
      <c r="W64" s="111"/>
      <c r="X64" s="111"/>
      <c r="Y64" s="111"/>
      <c r="Z64" s="111"/>
      <c r="AA64" s="111"/>
      <c r="AB64" s="111"/>
    </row>
    <row r="65" spans="1:28" x14ac:dyDescent="0.3">
      <c r="A65" s="116">
        <v>39508</v>
      </c>
      <c r="B65" s="41">
        <f>+'Purchased Power Model '!B65</f>
        <v>105633899.99999999</v>
      </c>
      <c r="C65" s="96">
        <f>+'Purchased Power Model '!C65</f>
        <v>430</v>
      </c>
      <c r="D65" s="96">
        <f>+'Purchased Power Model '!D65</f>
        <v>0</v>
      </c>
      <c r="E65" s="103">
        <f>+'Purchased Power Model '!E65</f>
        <v>6.6000000000000003E-2</v>
      </c>
      <c r="F65" s="10">
        <f>+'Purchased Power Model '!F65</f>
        <v>31</v>
      </c>
      <c r="G65" s="10">
        <f>+'Purchased Power Model '!G65</f>
        <v>1</v>
      </c>
      <c r="H65" s="117">
        <f t="shared" si="2"/>
        <v>98382377.432315797</v>
      </c>
      <c r="I65" s="118">
        <f t="shared" si="0"/>
        <v>-7251522.5676841885</v>
      </c>
      <c r="J65" s="5">
        <f t="shared" si="1"/>
        <v>-6.8647683818207877E-2</v>
      </c>
      <c r="K65"/>
      <c r="T65" s="111"/>
      <c r="U65" s="111"/>
      <c r="V65" s="111"/>
      <c r="W65" s="111"/>
      <c r="X65" s="111"/>
      <c r="Y65" s="111"/>
      <c r="Z65" s="111"/>
      <c r="AA65" s="111"/>
      <c r="AB65" s="111"/>
    </row>
    <row r="66" spans="1:28" x14ac:dyDescent="0.3">
      <c r="A66" s="116">
        <v>39539</v>
      </c>
      <c r="B66" s="41">
        <f>+'Purchased Power Model '!B66</f>
        <v>86147429.999999985</v>
      </c>
      <c r="C66" s="96">
        <f>+'Purchased Power Model '!C66</f>
        <v>144.6</v>
      </c>
      <c r="D66" s="96">
        <f>+'Purchased Power Model '!D66</f>
        <v>0</v>
      </c>
      <c r="E66" s="103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17">
        <f t="shared" si="2"/>
        <v>82993879.524676964</v>
      </c>
      <c r="I66" s="118">
        <f t="shared" si="0"/>
        <v>-3153550.4753230214</v>
      </c>
      <c r="J66" s="5">
        <f t="shared" si="1"/>
        <v>-3.6606437073317476E-2</v>
      </c>
      <c r="K66"/>
      <c r="T66" s="111"/>
      <c r="U66" s="111"/>
      <c r="V66" s="111"/>
      <c r="W66" s="111"/>
      <c r="X66" s="111"/>
      <c r="Y66" s="111"/>
      <c r="Z66" s="111"/>
      <c r="AA66" s="111"/>
      <c r="AB66" s="111"/>
    </row>
    <row r="67" spans="1:28" x14ac:dyDescent="0.3">
      <c r="A67" s="116">
        <v>39569</v>
      </c>
      <c r="B67" s="41">
        <f>+'Purchased Power Model '!B67</f>
        <v>82776310</v>
      </c>
      <c r="C67" s="96">
        <f>+'Purchased Power Model '!C67</f>
        <v>151</v>
      </c>
      <c r="D67" s="96">
        <f>+'Purchased Power Model '!D67</f>
        <v>0</v>
      </c>
      <c r="E67" s="103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17">
        <f t="shared" si="2"/>
        <v>86064069.043146178</v>
      </c>
      <c r="I67" s="118">
        <f t="shared" ref="I67:I130" si="3">H67-B67</f>
        <v>3287759.0431461781</v>
      </c>
      <c r="J67" s="5">
        <f t="shared" ref="J67:J130" si="4">I67/B67</f>
        <v>3.9718598753027023E-2</v>
      </c>
      <c r="K67"/>
      <c r="T67" s="111"/>
      <c r="U67" s="111"/>
      <c r="V67" s="111"/>
      <c r="W67" s="111"/>
      <c r="X67" s="111"/>
      <c r="Y67" s="111"/>
      <c r="Z67" s="111"/>
      <c r="AA67" s="111"/>
      <c r="AB67" s="111"/>
    </row>
    <row r="68" spans="1:28" x14ac:dyDescent="0.3">
      <c r="A68" s="116">
        <v>39600</v>
      </c>
      <c r="B68" s="41">
        <f>+'Purchased Power Model '!B68</f>
        <v>90692793</v>
      </c>
      <c r="C68" s="96">
        <f>+'Purchased Power Model '!C68</f>
        <v>15.5</v>
      </c>
      <c r="D68" s="96">
        <f>+'Purchased Power Model '!D68</f>
        <v>23.6</v>
      </c>
      <c r="E68" s="103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17">
        <f t="shared" ref="H68:H131" si="5">$M$18+C68*$M$19+D68*$M$20+E68*$M$21+F68*$M$22+G68*$M$23</f>
        <v>88194492.795564666</v>
      </c>
      <c r="I68" s="118">
        <f t="shared" si="3"/>
        <v>-2498300.2044353336</v>
      </c>
      <c r="J68" s="5">
        <f t="shared" si="4"/>
        <v>-2.7546843820713887E-2</v>
      </c>
      <c r="K68"/>
      <c r="T68" s="111"/>
      <c r="U68" s="111"/>
      <c r="V68" s="111"/>
      <c r="W68" s="111"/>
      <c r="X68" s="111"/>
      <c r="Y68" s="111"/>
      <c r="Z68" s="111"/>
      <c r="AA68" s="111"/>
      <c r="AB68" s="111"/>
    </row>
    <row r="69" spans="1:28" x14ac:dyDescent="0.3">
      <c r="A69" s="116">
        <v>39630</v>
      </c>
      <c r="B69" s="41">
        <f>+'Purchased Power Model '!B69</f>
        <v>98868440</v>
      </c>
      <c r="C69" s="96">
        <f>+'Purchased Power Model '!C69</f>
        <v>1</v>
      </c>
      <c r="D69" s="96">
        <f>+'Purchased Power Model '!D69</f>
        <v>61.4</v>
      </c>
      <c r="E69" s="103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17">
        <f t="shared" si="5"/>
        <v>96595700.580686375</v>
      </c>
      <c r="I69" s="118">
        <f t="shared" si="3"/>
        <v>-2272739.4193136245</v>
      </c>
      <c r="J69" s="5">
        <f t="shared" si="4"/>
        <v>-2.2987511680305914E-2</v>
      </c>
      <c r="K69"/>
      <c r="T69" s="111"/>
      <c r="U69" s="111"/>
      <c r="V69" s="111"/>
      <c r="W69" s="111"/>
      <c r="X69" s="111"/>
      <c r="Y69" s="111"/>
      <c r="Z69" s="111"/>
      <c r="AA69" s="111"/>
      <c r="AB69" s="111"/>
    </row>
    <row r="70" spans="1:28" x14ac:dyDescent="0.3">
      <c r="A70" s="116">
        <v>39661</v>
      </c>
      <c r="B70" s="41">
        <f>+'Purchased Power Model '!B70</f>
        <v>93432320</v>
      </c>
      <c r="C70" s="96">
        <f>+'Purchased Power Model '!C70</f>
        <v>13.8</v>
      </c>
      <c r="D70" s="96">
        <f>+'Purchased Power Model '!D70</f>
        <v>29.9</v>
      </c>
      <c r="E70" s="103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17">
        <f t="shared" si="5"/>
        <v>92573438.76963757</v>
      </c>
      <c r="I70" s="118">
        <f t="shared" si="3"/>
        <v>-858881.23036243021</v>
      </c>
      <c r="J70" s="5">
        <f t="shared" si="4"/>
        <v>-9.1925495413410496E-3</v>
      </c>
      <c r="K70"/>
      <c r="T70" s="111"/>
      <c r="U70" s="111"/>
      <c r="V70" s="111"/>
      <c r="W70" s="111"/>
      <c r="X70" s="111"/>
      <c r="Y70" s="111"/>
      <c r="Z70" s="111"/>
      <c r="AA70" s="111"/>
      <c r="AB70" s="111"/>
    </row>
    <row r="71" spans="1:28" x14ac:dyDescent="0.3">
      <c r="A71" s="116">
        <v>39692</v>
      </c>
      <c r="B71" s="41">
        <f>+'Purchased Power Model '!B71</f>
        <v>86855072</v>
      </c>
      <c r="C71" s="96">
        <f>+'Purchased Power Model '!C71</f>
        <v>51.6</v>
      </c>
      <c r="D71" s="96">
        <f>+'Purchased Power Model '!D71</f>
        <v>15.1</v>
      </c>
      <c r="E71" s="103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17">
        <f t="shared" si="5"/>
        <v>82119272.932881936</v>
      </c>
      <c r="I71" s="118">
        <f t="shared" si="3"/>
        <v>-4735799.0671180636</v>
      </c>
      <c r="J71" s="5">
        <f t="shared" si="4"/>
        <v>-5.45253024154774E-2</v>
      </c>
      <c r="K71"/>
      <c r="T71" s="111"/>
      <c r="U71" s="111"/>
      <c r="V71" s="111"/>
      <c r="W71" s="111"/>
      <c r="X71" s="111"/>
      <c r="Y71" s="111"/>
      <c r="Z71" s="111"/>
      <c r="AA71" s="111"/>
      <c r="AB71" s="111"/>
    </row>
    <row r="72" spans="1:28" x14ac:dyDescent="0.3">
      <c r="A72" s="116">
        <v>39722</v>
      </c>
      <c r="B72" s="41">
        <f>+'Purchased Power Model '!B72</f>
        <v>88294618</v>
      </c>
      <c r="C72" s="96">
        <f>+'Purchased Power Model '!C72</f>
        <v>203.1</v>
      </c>
      <c r="D72" s="96">
        <f>+'Purchased Power Model '!D72</f>
        <v>0</v>
      </c>
      <c r="E72" s="103">
        <f>+'Purchased Power Model '!E72</f>
        <v>0.08</v>
      </c>
      <c r="F72" s="10">
        <f>+'Purchased Power Model '!F72</f>
        <v>31</v>
      </c>
      <c r="G72" s="10">
        <f>+'Purchased Power Model '!G72</f>
        <v>1</v>
      </c>
      <c r="H72" s="117">
        <f t="shared" si="5"/>
        <v>87453125.582749069</v>
      </c>
      <c r="I72" s="118">
        <f t="shared" si="3"/>
        <v>-841492.41725093126</v>
      </c>
      <c r="J72" s="5">
        <f t="shared" si="4"/>
        <v>-9.5305063469545929E-3</v>
      </c>
      <c r="K72"/>
      <c r="T72" s="111"/>
      <c r="U72" s="111"/>
      <c r="V72" s="111"/>
      <c r="W72" s="111"/>
      <c r="X72" s="111"/>
      <c r="Y72" s="111"/>
      <c r="Z72" s="111"/>
      <c r="AA72" s="111"/>
      <c r="AB72" s="111"/>
    </row>
    <row r="73" spans="1:28" x14ac:dyDescent="0.3">
      <c r="A73" s="116">
        <v>39753</v>
      </c>
      <c r="B73" s="41">
        <f>+'Purchased Power Model '!B73</f>
        <v>95870835</v>
      </c>
      <c r="C73" s="96">
        <f>+'Purchased Power Model '!C73</f>
        <v>268.8</v>
      </c>
      <c r="D73" s="96">
        <f>+'Purchased Power Model '!D73</f>
        <v>0</v>
      </c>
      <c r="E73" s="103">
        <f>+'Purchased Power Model '!E73</f>
        <v>0.08</v>
      </c>
      <c r="F73" s="10">
        <f>+'Purchased Power Model '!F73</f>
        <v>30</v>
      </c>
      <c r="G73" s="10">
        <f>+'Purchased Power Model '!G73</f>
        <v>1</v>
      </c>
      <c r="H73" s="117">
        <f t="shared" si="5"/>
        <v>87314879.828005552</v>
      </c>
      <c r="I73" s="118">
        <f t="shared" si="3"/>
        <v>-8555955.1719944477</v>
      </c>
      <c r="J73" s="5">
        <f t="shared" si="4"/>
        <v>-8.9244608873954703E-2</v>
      </c>
      <c r="K73"/>
      <c r="T73" s="111"/>
      <c r="U73" s="111"/>
      <c r="V73" s="111"/>
      <c r="W73" s="111"/>
      <c r="X73" s="111"/>
      <c r="Y73" s="111"/>
      <c r="Z73" s="111"/>
      <c r="AA73" s="111"/>
      <c r="AB73" s="111"/>
    </row>
    <row r="74" spans="1:28" x14ac:dyDescent="0.3">
      <c r="A74" s="116">
        <v>39783</v>
      </c>
      <c r="B74" s="41">
        <f>+'Purchased Power Model '!B74</f>
        <v>112359168</v>
      </c>
      <c r="C74" s="96">
        <f>+'Purchased Power Model '!C74</f>
        <v>378.9</v>
      </c>
      <c r="D74" s="96">
        <f>+'Purchased Power Model '!D74</f>
        <v>0</v>
      </c>
      <c r="E74" s="103">
        <f>+'Purchased Power Model '!E74</f>
        <v>0.08</v>
      </c>
      <c r="F74" s="10">
        <f>+'Purchased Power Model '!F74</f>
        <v>31</v>
      </c>
      <c r="G74" s="10">
        <f>+'Purchased Power Model '!G74</f>
        <v>0</v>
      </c>
      <c r="H74" s="117">
        <f t="shared" si="5"/>
        <v>101649011.16404541</v>
      </c>
      <c r="I74" s="118">
        <f t="shared" si="3"/>
        <v>-10710156.835954592</v>
      </c>
      <c r="J74" s="5">
        <f t="shared" si="4"/>
        <v>-9.5320720387984642E-2</v>
      </c>
      <c r="K74"/>
      <c r="T74" s="111"/>
      <c r="U74" s="111"/>
      <c r="V74" s="111"/>
      <c r="W74" s="111"/>
      <c r="X74" s="111"/>
      <c r="Y74" s="111"/>
      <c r="Z74" s="111"/>
      <c r="AA74" s="111"/>
      <c r="AB74" s="111"/>
    </row>
    <row r="75" spans="1:28" x14ac:dyDescent="0.3">
      <c r="A75" s="116">
        <v>39814</v>
      </c>
      <c r="B75" s="41">
        <f>+'Purchased Power Model '!B75</f>
        <v>119321706</v>
      </c>
      <c r="C75" s="96">
        <f>+'Purchased Power Model '!C75</f>
        <v>684.3</v>
      </c>
      <c r="D75" s="96">
        <f>+'Purchased Power Model '!D75</f>
        <v>0</v>
      </c>
      <c r="E75" s="103">
        <f>+'Purchased Power Model '!E75</f>
        <v>8.3000000000000004E-2</v>
      </c>
      <c r="F75" s="10">
        <f>+'Purchased Power Model '!F75</f>
        <v>31</v>
      </c>
      <c r="G75" s="10">
        <f>+'Purchased Power Model '!G75</f>
        <v>0</v>
      </c>
      <c r="H75" s="117">
        <f t="shared" si="5"/>
        <v>113703296.58220714</v>
      </c>
      <c r="I75" s="118">
        <f t="shared" si="3"/>
        <v>-5618409.4177928567</v>
      </c>
      <c r="J75" s="5">
        <f t="shared" si="4"/>
        <v>-4.7086231048296082E-2</v>
      </c>
      <c r="K75"/>
      <c r="T75" s="120"/>
      <c r="U75" s="120"/>
      <c r="V75" s="120"/>
      <c r="W75" s="120"/>
      <c r="X75" s="120"/>
      <c r="Y75" s="120"/>
      <c r="Z75" s="120"/>
      <c r="AA75" s="120"/>
      <c r="AB75" s="120"/>
    </row>
    <row r="76" spans="1:28" x14ac:dyDescent="0.3">
      <c r="A76" s="116">
        <v>39845</v>
      </c>
      <c r="B76" s="41">
        <f>+'Purchased Power Model '!B76</f>
        <v>99385016</v>
      </c>
      <c r="C76" s="96">
        <f>+'Purchased Power Model '!C76</f>
        <v>595.29999999999995</v>
      </c>
      <c r="D76" s="96">
        <f>+'Purchased Power Model '!D76</f>
        <v>0</v>
      </c>
      <c r="E76" s="103">
        <f>+'Purchased Power Model '!E76</f>
        <v>8.3000000000000004E-2</v>
      </c>
      <c r="F76" s="10">
        <f>+'Purchased Power Model '!F76</f>
        <v>28</v>
      </c>
      <c r="G76" s="10">
        <f>+'Purchased Power Model '!G76</f>
        <v>0</v>
      </c>
      <c r="H76" s="117">
        <f t="shared" si="5"/>
        <v>101654313.67578623</v>
      </c>
      <c r="I76" s="118">
        <f t="shared" si="3"/>
        <v>2269297.675786227</v>
      </c>
      <c r="J76" s="5">
        <f t="shared" si="4"/>
        <v>2.2833398505326265E-2</v>
      </c>
      <c r="K76"/>
      <c r="T76" s="111"/>
      <c r="U76" s="111"/>
      <c r="V76" s="111"/>
      <c r="W76" s="111"/>
      <c r="X76" s="111"/>
      <c r="Y76" s="111"/>
      <c r="Z76" s="111"/>
      <c r="AA76" s="111"/>
      <c r="AB76" s="111"/>
    </row>
    <row r="77" spans="1:28" x14ac:dyDescent="0.3">
      <c r="A77" s="116">
        <v>39873</v>
      </c>
      <c r="B77" s="41">
        <f>+'Purchased Power Model '!B77</f>
        <v>100852310</v>
      </c>
      <c r="C77" s="96">
        <f>+'Purchased Power Model '!C77</f>
        <v>442.2</v>
      </c>
      <c r="D77" s="96">
        <f>+'Purchased Power Model '!D77</f>
        <v>0</v>
      </c>
      <c r="E77" s="103">
        <f>+'Purchased Power Model '!E77</f>
        <v>8.3000000000000004E-2</v>
      </c>
      <c r="F77" s="10">
        <f>+'Purchased Power Model '!F77</f>
        <v>31</v>
      </c>
      <c r="G77" s="10">
        <f>+'Purchased Power Model '!G77</f>
        <v>1</v>
      </c>
      <c r="H77" s="117">
        <f t="shared" si="5"/>
        <v>96811324.017068729</v>
      </c>
      <c r="I77" s="118">
        <f t="shared" si="3"/>
        <v>-4040985.9829312712</v>
      </c>
      <c r="J77" s="5">
        <f t="shared" si="4"/>
        <v>-4.0068353247746838E-2</v>
      </c>
      <c r="K77"/>
      <c r="T77" s="111"/>
      <c r="U77" s="111"/>
      <c r="V77" s="111"/>
      <c r="W77" s="111"/>
      <c r="X77" s="111"/>
      <c r="Y77" s="111"/>
      <c r="Z77" s="111"/>
      <c r="AA77" s="111"/>
      <c r="AB77" s="111"/>
    </row>
    <row r="78" spans="1:28" x14ac:dyDescent="0.3">
      <c r="A78" s="116">
        <v>39904</v>
      </c>
      <c r="B78" s="41">
        <f>+'Purchased Power Model '!B78</f>
        <v>86741668</v>
      </c>
      <c r="C78" s="96">
        <f>+'Purchased Power Model '!C78</f>
        <v>313.8</v>
      </c>
      <c r="D78" s="96">
        <f>+'Purchased Power Model '!D78</f>
        <v>0</v>
      </c>
      <c r="E78" s="103">
        <f>+'Purchased Power Model '!E78</f>
        <v>8.8000000000000009E-2</v>
      </c>
      <c r="F78" s="10">
        <f>+'Purchased Power Model '!F78</f>
        <v>30</v>
      </c>
      <c r="G78" s="10">
        <f>+'Purchased Power Model '!G78</f>
        <v>1</v>
      </c>
      <c r="H78" s="117">
        <f t="shared" si="5"/>
        <v>88172019.142679647</v>
      </c>
      <c r="I78" s="118">
        <f t="shared" si="3"/>
        <v>1430351.1426796466</v>
      </c>
      <c r="J78" s="5">
        <f t="shared" si="4"/>
        <v>1.6489781389489151E-2</v>
      </c>
      <c r="K78"/>
      <c r="T78" s="111"/>
      <c r="U78" s="111"/>
      <c r="V78" s="111"/>
      <c r="W78" s="111"/>
      <c r="X78" s="111"/>
      <c r="Y78" s="111"/>
      <c r="Z78" s="111"/>
      <c r="AA78" s="111"/>
      <c r="AB78" s="111"/>
    </row>
    <row r="79" spans="1:28" x14ac:dyDescent="0.3">
      <c r="A79" s="116">
        <v>39934</v>
      </c>
      <c r="B79" s="41">
        <f>+'Purchased Power Model '!B79</f>
        <v>80591893.384615391</v>
      </c>
      <c r="C79" s="96">
        <f>+'Purchased Power Model '!C79</f>
        <v>170.1</v>
      </c>
      <c r="D79" s="96">
        <f>+'Purchased Power Model '!D79</f>
        <v>0</v>
      </c>
      <c r="E79" s="103">
        <f>+'Purchased Power Model '!E79</f>
        <v>8.8000000000000009E-2</v>
      </c>
      <c r="F79" s="10">
        <f>+'Purchased Power Model '!F79</f>
        <v>31</v>
      </c>
      <c r="G79" s="10">
        <f>+'Purchased Power Model '!G79</f>
        <v>1</v>
      </c>
      <c r="H79" s="117">
        <f t="shared" si="5"/>
        <v>85138397.857608929</v>
      </c>
      <c r="I79" s="118">
        <f t="shared" si="3"/>
        <v>4546504.4729935378</v>
      </c>
      <c r="J79" s="5">
        <f t="shared" si="4"/>
        <v>5.6413918100867495E-2</v>
      </c>
      <c r="K79"/>
      <c r="T79" s="111"/>
      <c r="U79" s="111"/>
      <c r="V79" s="111"/>
      <c r="W79" s="111"/>
      <c r="X79" s="111"/>
      <c r="Y79" s="111"/>
      <c r="Z79" s="111"/>
      <c r="AA79" s="111"/>
      <c r="AB79" s="111"/>
    </row>
    <row r="80" spans="1:28" x14ac:dyDescent="0.3">
      <c r="A80" s="116">
        <v>39965</v>
      </c>
      <c r="B80" s="41">
        <f>+'Purchased Power Model '!B80</f>
        <v>84198050.923076928</v>
      </c>
      <c r="C80" s="96">
        <f>+'Purchased Power Model '!C80</f>
        <v>57.9</v>
      </c>
      <c r="D80" s="96">
        <f>+'Purchased Power Model '!D80</f>
        <v>26.3</v>
      </c>
      <c r="E80" s="103">
        <f>+'Purchased Power Model '!E80</f>
        <v>8.8000000000000009E-2</v>
      </c>
      <c r="F80" s="10">
        <f>+'Purchased Power Model '!F80</f>
        <v>30</v>
      </c>
      <c r="G80" s="10">
        <f>+'Purchased Power Model '!G80</f>
        <v>0</v>
      </c>
      <c r="H80" s="117">
        <f t="shared" si="5"/>
        <v>88605695.796504632</v>
      </c>
      <c r="I80" s="118">
        <f t="shared" si="3"/>
        <v>4407644.873427704</v>
      </c>
      <c r="J80" s="5">
        <f t="shared" si="4"/>
        <v>5.2348538061225601E-2</v>
      </c>
      <c r="K80"/>
      <c r="T80" s="111"/>
      <c r="U80" s="111"/>
      <c r="V80" s="111"/>
      <c r="W80" s="111"/>
      <c r="X80" s="111"/>
      <c r="Y80" s="111"/>
      <c r="Z80" s="111"/>
      <c r="AA80" s="111"/>
      <c r="AB80" s="111"/>
    </row>
    <row r="81" spans="1:28" x14ac:dyDescent="0.3">
      <c r="A81" s="116">
        <v>39995</v>
      </c>
      <c r="B81" s="41">
        <f>+'Purchased Power Model '!B81</f>
        <v>87831701.059230775</v>
      </c>
      <c r="C81" s="96">
        <f>+'Purchased Power Model '!C81</f>
        <v>16.8</v>
      </c>
      <c r="D81" s="96">
        <f>+'Purchased Power Model '!D81</f>
        <v>25.6</v>
      </c>
      <c r="E81" s="103">
        <f>+'Purchased Power Model '!E81</f>
        <v>9.5000000000000001E-2</v>
      </c>
      <c r="F81" s="10">
        <f>+'Purchased Power Model '!F81</f>
        <v>31</v>
      </c>
      <c r="G81" s="10">
        <f>+'Purchased Power Model '!G81</f>
        <v>0</v>
      </c>
      <c r="H81" s="117">
        <f t="shared" si="5"/>
        <v>88792163.118976027</v>
      </c>
      <c r="I81" s="118">
        <f t="shared" si="3"/>
        <v>960462.05974525213</v>
      </c>
      <c r="J81" s="5">
        <f t="shared" si="4"/>
        <v>1.0935255131829321E-2</v>
      </c>
      <c r="K81"/>
      <c r="T81" s="111"/>
      <c r="U81" s="111"/>
      <c r="V81" s="111"/>
      <c r="W81" s="111"/>
      <c r="X81" s="111"/>
      <c r="Y81" s="111"/>
      <c r="Z81" s="111"/>
      <c r="AA81" s="111"/>
      <c r="AB81" s="111"/>
    </row>
    <row r="82" spans="1:28" x14ac:dyDescent="0.3">
      <c r="A82" s="116">
        <v>40026</v>
      </c>
      <c r="B82" s="41">
        <f>+'Purchased Power Model '!B82</f>
        <v>97879755</v>
      </c>
      <c r="C82" s="96">
        <f>+'Purchased Power Model '!C82</f>
        <v>13.1</v>
      </c>
      <c r="D82" s="96">
        <f>+'Purchased Power Model '!D82</f>
        <v>77.7</v>
      </c>
      <c r="E82" s="103">
        <f>+'Purchased Power Model '!E82</f>
        <v>9.5000000000000001E-2</v>
      </c>
      <c r="F82" s="10">
        <f>+'Purchased Power Model '!F82</f>
        <v>31</v>
      </c>
      <c r="G82" s="10">
        <f>+'Purchased Power Model '!G82</f>
        <v>0</v>
      </c>
      <c r="H82" s="117">
        <f t="shared" si="5"/>
        <v>96155305.624373317</v>
      </c>
      <c r="I82" s="118">
        <f t="shared" si="3"/>
        <v>-1724449.3756266832</v>
      </c>
      <c r="J82" s="5">
        <f t="shared" si="4"/>
        <v>-1.7618039354784686E-2</v>
      </c>
      <c r="K82"/>
      <c r="T82" s="111"/>
      <c r="U82" s="111"/>
      <c r="V82" s="111"/>
      <c r="W82" s="111"/>
      <c r="X82" s="111"/>
      <c r="Y82" s="111"/>
      <c r="Z82" s="111"/>
      <c r="AA82" s="111"/>
      <c r="AB82" s="111"/>
    </row>
    <row r="83" spans="1:28" x14ac:dyDescent="0.3">
      <c r="A83" s="116">
        <v>40057</v>
      </c>
      <c r="B83" s="41">
        <f>+'Purchased Power Model '!B83</f>
        <v>83907661.687692314</v>
      </c>
      <c r="C83" s="96">
        <f>+'Purchased Power Model '!C83</f>
        <v>64.8</v>
      </c>
      <c r="D83" s="96">
        <f>+'Purchased Power Model '!D83</f>
        <v>9</v>
      </c>
      <c r="E83" s="103">
        <f>+'Purchased Power Model '!E83</f>
        <v>9.5000000000000001E-2</v>
      </c>
      <c r="F83" s="10">
        <f>+'Purchased Power Model '!F83</f>
        <v>30</v>
      </c>
      <c r="G83" s="10">
        <f>+'Purchased Power Model '!G83</f>
        <v>1</v>
      </c>
      <c r="H83" s="117">
        <f t="shared" si="5"/>
        <v>78493192.847960621</v>
      </c>
      <c r="I83" s="118">
        <f t="shared" si="3"/>
        <v>-5414468.8397316933</v>
      </c>
      <c r="J83" s="5">
        <f t="shared" si="4"/>
        <v>-6.4528896775655167E-2</v>
      </c>
      <c r="K83"/>
      <c r="T83" s="111"/>
      <c r="U83" s="111"/>
      <c r="V83" s="111"/>
      <c r="W83" s="111"/>
      <c r="X83" s="111"/>
      <c r="Y83" s="111"/>
      <c r="Z83" s="111"/>
      <c r="AA83" s="111"/>
      <c r="AB83" s="111"/>
    </row>
    <row r="84" spans="1:28" x14ac:dyDescent="0.3">
      <c r="A84" s="116">
        <v>40087</v>
      </c>
      <c r="B84" s="41">
        <f>+'Purchased Power Model '!B84</f>
        <v>88097164.336923078</v>
      </c>
      <c r="C84" s="96">
        <f>+'Purchased Power Model '!C84</f>
        <v>287.89999999999998</v>
      </c>
      <c r="D84" s="96">
        <f>+'Purchased Power Model '!D84</f>
        <v>0</v>
      </c>
      <c r="E84" s="103">
        <f>+'Purchased Power Model '!E84</f>
        <v>0.1</v>
      </c>
      <c r="F84" s="10">
        <f>+'Purchased Power Model '!F84</f>
        <v>31</v>
      </c>
      <c r="G84" s="10">
        <f>+'Purchased Power Model '!G84</f>
        <v>1</v>
      </c>
      <c r="H84" s="117">
        <f t="shared" si="5"/>
        <v>88469554.420679748</v>
      </c>
      <c r="I84" s="118">
        <f t="shared" si="3"/>
        <v>372390.08375667036</v>
      </c>
      <c r="J84" s="5">
        <f t="shared" si="4"/>
        <v>4.2270382544037808E-3</v>
      </c>
      <c r="K84"/>
      <c r="T84" s="111"/>
      <c r="U84" s="111"/>
      <c r="V84" s="111"/>
      <c r="W84" s="111"/>
      <c r="X84" s="111"/>
      <c r="Y84" s="111"/>
      <c r="Z84" s="111"/>
      <c r="AA84" s="111"/>
      <c r="AB84" s="111"/>
    </row>
    <row r="85" spans="1:28" x14ac:dyDescent="0.3">
      <c r="A85" s="116">
        <v>40118</v>
      </c>
      <c r="B85" s="41">
        <f>+'Purchased Power Model '!B85</f>
        <v>89873866.688461557</v>
      </c>
      <c r="C85" s="96">
        <f>+'Purchased Power Model '!C85</f>
        <v>347.4</v>
      </c>
      <c r="D85" s="96">
        <f>+'Purchased Power Model '!D85</f>
        <v>0</v>
      </c>
      <c r="E85" s="103">
        <f>+'Purchased Power Model '!E85</f>
        <v>0.1</v>
      </c>
      <c r="F85" s="10">
        <f>+'Purchased Power Model '!F85</f>
        <v>30</v>
      </c>
      <c r="G85" s="10">
        <f>+'Purchased Power Model '!G85</f>
        <v>1</v>
      </c>
      <c r="H85" s="117">
        <f t="shared" si="5"/>
        <v>88079185.901233047</v>
      </c>
      <c r="I85" s="118">
        <f t="shared" si="3"/>
        <v>-1794680.7872285098</v>
      </c>
      <c r="J85" s="5">
        <f t="shared" si="4"/>
        <v>-1.9968883651680244E-2</v>
      </c>
      <c r="K85"/>
      <c r="T85" s="111"/>
      <c r="U85" s="111"/>
      <c r="V85" s="111"/>
      <c r="W85" s="111"/>
      <c r="X85" s="111"/>
      <c r="Y85" s="111"/>
      <c r="Z85" s="111"/>
      <c r="AA85" s="111"/>
      <c r="AB85" s="111"/>
    </row>
    <row r="86" spans="1:28" x14ac:dyDescent="0.3">
      <c r="A86" s="116">
        <v>40148</v>
      </c>
      <c r="B86" s="41">
        <f>+'Purchased Power Model '!B86</f>
        <v>109709991.43076923</v>
      </c>
      <c r="C86" s="96">
        <f>+'Purchased Power Model '!C86</f>
        <v>619.1</v>
      </c>
      <c r="D86" s="96">
        <f>+'Purchased Power Model '!D86</f>
        <v>0</v>
      </c>
      <c r="E86" s="103">
        <f>+'Purchased Power Model '!E86</f>
        <v>0.1</v>
      </c>
      <c r="F86" s="10">
        <f>+'Purchased Power Model '!F86</f>
        <v>31</v>
      </c>
      <c r="G86" s="10">
        <f>+'Purchased Power Model '!G86</f>
        <v>0</v>
      </c>
      <c r="H86" s="117">
        <f t="shared" si="5"/>
        <v>108984775.1043752</v>
      </c>
      <c r="I86" s="118">
        <f t="shared" si="3"/>
        <v>-725216.32639403641</v>
      </c>
      <c r="J86" s="5">
        <f t="shared" si="4"/>
        <v>-6.6103033728853473E-3</v>
      </c>
      <c r="K86"/>
      <c r="T86" s="121"/>
      <c r="U86" s="121"/>
      <c r="V86" s="121"/>
      <c r="W86" s="121"/>
      <c r="X86" s="121"/>
      <c r="Y86" s="121"/>
      <c r="Z86" s="121"/>
      <c r="AA86" s="121"/>
      <c r="AB86" s="121"/>
    </row>
    <row r="87" spans="1:28" x14ac:dyDescent="0.3">
      <c r="A87" s="116">
        <v>40179</v>
      </c>
      <c r="B87" s="41">
        <f>+'Purchased Power Model '!B87</f>
        <v>114148404.02769232</v>
      </c>
      <c r="C87" s="96">
        <f>+'Purchased Power Model '!C87</f>
        <v>699.9</v>
      </c>
      <c r="D87" s="96">
        <f>+'Purchased Power Model '!D87</f>
        <v>0</v>
      </c>
      <c r="E87" s="103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17">
        <f t="shared" si="5"/>
        <v>111905710.04635394</v>
      </c>
      <c r="I87" s="118">
        <f t="shared" si="3"/>
        <v>-2242693.9813383818</v>
      </c>
      <c r="J87" s="5">
        <f t="shared" si="4"/>
        <v>-1.9647177728339557E-2</v>
      </c>
      <c r="K87"/>
      <c r="T87" s="120"/>
      <c r="U87" s="120"/>
      <c r="V87" s="120"/>
      <c r="W87" s="111"/>
      <c r="X87" s="111"/>
      <c r="Y87" s="111"/>
      <c r="Z87" s="111"/>
      <c r="AA87" s="111"/>
      <c r="AB87" s="111"/>
    </row>
    <row r="88" spans="1:28" x14ac:dyDescent="0.3">
      <c r="A88" s="116">
        <v>40210</v>
      </c>
      <c r="B88" s="41">
        <f>+'Purchased Power Model '!B88</f>
        <v>100280891.65769231</v>
      </c>
      <c r="C88" s="96">
        <f>+'Purchased Power Model '!C88</f>
        <v>583.79999999999995</v>
      </c>
      <c r="D88" s="96">
        <f>+'Purchased Power Model '!D88</f>
        <v>0</v>
      </c>
      <c r="E88" s="103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17">
        <f t="shared" si="5"/>
        <v>98754706.668407798</v>
      </c>
      <c r="I88" s="118">
        <f t="shared" si="3"/>
        <v>-1526184.9892845154</v>
      </c>
      <c r="J88" s="5">
        <f t="shared" si="4"/>
        <v>-1.5219100708578964E-2</v>
      </c>
      <c r="K88"/>
      <c r="T88" s="111"/>
      <c r="U88" s="111"/>
      <c r="V88" s="111"/>
      <c r="W88" s="111"/>
      <c r="X88" s="111"/>
      <c r="Y88" s="111"/>
      <c r="Z88" s="111"/>
      <c r="AA88" s="111"/>
      <c r="AB88" s="111"/>
    </row>
    <row r="89" spans="1:28" x14ac:dyDescent="0.3">
      <c r="A89" s="116">
        <v>40238</v>
      </c>
      <c r="B89" s="41">
        <f>+'Purchased Power Model '!B89</f>
        <v>95443611.384615391</v>
      </c>
      <c r="C89" s="96">
        <f>+'Purchased Power Model '!C89</f>
        <v>411</v>
      </c>
      <c r="D89" s="96">
        <f>+'Purchased Power Model '!D89</f>
        <v>0</v>
      </c>
      <c r="E89" s="103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17">
        <f t="shared" si="5"/>
        <v>93110617.257326975</v>
      </c>
      <c r="I89" s="118">
        <f t="shared" si="3"/>
        <v>-2332994.127288416</v>
      </c>
      <c r="J89" s="5">
        <f t="shared" si="4"/>
        <v>-2.4443690818518972E-2</v>
      </c>
      <c r="K89"/>
      <c r="T89" s="111"/>
      <c r="U89" s="111"/>
      <c r="V89" s="111"/>
      <c r="W89" s="111"/>
      <c r="X89" s="111"/>
      <c r="Y89" s="111"/>
      <c r="Z89" s="111"/>
      <c r="AA89" s="111"/>
      <c r="AB89" s="111"/>
    </row>
    <row r="90" spans="1:28" x14ac:dyDescent="0.3">
      <c r="A90" s="116">
        <v>40269</v>
      </c>
      <c r="B90" s="41">
        <f>+'Purchased Power Model '!B90</f>
        <v>80941805.90538463</v>
      </c>
      <c r="C90" s="96">
        <f>+'Purchased Power Model '!C90</f>
        <v>244</v>
      </c>
      <c r="D90" s="96">
        <f>+'Purchased Power Model '!D90</f>
        <v>0</v>
      </c>
      <c r="E90" s="103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17">
        <f t="shared" si="5"/>
        <v>83996026.822567567</v>
      </c>
      <c r="I90" s="118">
        <f t="shared" si="3"/>
        <v>3054220.9171829373</v>
      </c>
      <c r="J90" s="5">
        <f t="shared" si="4"/>
        <v>3.7733540573002662E-2</v>
      </c>
      <c r="K90"/>
      <c r="T90" s="111"/>
      <c r="U90" s="111"/>
      <c r="V90" s="111"/>
      <c r="W90" s="111"/>
      <c r="X90" s="111"/>
      <c r="Y90" s="111"/>
      <c r="Z90" s="111"/>
      <c r="AA90" s="111"/>
      <c r="AB90" s="111"/>
    </row>
    <row r="91" spans="1:28" x14ac:dyDescent="0.3">
      <c r="A91" s="116">
        <v>40299</v>
      </c>
      <c r="B91" s="41">
        <f>+'Purchased Power Model '!B91</f>
        <v>87418768.25846155</v>
      </c>
      <c r="C91" s="96">
        <f>+'Purchased Power Model '!C91</f>
        <v>121.7</v>
      </c>
      <c r="D91" s="96">
        <f>+'Purchased Power Model '!D91</f>
        <v>23.2</v>
      </c>
      <c r="E91" s="103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17">
        <f t="shared" si="5"/>
        <v>85178424.333164722</v>
      </c>
      <c r="I91" s="118">
        <f t="shared" si="3"/>
        <v>-2240343.9252968282</v>
      </c>
      <c r="J91" s="5">
        <f t="shared" si="4"/>
        <v>-2.562772239793001E-2</v>
      </c>
      <c r="K91"/>
      <c r="T91" s="111"/>
      <c r="U91" s="111"/>
      <c r="V91" s="111"/>
      <c r="W91" s="111"/>
      <c r="X91" s="111"/>
      <c r="Y91" s="111"/>
      <c r="Z91" s="111"/>
      <c r="AA91" s="111"/>
      <c r="AB91" s="111"/>
    </row>
    <row r="92" spans="1:28" x14ac:dyDescent="0.3">
      <c r="A92" s="116">
        <v>40330</v>
      </c>
      <c r="B92" s="41">
        <f>+'Purchased Power Model '!B92</f>
        <v>89087288.937692314</v>
      </c>
      <c r="C92" s="96">
        <f>+'Purchased Power Model '!C92</f>
        <v>19.399999999999999</v>
      </c>
      <c r="D92" s="96">
        <f>+'Purchased Power Model '!D92</f>
        <v>46.6</v>
      </c>
      <c r="E92" s="103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17">
        <f t="shared" si="5"/>
        <v>88630081.820366845</v>
      </c>
      <c r="I92" s="118">
        <f t="shared" si="3"/>
        <v>-457207.11732546985</v>
      </c>
      <c r="J92" s="5">
        <f t="shared" si="4"/>
        <v>-5.1321251637283594E-3</v>
      </c>
      <c r="K92"/>
      <c r="T92" s="111"/>
      <c r="U92" s="111"/>
      <c r="V92" s="111"/>
      <c r="W92" s="111"/>
      <c r="X92" s="111"/>
      <c r="Y92" s="111"/>
      <c r="Z92" s="111"/>
      <c r="AA92" s="111"/>
      <c r="AB92" s="111"/>
    </row>
    <row r="93" spans="1:28" x14ac:dyDescent="0.3">
      <c r="A93" s="116">
        <v>40360</v>
      </c>
      <c r="B93" s="41">
        <f>+'Purchased Power Model '!B93</f>
        <v>107904059.08</v>
      </c>
      <c r="C93" s="96">
        <f>+'Purchased Power Model '!C93</f>
        <v>3.5</v>
      </c>
      <c r="D93" s="96">
        <f>+'Purchased Power Model '!D93</f>
        <v>124</v>
      </c>
      <c r="E93" s="103">
        <f>+'Purchased Power Model '!E93</f>
        <v>0.10099999999999999</v>
      </c>
      <c r="F93" s="10">
        <f>+'Purchased Power Model '!F93</f>
        <v>31</v>
      </c>
      <c r="G93" s="10">
        <f>+'Purchased Power Model '!G93</f>
        <v>0</v>
      </c>
      <c r="H93" s="117">
        <f t="shared" si="5"/>
        <v>101712489.71858193</v>
      </c>
      <c r="I93" s="118">
        <f t="shared" si="3"/>
        <v>-6191569.3614180684</v>
      </c>
      <c r="J93" s="5">
        <f t="shared" si="4"/>
        <v>-5.7380319278143584E-2</v>
      </c>
      <c r="K93"/>
      <c r="T93" s="111"/>
      <c r="U93" s="111"/>
      <c r="V93" s="111"/>
      <c r="W93" s="111"/>
      <c r="X93" s="111"/>
      <c r="Y93" s="111"/>
      <c r="Z93" s="111"/>
      <c r="AA93" s="111"/>
      <c r="AB93" s="111"/>
    </row>
    <row r="94" spans="1:28" x14ac:dyDescent="0.3">
      <c r="A94" s="116">
        <v>40391</v>
      </c>
      <c r="B94" s="41">
        <f>+'Purchased Power Model '!B94</f>
        <v>102274426.19461538</v>
      </c>
      <c r="C94" s="96">
        <f>+'Purchased Power Model '!C94</f>
        <v>3.2</v>
      </c>
      <c r="D94" s="96">
        <f>+'Purchased Power Model '!D94</f>
        <v>96.8</v>
      </c>
      <c r="E94" s="103">
        <f>+'Purchased Power Model '!E94</f>
        <v>0.10099999999999999</v>
      </c>
      <c r="F94" s="10">
        <f>+'Purchased Power Model '!F94</f>
        <v>31</v>
      </c>
      <c r="G94" s="10">
        <f>+'Purchased Power Model '!G94</f>
        <v>0</v>
      </c>
      <c r="H94" s="117">
        <f t="shared" si="5"/>
        <v>97777641.517349064</v>
      </c>
      <c r="I94" s="118">
        <f t="shared" si="3"/>
        <v>-4496784.6772663146</v>
      </c>
      <c r="J94" s="5">
        <f t="shared" si="4"/>
        <v>-4.3967830909258765E-2</v>
      </c>
      <c r="K94"/>
      <c r="T94" s="111"/>
      <c r="U94" s="111"/>
      <c r="V94" s="111"/>
      <c r="W94" s="111"/>
      <c r="X94" s="111"/>
      <c r="Y94" s="111"/>
      <c r="Z94" s="111"/>
      <c r="AA94" s="111"/>
      <c r="AB94" s="111"/>
    </row>
    <row r="95" spans="1:28" x14ac:dyDescent="0.3">
      <c r="A95" s="116">
        <v>40422</v>
      </c>
      <c r="B95" s="41">
        <f>+'Purchased Power Model '!B95</f>
        <v>83491002.500769228</v>
      </c>
      <c r="C95" s="96">
        <f>+'Purchased Power Model '!C95</f>
        <v>85.5</v>
      </c>
      <c r="D95" s="96">
        <f>+'Purchased Power Model '!D95</f>
        <v>18.5</v>
      </c>
      <c r="E95" s="103">
        <f>+'Purchased Power Model '!E95</f>
        <v>0.10099999999999999</v>
      </c>
      <c r="F95" s="10">
        <f>+'Purchased Power Model '!F95</f>
        <v>30</v>
      </c>
      <c r="G95" s="10">
        <f>+'Purchased Power Model '!G95</f>
        <v>1</v>
      </c>
      <c r="H95" s="117">
        <f t="shared" si="5"/>
        <v>79975412.328120425</v>
      </c>
      <c r="I95" s="118">
        <f t="shared" si="3"/>
        <v>-3515590.1726488024</v>
      </c>
      <c r="J95" s="5">
        <f t="shared" si="4"/>
        <v>-4.2107413581678008E-2</v>
      </c>
      <c r="K95"/>
      <c r="T95" s="111"/>
      <c r="U95" s="111"/>
      <c r="V95" s="111"/>
      <c r="W95" s="111"/>
      <c r="X95" s="111"/>
      <c r="Y95" s="111"/>
      <c r="Z95" s="111"/>
      <c r="AA95" s="111"/>
      <c r="AB95" s="111"/>
    </row>
    <row r="96" spans="1:28" x14ac:dyDescent="0.3">
      <c r="A96" s="116">
        <v>40452</v>
      </c>
      <c r="B96" s="41">
        <f>+'Purchased Power Model '!B96</f>
        <v>84900189.230769232</v>
      </c>
      <c r="C96" s="96">
        <f>+'Purchased Power Model '!C96</f>
        <v>247.8</v>
      </c>
      <c r="D96" s="96">
        <f>+'Purchased Power Model '!D96</f>
        <v>0</v>
      </c>
      <c r="E96" s="103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17">
        <f t="shared" si="5"/>
        <v>87690075.422854468</v>
      </c>
      <c r="I96" s="118">
        <f t="shared" si="3"/>
        <v>2789886.1920852363</v>
      </c>
      <c r="J96" s="5">
        <f t="shared" si="4"/>
        <v>3.2860777076738665E-2</v>
      </c>
      <c r="K96"/>
      <c r="T96" s="111"/>
      <c r="U96" s="111"/>
      <c r="V96" s="111"/>
      <c r="W96" s="111"/>
      <c r="X96" s="111"/>
      <c r="Y96" s="111"/>
      <c r="Z96" s="111"/>
      <c r="AA96" s="111"/>
      <c r="AB96" s="111"/>
    </row>
    <row r="97" spans="1:28" x14ac:dyDescent="0.3">
      <c r="A97" s="116">
        <v>40483</v>
      </c>
      <c r="B97" s="41">
        <f>+'Purchased Power Model '!B97</f>
        <v>91736751.63692309</v>
      </c>
      <c r="C97" s="96">
        <f>+'Purchased Power Model '!C97</f>
        <v>389.2</v>
      </c>
      <c r="D97" s="96">
        <f>+'Purchased Power Model '!D97</f>
        <v>0</v>
      </c>
      <c r="E97" s="103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17">
        <f t="shared" si="5"/>
        <v>90630167.295212716</v>
      </c>
      <c r="I97" s="118">
        <f t="shared" si="3"/>
        <v>-1106584.3417103738</v>
      </c>
      <c r="J97" s="5">
        <f t="shared" si="4"/>
        <v>-1.2062606555876621E-2</v>
      </c>
      <c r="K97"/>
      <c r="T97" s="111"/>
      <c r="U97" s="111"/>
      <c r="V97" s="111"/>
      <c r="W97" s="111"/>
      <c r="X97" s="111"/>
      <c r="Y97" s="111"/>
      <c r="Z97" s="111"/>
      <c r="AA97" s="111"/>
      <c r="AB97" s="111"/>
    </row>
    <row r="98" spans="1:28" x14ac:dyDescent="0.3">
      <c r="A98" s="116">
        <v>40513</v>
      </c>
      <c r="B98" s="41">
        <f>+'Purchased Power Model '!B98</f>
        <v>110862133</v>
      </c>
      <c r="C98" s="96">
        <f>+'Purchased Power Model '!C98</f>
        <v>628.70000000000005</v>
      </c>
      <c r="D98" s="96">
        <f>+'Purchased Power Model '!D98</f>
        <v>0</v>
      </c>
      <c r="E98" s="103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17">
        <f t="shared" si="5"/>
        <v>110226344.72038026</v>
      </c>
      <c r="I98" s="118">
        <f t="shared" si="3"/>
        <v>-635788.27961973846</v>
      </c>
      <c r="J98" s="5">
        <f t="shared" si="4"/>
        <v>-5.7349453994335331E-3</v>
      </c>
      <c r="K98"/>
      <c r="T98" s="111"/>
      <c r="U98" s="111"/>
      <c r="V98" s="111"/>
      <c r="W98" s="111"/>
      <c r="X98" s="111"/>
      <c r="Y98" s="111"/>
      <c r="Z98" s="111"/>
      <c r="AA98" s="111"/>
      <c r="AB98" s="111"/>
    </row>
    <row r="99" spans="1:28" x14ac:dyDescent="0.3">
      <c r="A99" s="116">
        <v>40544</v>
      </c>
      <c r="B99" s="41">
        <f>+'Purchased Power Model '!B99</f>
        <v>113644387.32076925</v>
      </c>
      <c r="C99" s="96">
        <f>+'Purchased Power Model '!C99</f>
        <v>760.9</v>
      </c>
      <c r="D99" s="96">
        <f>+'Purchased Power Model '!D99</f>
        <v>0</v>
      </c>
      <c r="E99" s="103">
        <f>+'Purchased Power Model '!E99</f>
        <v>8.8000000000000009E-2</v>
      </c>
      <c r="F99" s="10">
        <f>+'Purchased Power Model '!F99</f>
        <v>31</v>
      </c>
      <c r="G99" s="10">
        <f>+'Purchased Power Model '!G99</f>
        <v>0</v>
      </c>
      <c r="H99" s="117">
        <f t="shared" si="5"/>
        <v>116210242.6891989</v>
      </c>
      <c r="I99" s="118">
        <f t="shared" si="3"/>
        <v>2565855.3684296459</v>
      </c>
      <c r="J99" s="5">
        <f t="shared" si="4"/>
        <v>2.2577933049938836E-2</v>
      </c>
      <c r="K99"/>
      <c r="T99" s="120"/>
      <c r="U99" s="120"/>
      <c r="V99" s="120"/>
      <c r="W99" s="111"/>
      <c r="X99" s="111"/>
      <c r="Y99" s="111"/>
      <c r="Z99" s="111"/>
      <c r="AA99" s="111"/>
      <c r="AB99" s="111"/>
    </row>
    <row r="100" spans="1:28" x14ac:dyDescent="0.3">
      <c r="A100" s="116">
        <v>40575</v>
      </c>
      <c r="B100" s="41">
        <f>+'Purchased Power Model '!B100</f>
        <v>100561048.38461539</v>
      </c>
      <c r="C100" s="96">
        <f>+'Purchased Power Model '!C100</f>
        <v>634.19999999999993</v>
      </c>
      <c r="D100" s="96">
        <f>+'Purchased Power Model '!D100</f>
        <v>0</v>
      </c>
      <c r="E100" s="103">
        <f>+'Purchased Power Model '!E100</f>
        <v>8.8000000000000009E-2</v>
      </c>
      <c r="F100" s="10">
        <f>+'Purchased Power Model '!F100</f>
        <v>28</v>
      </c>
      <c r="G100" s="10">
        <f>+'Purchased Power Model '!G100</f>
        <v>0</v>
      </c>
      <c r="H100" s="117">
        <f t="shared" si="5"/>
        <v>102628190.71353441</v>
      </c>
      <c r="I100" s="118">
        <f t="shared" si="3"/>
        <v>2067142.3289190233</v>
      </c>
      <c r="J100" s="5">
        <f t="shared" si="4"/>
        <v>2.0556093657783214E-2</v>
      </c>
      <c r="K100"/>
      <c r="T100" s="111"/>
      <c r="U100" s="111"/>
      <c r="V100" s="111"/>
      <c r="W100" s="111"/>
      <c r="X100" s="111"/>
      <c r="Y100" s="111"/>
      <c r="Z100" s="111"/>
      <c r="AA100" s="111"/>
      <c r="AB100" s="111"/>
    </row>
    <row r="101" spans="1:28" x14ac:dyDescent="0.3">
      <c r="A101" s="116">
        <v>40603</v>
      </c>
      <c r="B101" s="41">
        <f>+'Purchased Power Model '!B101</f>
        <v>102613396.81846155</v>
      </c>
      <c r="C101" s="96">
        <f>+'Purchased Power Model '!C101</f>
        <v>559.80000000000007</v>
      </c>
      <c r="D101" s="96">
        <f>+'Purchased Power Model '!D101</f>
        <v>0</v>
      </c>
      <c r="E101" s="103">
        <f>+'Purchased Power Model '!E101</f>
        <v>8.8000000000000009E-2</v>
      </c>
      <c r="F101" s="10">
        <f>+'Purchased Power Model '!F101</f>
        <v>31</v>
      </c>
      <c r="G101" s="10">
        <f>+'Purchased Power Model '!G101</f>
        <v>1</v>
      </c>
      <c r="H101" s="117">
        <f t="shared" si="5"/>
        <v>100985533.56806539</v>
      </c>
      <c r="I101" s="118">
        <f t="shared" si="3"/>
        <v>-1627863.2503961623</v>
      </c>
      <c r="J101" s="5">
        <f t="shared" si="4"/>
        <v>-1.5864042131614606E-2</v>
      </c>
      <c r="K101"/>
      <c r="T101" s="111"/>
      <c r="U101" s="111"/>
      <c r="V101" s="111"/>
      <c r="W101" s="111"/>
      <c r="X101" s="111"/>
      <c r="Y101" s="111"/>
      <c r="Z101" s="111"/>
      <c r="AA101" s="111"/>
      <c r="AB101" s="111"/>
    </row>
    <row r="102" spans="1:28" x14ac:dyDescent="0.3">
      <c r="A102" s="116">
        <v>40634</v>
      </c>
      <c r="B102" s="41">
        <f>+'Purchased Power Model '!B102</f>
        <v>87015565.163076922</v>
      </c>
      <c r="C102" s="96">
        <f>+'Purchased Power Model '!C102</f>
        <v>350.79999999999995</v>
      </c>
      <c r="D102" s="96">
        <f>+'Purchased Power Model '!D102</f>
        <v>0</v>
      </c>
      <c r="E102" s="103">
        <f>+'Purchased Power Model '!E102</f>
        <v>9.0999999999999998E-2</v>
      </c>
      <c r="F102" s="10">
        <f>+'Purchased Power Model '!F102</f>
        <v>30</v>
      </c>
      <c r="G102" s="10">
        <f>+'Purchased Power Model '!G102</f>
        <v>1</v>
      </c>
      <c r="H102" s="117">
        <f t="shared" si="5"/>
        <v>89311828.746916547</v>
      </c>
      <c r="I102" s="118">
        <f t="shared" si="3"/>
        <v>2296263.5838396251</v>
      </c>
      <c r="J102" s="5">
        <f t="shared" si="4"/>
        <v>2.6389113022896187E-2</v>
      </c>
      <c r="K102"/>
      <c r="T102" s="111"/>
      <c r="U102" s="111"/>
      <c r="V102" s="111"/>
      <c r="W102" s="111"/>
      <c r="X102" s="111"/>
      <c r="Y102" s="111"/>
      <c r="Z102" s="111"/>
      <c r="AA102" s="111"/>
      <c r="AB102" s="111"/>
    </row>
    <row r="103" spans="1:28" x14ac:dyDescent="0.3">
      <c r="A103" s="116">
        <v>40664</v>
      </c>
      <c r="B103" s="41">
        <f>+'Purchased Power Model '!B103</f>
        <v>82921009.75</v>
      </c>
      <c r="C103" s="96">
        <f>+'Purchased Power Model '!C103</f>
        <v>157.69999999999996</v>
      </c>
      <c r="D103" s="96">
        <f>+'Purchased Power Model '!D103</f>
        <v>2.8</v>
      </c>
      <c r="E103" s="103">
        <f>+'Purchased Power Model '!E103</f>
        <v>9.0999999999999998E-2</v>
      </c>
      <c r="F103" s="10">
        <f>+'Purchased Power Model '!F103</f>
        <v>31</v>
      </c>
      <c r="G103" s="10">
        <f>+'Purchased Power Model '!G103</f>
        <v>1</v>
      </c>
      <c r="H103" s="117">
        <f t="shared" si="5"/>
        <v>84673160.409987912</v>
      </c>
      <c r="I103" s="118">
        <f t="shared" si="3"/>
        <v>1752150.6599879116</v>
      </c>
      <c r="J103" s="5">
        <f t="shared" si="4"/>
        <v>2.1130358461269361E-2</v>
      </c>
      <c r="K103"/>
      <c r="T103" s="111"/>
      <c r="U103" s="111"/>
      <c r="V103" s="111"/>
      <c r="W103" s="111"/>
      <c r="X103" s="111"/>
      <c r="Y103" s="111"/>
      <c r="Z103" s="111"/>
      <c r="AA103" s="111"/>
      <c r="AB103" s="111"/>
    </row>
    <row r="104" spans="1:28" x14ac:dyDescent="0.3">
      <c r="A104" s="116">
        <v>40695</v>
      </c>
      <c r="B104" s="41">
        <f>+'Purchased Power Model '!B104</f>
        <v>88149132.009230778</v>
      </c>
      <c r="C104" s="96">
        <f>+'Purchased Power Model '!C104</f>
        <v>26.699999999999996</v>
      </c>
      <c r="D104" s="96">
        <f>+'Purchased Power Model '!D104</f>
        <v>36.900000000000006</v>
      </c>
      <c r="E104" s="103">
        <f>+'Purchased Power Model '!E104</f>
        <v>9.0999999999999998E-2</v>
      </c>
      <c r="F104" s="10">
        <f>+'Purchased Power Model '!F104</f>
        <v>30</v>
      </c>
      <c r="G104" s="10">
        <f>+'Purchased Power Model '!G104</f>
        <v>0</v>
      </c>
      <c r="H104" s="117">
        <f t="shared" si="5"/>
        <v>88500834.26671803</v>
      </c>
      <c r="I104" s="118">
        <f t="shared" si="3"/>
        <v>351702.25748725235</v>
      </c>
      <c r="J104" s="5">
        <f t="shared" si="4"/>
        <v>3.9898550271649062E-3</v>
      </c>
      <c r="K104"/>
      <c r="T104" s="111"/>
      <c r="U104" s="111"/>
      <c r="V104" s="111"/>
      <c r="W104" s="111"/>
      <c r="X104" s="111"/>
      <c r="Y104" s="111"/>
      <c r="Z104" s="111"/>
      <c r="AA104" s="111"/>
      <c r="AB104" s="111"/>
    </row>
    <row r="105" spans="1:28" x14ac:dyDescent="0.3">
      <c r="A105" s="116">
        <v>40725</v>
      </c>
      <c r="B105" s="41">
        <f>+'Purchased Power Model '!B105</f>
        <v>108927664.71923079</v>
      </c>
      <c r="C105" s="96">
        <f>+'Purchased Power Model '!C105</f>
        <v>0.2</v>
      </c>
      <c r="D105" s="96">
        <f>+'Purchased Power Model '!D105</f>
        <v>141.19999999999999</v>
      </c>
      <c r="E105" s="103">
        <f>+'Purchased Power Model '!E105</f>
        <v>7.2999999999999995E-2</v>
      </c>
      <c r="F105" s="10">
        <f>+'Purchased Power Model '!F105</f>
        <v>31</v>
      </c>
      <c r="G105" s="10">
        <f>+'Purchased Power Model '!G105</f>
        <v>0</v>
      </c>
      <c r="H105" s="117">
        <f t="shared" si="5"/>
        <v>107463537.71578926</v>
      </c>
      <c r="I105" s="118">
        <f t="shared" si="3"/>
        <v>-1464127.0034415275</v>
      </c>
      <c r="J105" s="5">
        <f t="shared" si="4"/>
        <v>-1.3441277816938648E-2</v>
      </c>
      <c r="K105"/>
      <c r="T105" s="111"/>
      <c r="U105" s="111"/>
      <c r="V105" s="111"/>
      <c r="W105" s="111"/>
      <c r="X105" s="111"/>
      <c r="Y105" s="111"/>
      <c r="Z105" s="111"/>
      <c r="AA105" s="111"/>
      <c r="AB105" s="111"/>
    </row>
    <row r="106" spans="1:28" x14ac:dyDescent="0.3">
      <c r="A106" s="116">
        <v>40756</v>
      </c>
      <c r="B106" s="41">
        <f>+'Purchased Power Model '!B106</f>
        <v>100307973.92692308</v>
      </c>
      <c r="C106" s="96">
        <f>+'Purchased Power Model '!C106</f>
        <v>3.7</v>
      </c>
      <c r="D106" s="96">
        <f>+'Purchased Power Model '!D106</f>
        <v>80.499999999999957</v>
      </c>
      <c r="E106" s="103">
        <f>+'Purchased Power Model '!E106</f>
        <v>7.2999999999999995E-2</v>
      </c>
      <c r="F106" s="10">
        <f>+'Purchased Power Model '!F106</f>
        <v>31</v>
      </c>
      <c r="G106" s="10">
        <f>+'Purchased Power Model '!G106</f>
        <v>0</v>
      </c>
      <c r="H106" s="117">
        <f t="shared" si="5"/>
        <v>98852012.992669076</v>
      </c>
      <c r="I106" s="118">
        <f t="shared" si="3"/>
        <v>-1455960.9342540056</v>
      </c>
      <c r="J106" s="5">
        <f t="shared" si="4"/>
        <v>-1.4514907212807531E-2</v>
      </c>
      <c r="K106"/>
      <c r="T106" s="111"/>
      <c r="U106" s="111"/>
      <c r="V106" s="111"/>
      <c r="W106" s="111"/>
      <c r="X106" s="111"/>
      <c r="Y106" s="111"/>
      <c r="Z106" s="111"/>
      <c r="AA106" s="111"/>
      <c r="AB106" s="111"/>
    </row>
    <row r="107" spans="1:28" x14ac:dyDescent="0.3">
      <c r="A107" s="116">
        <v>40787</v>
      </c>
      <c r="B107" s="41">
        <f>+'Purchased Power Model '!B107</f>
        <v>85805170.040769234</v>
      </c>
      <c r="C107" s="96">
        <f>+'Purchased Power Model '!C107</f>
        <v>48.900000000000006</v>
      </c>
      <c r="D107" s="96">
        <f>+'Purchased Power Model '!D107</f>
        <v>34.6</v>
      </c>
      <c r="E107" s="103">
        <f>+'Purchased Power Model '!E107</f>
        <v>7.2999999999999995E-2</v>
      </c>
      <c r="F107" s="10">
        <f>+'Purchased Power Model '!F107</f>
        <v>30</v>
      </c>
      <c r="G107" s="10">
        <f>+'Purchased Power Model '!G107</f>
        <v>1</v>
      </c>
      <c r="H107" s="117">
        <f t="shared" si="5"/>
        <v>84213680.560280249</v>
      </c>
      <c r="I107" s="118">
        <f t="shared" si="3"/>
        <v>-1591489.4804889858</v>
      </c>
      <c r="J107" s="5">
        <f t="shared" si="4"/>
        <v>-1.8547710816642048E-2</v>
      </c>
      <c r="K107"/>
      <c r="T107" s="111"/>
      <c r="U107" s="111"/>
      <c r="V107" s="111"/>
      <c r="W107" s="111"/>
      <c r="X107" s="111"/>
      <c r="Y107" s="111"/>
      <c r="Z107" s="111"/>
      <c r="AA107" s="111"/>
      <c r="AB107" s="111"/>
    </row>
    <row r="108" spans="1:28" x14ac:dyDescent="0.3">
      <c r="A108" s="116">
        <v>40817</v>
      </c>
      <c r="B108" s="41">
        <f>+'Purchased Power Model '!B108</f>
        <v>85767949.723076925</v>
      </c>
      <c r="C108" s="96">
        <f>+'Purchased Power Model '!C108</f>
        <v>225.29999999999998</v>
      </c>
      <c r="D108" s="96">
        <f>+'Purchased Power Model '!D108</f>
        <v>0</v>
      </c>
      <c r="E108" s="103">
        <f>+'Purchased Power Model '!E108</f>
        <v>7.400000000000001E-2</v>
      </c>
      <c r="F108" s="10">
        <f>+'Purchased Power Model '!F108</f>
        <v>31</v>
      </c>
      <c r="G108" s="10">
        <f>+'Purchased Power Model '!G108</f>
        <v>1</v>
      </c>
      <c r="H108" s="117">
        <f t="shared" si="5"/>
        <v>89085475.723379478</v>
      </c>
      <c r="I108" s="118">
        <f t="shared" si="3"/>
        <v>3317526.0003025532</v>
      </c>
      <c r="J108" s="5">
        <f t="shared" si="4"/>
        <v>3.868025306672257E-2</v>
      </c>
      <c r="K108"/>
      <c r="T108" s="111"/>
      <c r="U108" s="111"/>
      <c r="V108" s="111"/>
      <c r="W108" s="111"/>
      <c r="X108" s="111"/>
      <c r="Y108" s="111"/>
      <c r="Z108" s="111"/>
      <c r="AA108" s="111"/>
      <c r="AB108" s="111"/>
    </row>
    <row r="109" spans="1:28" x14ac:dyDescent="0.3">
      <c r="A109" s="116">
        <v>40848</v>
      </c>
      <c r="B109" s="41">
        <f>+'Purchased Power Model '!B109</f>
        <v>89407468.154615387</v>
      </c>
      <c r="C109" s="96">
        <f>+'Purchased Power Model '!C109</f>
        <v>349.69999999999993</v>
      </c>
      <c r="D109" s="96">
        <f>+'Purchased Power Model '!D109</f>
        <v>0</v>
      </c>
      <c r="E109" s="103">
        <f>+'Purchased Power Model '!E109</f>
        <v>7.400000000000001E-2</v>
      </c>
      <c r="F109" s="10">
        <f>+'Purchased Power Model '!F109</f>
        <v>30</v>
      </c>
      <c r="G109" s="10">
        <f>+'Purchased Power Model '!G109</f>
        <v>1</v>
      </c>
      <c r="H109" s="117">
        <f t="shared" si="5"/>
        <v>91334263.240906402</v>
      </c>
      <c r="I109" s="118">
        <f t="shared" si="3"/>
        <v>1926795.0862910151</v>
      </c>
      <c r="J109" s="5">
        <f t="shared" si="4"/>
        <v>2.1550717474282378E-2</v>
      </c>
      <c r="K109"/>
      <c r="T109" s="111"/>
      <c r="U109" s="111"/>
      <c r="V109" s="111"/>
      <c r="W109" s="111"/>
      <c r="X109" s="111"/>
      <c r="Y109" s="111"/>
      <c r="Z109" s="111"/>
      <c r="AA109" s="111"/>
      <c r="AB109" s="111"/>
    </row>
    <row r="110" spans="1:28" x14ac:dyDescent="0.3">
      <c r="A110" s="116">
        <v>40878</v>
      </c>
      <c r="B110" s="41">
        <f>+'Purchased Power Model '!B110</f>
        <v>103511621.38461539</v>
      </c>
      <c r="C110" s="96">
        <f>+'Purchased Power Model '!C110</f>
        <v>531.20000000000005</v>
      </c>
      <c r="D110" s="96">
        <f>+'Purchased Power Model '!D110</f>
        <v>0</v>
      </c>
      <c r="E110" s="103">
        <f>+'Purchased Power Model '!E110</f>
        <v>7.400000000000001E-2</v>
      </c>
      <c r="F110" s="10">
        <f>+'Purchased Power Model '!F110</f>
        <v>31</v>
      </c>
      <c r="G110" s="10">
        <f>+'Purchased Power Model '!G110</f>
        <v>0</v>
      </c>
      <c r="H110" s="117">
        <f t="shared" si="5"/>
        <v>108571872.86723775</v>
      </c>
      <c r="I110" s="118">
        <f t="shared" si="3"/>
        <v>5060251.4826223552</v>
      </c>
      <c r="J110" s="5">
        <f t="shared" si="4"/>
        <v>4.8885829580623735E-2</v>
      </c>
      <c r="K110"/>
      <c r="T110" s="111"/>
      <c r="U110" s="111"/>
      <c r="V110" s="111"/>
      <c r="W110" s="111"/>
      <c r="X110" s="111"/>
      <c r="Y110" s="111"/>
      <c r="Z110" s="111"/>
      <c r="AA110" s="111"/>
      <c r="AB110" s="111"/>
    </row>
    <row r="111" spans="1:28" x14ac:dyDescent="0.3">
      <c r="A111" s="116">
        <v>40909</v>
      </c>
      <c r="B111" s="41">
        <f>+'Purchased Power Model '!B111</f>
        <v>107982172.33461541</v>
      </c>
      <c r="C111" s="96">
        <f>+'Purchased Power Model '!C111</f>
        <v>611</v>
      </c>
      <c r="D111" s="96">
        <f>+'Purchased Power Model '!D111</f>
        <v>0</v>
      </c>
      <c r="E111" s="103">
        <f>+'Purchased Power Model '!E111</f>
        <v>7.9000000000000001E-2</v>
      </c>
      <c r="F111" s="10">
        <f>+'Purchased Power Model '!F111</f>
        <v>31</v>
      </c>
      <c r="G111" s="10">
        <f>+'Purchased Power Model '!G111</f>
        <v>0</v>
      </c>
      <c r="H111" s="117">
        <f t="shared" si="5"/>
        <v>111208946.85278597</v>
      </c>
      <c r="I111" s="118">
        <f t="shared" si="3"/>
        <v>3226774.5181705654</v>
      </c>
      <c r="J111" s="5">
        <f t="shared" si="4"/>
        <v>2.9882474564147766E-2</v>
      </c>
      <c r="K111"/>
      <c r="T111" s="120"/>
      <c r="U111" s="120"/>
      <c r="V111" s="120"/>
      <c r="W111" s="111"/>
      <c r="X111" s="111"/>
      <c r="Y111" s="111"/>
      <c r="Z111" s="111"/>
      <c r="AA111" s="111"/>
      <c r="AB111" s="111"/>
    </row>
    <row r="112" spans="1:28" x14ac:dyDescent="0.3">
      <c r="A112" s="116">
        <v>40940</v>
      </c>
      <c r="B112" s="41">
        <f>+'Purchased Power Model '!B112</f>
        <v>97310518.529230773</v>
      </c>
      <c r="C112" s="96">
        <f>+'Purchased Power Model '!C112</f>
        <v>536.20000000000005</v>
      </c>
      <c r="D112" s="96">
        <f>+'Purchased Power Model '!D112</f>
        <v>0</v>
      </c>
      <c r="E112" s="103">
        <f>+'Purchased Power Model '!E112</f>
        <v>7.9000000000000001E-2</v>
      </c>
      <c r="F112" s="10">
        <f>+'Purchased Power Model '!F112</f>
        <v>29</v>
      </c>
      <c r="G112" s="10">
        <f>+'Purchased Power Model '!G112</f>
        <v>0</v>
      </c>
      <c r="H112" s="117">
        <f t="shared" si="5"/>
        <v>102547340.16881569</v>
      </c>
      <c r="I112" s="118">
        <f t="shared" si="3"/>
        <v>5236821.6395849138</v>
      </c>
      <c r="J112" s="5">
        <f t="shared" si="4"/>
        <v>5.3815576350174754E-2</v>
      </c>
      <c r="K112"/>
      <c r="T112" s="111"/>
      <c r="U112" s="111"/>
      <c r="V112" s="111"/>
      <c r="W112" s="111"/>
      <c r="X112" s="111"/>
      <c r="Y112" s="111"/>
      <c r="Z112" s="111"/>
      <c r="AA112" s="111"/>
      <c r="AB112" s="111"/>
    </row>
    <row r="113" spans="1:28" x14ac:dyDescent="0.3">
      <c r="A113" s="116">
        <v>40969</v>
      </c>
      <c r="B113" s="41">
        <f>+'Purchased Power Model '!B113</f>
        <v>92940593.720769227</v>
      </c>
      <c r="C113" s="96">
        <f>+'Purchased Power Model '!C113</f>
        <v>399.39999999999992</v>
      </c>
      <c r="D113" s="96">
        <f>+'Purchased Power Model '!D113</f>
        <v>0</v>
      </c>
      <c r="E113" s="103">
        <f>+'Purchased Power Model '!E113</f>
        <v>7.9000000000000001E-2</v>
      </c>
      <c r="F113" s="10">
        <f>+'Purchased Power Model '!F113</f>
        <v>31</v>
      </c>
      <c r="G113" s="10">
        <f>+'Purchased Power Model '!G113</f>
        <v>1</v>
      </c>
      <c r="H113" s="117">
        <f t="shared" si="5"/>
        <v>95557255.630139008</v>
      </c>
      <c r="I113" s="118">
        <f t="shared" si="3"/>
        <v>2616661.9093697816</v>
      </c>
      <c r="J113" s="5">
        <f t="shared" si="4"/>
        <v>2.8154133781749687E-2</v>
      </c>
      <c r="K113"/>
      <c r="T113" s="111"/>
      <c r="U113" s="111"/>
      <c r="V113" s="111"/>
      <c r="W113" s="111"/>
      <c r="X113" s="111"/>
      <c r="Y113" s="111"/>
      <c r="Z113" s="111"/>
      <c r="AA113" s="111"/>
      <c r="AB113" s="111"/>
    </row>
    <row r="114" spans="1:28" x14ac:dyDescent="0.3">
      <c r="A114" s="116">
        <v>41000</v>
      </c>
      <c r="B114" s="41">
        <f>+'Purchased Power Model '!B114</f>
        <v>84061512.170000002</v>
      </c>
      <c r="C114" s="96">
        <f>+'Purchased Power Model '!C114</f>
        <v>336.89999999999992</v>
      </c>
      <c r="D114" s="96">
        <f>+'Purchased Power Model '!D114</f>
        <v>0</v>
      </c>
      <c r="E114" s="103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17">
        <f t="shared" si="5"/>
        <v>89597771.754772455</v>
      </c>
      <c r="I114" s="118">
        <f t="shared" si="3"/>
        <v>5536259.5847724527</v>
      </c>
      <c r="J114" s="5">
        <f t="shared" si="4"/>
        <v>6.5859624004577941E-2</v>
      </c>
      <c r="K114"/>
      <c r="T114" s="111"/>
      <c r="U114" s="111"/>
      <c r="V114" s="111"/>
      <c r="W114" s="111"/>
      <c r="X114" s="111"/>
      <c r="Y114" s="111"/>
      <c r="Z114" s="111"/>
      <c r="AA114" s="111"/>
      <c r="AB114" s="111"/>
    </row>
    <row r="115" spans="1:28" x14ac:dyDescent="0.3">
      <c r="A115" s="116">
        <v>41030</v>
      </c>
      <c r="B115" s="41">
        <f>+'Purchased Power Model '!B115</f>
        <v>84298340.921818167</v>
      </c>
      <c r="C115" s="96">
        <f>+'Purchased Power Model '!C115</f>
        <v>109.30000000000001</v>
      </c>
      <c r="D115" s="96">
        <f>+'Purchased Power Model '!D115</f>
        <v>21.8</v>
      </c>
      <c r="E115" s="103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17">
        <f t="shared" si="5"/>
        <v>86296247.724941522</v>
      </c>
      <c r="I115" s="118">
        <f t="shared" si="3"/>
        <v>1997906.8031233549</v>
      </c>
      <c r="J115" s="5">
        <f t="shared" si="4"/>
        <v>2.3700428517048726E-2</v>
      </c>
      <c r="K115"/>
      <c r="T115" s="111"/>
      <c r="U115" s="111"/>
      <c r="V115" s="111"/>
      <c r="W115" s="111"/>
      <c r="X115" s="111"/>
      <c r="Y115" s="111"/>
      <c r="Z115" s="111"/>
      <c r="AA115" s="111"/>
      <c r="AB115" s="111"/>
    </row>
    <row r="116" spans="1:28" x14ac:dyDescent="0.3">
      <c r="A116" s="116">
        <v>41061</v>
      </c>
      <c r="B116" s="41">
        <f>+'Purchased Power Model '!B116</f>
        <v>93187121.853636354</v>
      </c>
      <c r="C116" s="96">
        <f>+'Purchased Power Model '!C116</f>
        <v>28.2</v>
      </c>
      <c r="D116" s="96">
        <f>+'Purchased Power Model '!D116</f>
        <v>64.3</v>
      </c>
      <c r="E116" s="103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17">
        <f t="shared" si="5"/>
        <v>93364509.407985032</v>
      </c>
      <c r="I116" s="118">
        <f t="shared" si="3"/>
        <v>177387.5543486774</v>
      </c>
      <c r="J116" s="5">
        <f t="shared" si="4"/>
        <v>1.9035629690043417E-3</v>
      </c>
      <c r="K116"/>
      <c r="T116" s="111"/>
      <c r="U116" s="111"/>
      <c r="V116" s="111"/>
      <c r="W116" s="111"/>
      <c r="X116" s="111"/>
      <c r="Y116" s="111"/>
      <c r="Z116" s="111"/>
      <c r="AA116" s="111"/>
      <c r="AB116" s="111"/>
    </row>
    <row r="117" spans="1:28" x14ac:dyDescent="0.3">
      <c r="A117" s="116">
        <v>41091</v>
      </c>
      <c r="B117" s="41">
        <f>+'Purchased Power Model '!B117</f>
        <v>110767074.55090907</v>
      </c>
      <c r="C117" s="96">
        <f>+'Purchased Power Model '!C117</f>
        <v>0</v>
      </c>
      <c r="D117" s="96">
        <f>+'Purchased Power Model '!D117</f>
        <v>155.30000000000001</v>
      </c>
      <c r="E117" s="103">
        <f>+'Purchased Power Model '!E117</f>
        <v>8.900000000000001E-2</v>
      </c>
      <c r="F117" s="10">
        <f>+'Purchased Power Model '!F117</f>
        <v>31</v>
      </c>
      <c r="G117" s="10">
        <f>+'Purchased Power Model '!G117</f>
        <v>0</v>
      </c>
      <c r="H117" s="117">
        <f t="shared" si="5"/>
        <v>107543268.63773531</v>
      </c>
      <c r="I117" s="118">
        <f t="shared" si="3"/>
        <v>-3223805.9131737649</v>
      </c>
      <c r="J117" s="5">
        <f t="shared" si="4"/>
        <v>-2.9104369924404645E-2</v>
      </c>
      <c r="K117"/>
      <c r="T117" s="111"/>
      <c r="U117" s="111"/>
      <c r="V117" s="111"/>
      <c r="W117" s="111"/>
      <c r="X117" s="111"/>
      <c r="Y117" s="111"/>
      <c r="Z117" s="111"/>
      <c r="AA117" s="111"/>
      <c r="AB117" s="111"/>
    </row>
    <row r="118" spans="1:28" x14ac:dyDescent="0.3">
      <c r="A118" s="116">
        <v>41122</v>
      </c>
      <c r="B118" s="41">
        <f>+'Purchased Power Model '!B118</f>
        <v>101373951.59181817</v>
      </c>
      <c r="C118" s="96">
        <f>+'Purchased Power Model '!C118</f>
        <v>4.4000000000000004</v>
      </c>
      <c r="D118" s="96">
        <f>+'Purchased Power Model '!D118</f>
        <v>102.79999999999998</v>
      </c>
      <c r="E118" s="103">
        <f>+'Purchased Power Model '!E118</f>
        <v>8.900000000000001E-2</v>
      </c>
      <c r="F118" s="10">
        <f>+'Purchased Power Model '!F118</f>
        <v>31</v>
      </c>
      <c r="G118" s="10">
        <f>+'Purchased Power Model '!G118</f>
        <v>0</v>
      </c>
      <c r="H118" s="117">
        <f t="shared" si="5"/>
        <v>100150905.59529257</v>
      </c>
      <c r="I118" s="118">
        <f t="shared" si="3"/>
        <v>-1223045.9965256006</v>
      </c>
      <c r="J118" s="5">
        <f t="shared" si="4"/>
        <v>-1.2064696870554979E-2</v>
      </c>
      <c r="K118"/>
      <c r="T118" s="111"/>
      <c r="U118" s="111"/>
      <c r="V118" s="111"/>
      <c r="W118" s="111"/>
      <c r="X118" s="111"/>
      <c r="Y118" s="111"/>
      <c r="Z118" s="111"/>
      <c r="AA118" s="111"/>
      <c r="AB118" s="111"/>
    </row>
    <row r="119" spans="1:28" x14ac:dyDescent="0.3">
      <c r="A119" s="116">
        <v>41153</v>
      </c>
      <c r="B119" s="41">
        <f>+'Purchased Power Model '!B119</f>
        <v>85023139.218181819</v>
      </c>
      <c r="C119" s="96">
        <f>+'Purchased Power Model '!C119</f>
        <v>84</v>
      </c>
      <c r="D119" s="96">
        <f>+'Purchased Power Model '!D119</f>
        <v>24.400000000000002</v>
      </c>
      <c r="E119" s="103">
        <f>+'Purchased Power Model '!E119</f>
        <v>8.900000000000001E-2</v>
      </c>
      <c r="F119" s="10">
        <f>+'Purchased Power Model '!F119</f>
        <v>30</v>
      </c>
      <c r="G119" s="10">
        <f>+'Purchased Power Model '!G119</f>
        <v>1</v>
      </c>
      <c r="H119" s="117">
        <f t="shared" si="5"/>
        <v>82224459.505911976</v>
      </c>
      <c r="I119" s="118">
        <f t="shared" si="3"/>
        <v>-2798679.7122698426</v>
      </c>
      <c r="J119" s="5">
        <f t="shared" si="4"/>
        <v>-3.2916682893676989E-2</v>
      </c>
      <c r="K119"/>
      <c r="T119" s="111"/>
      <c r="U119" s="111"/>
      <c r="V119" s="111"/>
      <c r="W119" s="111"/>
      <c r="X119" s="111"/>
      <c r="Y119" s="111"/>
      <c r="Z119" s="111"/>
      <c r="AA119" s="111"/>
      <c r="AB119" s="111"/>
    </row>
    <row r="120" spans="1:28" x14ac:dyDescent="0.3">
      <c r="A120" s="116">
        <v>41183</v>
      </c>
      <c r="B120" s="41">
        <f>+'Purchased Power Model '!B120</f>
        <v>85295690.281818166</v>
      </c>
      <c r="C120" s="96">
        <f>+'Purchased Power Model '!C120</f>
        <v>228.99999999999994</v>
      </c>
      <c r="D120" s="96">
        <f>+'Purchased Power Model '!D120</f>
        <v>0</v>
      </c>
      <c r="E120" s="103">
        <f>+'Purchased Power Model '!E120</f>
        <v>9.1999999999999998E-2</v>
      </c>
      <c r="F120" s="10">
        <f>+'Purchased Power Model '!F120</f>
        <v>31</v>
      </c>
      <c r="G120" s="10">
        <f>+'Purchased Power Model '!G120</f>
        <v>1</v>
      </c>
      <c r="H120" s="117">
        <f t="shared" si="5"/>
        <v>87047172.133525953</v>
      </c>
      <c r="I120" s="118">
        <f t="shared" si="3"/>
        <v>1751481.8517077863</v>
      </c>
      <c r="J120" s="5">
        <f t="shared" si="4"/>
        <v>2.053423620725579E-2</v>
      </c>
      <c r="K120"/>
      <c r="T120" s="111"/>
      <c r="U120" s="111"/>
      <c r="V120" s="111"/>
      <c r="W120" s="111"/>
      <c r="X120" s="111"/>
      <c r="Y120" s="111"/>
      <c r="Z120" s="111"/>
      <c r="AA120" s="111"/>
      <c r="AB120" s="111"/>
    </row>
    <row r="121" spans="1:28" x14ac:dyDescent="0.3">
      <c r="A121" s="116">
        <v>41214</v>
      </c>
      <c r="B121" s="41">
        <f>+'Purchased Power Model '!B121</f>
        <v>91679199.734545454</v>
      </c>
      <c r="C121" s="96">
        <f>+'Purchased Power Model '!C121</f>
        <v>427.89999999999992</v>
      </c>
      <c r="D121" s="96">
        <f>+'Purchased Power Model '!D121</f>
        <v>0</v>
      </c>
      <c r="E121" s="103">
        <f>+'Purchased Power Model '!E121</f>
        <v>9.1999999999999998E-2</v>
      </c>
      <c r="F121" s="10">
        <f>+'Purchased Power Model '!F121</f>
        <v>30</v>
      </c>
      <c r="G121" s="10">
        <f>+'Purchased Power Model '!G121</f>
        <v>1</v>
      </c>
      <c r="H121" s="117">
        <f t="shared" si="5"/>
        <v>92325499.323695958</v>
      </c>
      <c r="I121" s="118">
        <f t="shared" si="3"/>
        <v>646299.58915050328</v>
      </c>
      <c r="J121" s="5">
        <f t="shared" si="4"/>
        <v>7.0495771235116094E-3</v>
      </c>
      <c r="K121"/>
      <c r="T121" s="111"/>
      <c r="U121" s="111"/>
      <c r="V121" s="111"/>
      <c r="W121" s="111"/>
      <c r="X121" s="111"/>
      <c r="Y121" s="111"/>
      <c r="Z121" s="111"/>
      <c r="AA121" s="111"/>
      <c r="AB121" s="111"/>
    </row>
    <row r="122" spans="1:28" x14ac:dyDescent="0.3">
      <c r="A122" s="116">
        <v>41244</v>
      </c>
      <c r="B122" s="41">
        <f>+'Purchased Power Model '!B122</f>
        <v>102292637.76363637</v>
      </c>
      <c r="C122" s="96">
        <f>+'Purchased Power Model '!C122</f>
        <v>451.09999999999997</v>
      </c>
      <c r="D122" s="96">
        <f>+'Purchased Power Model '!D122</f>
        <v>0</v>
      </c>
      <c r="E122" s="103">
        <f>+'Purchased Power Model '!E122</f>
        <v>9.1999999999999998E-2</v>
      </c>
      <c r="F122" s="10">
        <f>+'Purchased Power Model '!F122</f>
        <v>31</v>
      </c>
      <c r="G122" s="10">
        <f>+'Purchased Power Model '!G122</f>
        <v>0</v>
      </c>
      <c r="H122" s="117">
        <f t="shared" si="5"/>
        <v>103125845.45768636</v>
      </c>
      <c r="I122" s="118">
        <f t="shared" si="3"/>
        <v>833207.69404999912</v>
      </c>
      <c r="J122" s="5">
        <f t="shared" si="4"/>
        <v>8.1453339386482523E-3</v>
      </c>
      <c r="K122"/>
      <c r="T122" s="111"/>
      <c r="U122" s="111"/>
      <c r="V122" s="111"/>
      <c r="W122" s="111"/>
      <c r="X122" s="111"/>
      <c r="Y122" s="111"/>
      <c r="Z122" s="111"/>
      <c r="AA122" s="111"/>
      <c r="AB122" s="111"/>
    </row>
    <row r="123" spans="1:28" x14ac:dyDescent="0.3">
      <c r="A123" s="3">
        <v>41275</v>
      </c>
      <c r="B123" s="41">
        <f>+'Purchased Power Model '!B123</f>
        <v>107376383.33333334</v>
      </c>
      <c r="C123" s="96">
        <f>+'Purchased Power Model '!C123</f>
        <v>615.40000000000009</v>
      </c>
      <c r="D123" s="96">
        <f>+'Purchased Power Model '!D123</f>
        <v>0</v>
      </c>
      <c r="E123" s="103">
        <f>+'Purchased Power Model '!E123</f>
        <v>8.8000000000000009E-2</v>
      </c>
      <c r="F123" s="10">
        <f>+'Purchased Power Model '!F123</f>
        <v>31</v>
      </c>
      <c r="G123" s="10">
        <f>+'Purchased Power Model '!G123</f>
        <v>0</v>
      </c>
      <c r="H123" s="117">
        <f t="shared" si="5"/>
        <v>110293490.7110839</v>
      </c>
      <c r="I123" s="118">
        <f t="shared" si="3"/>
        <v>2917107.3777505606</v>
      </c>
      <c r="J123" s="5">
        <f t="shared" si="4"/>
        <v>2.7167122668816782E-2</v>
      </c>
      <c r="K123"/>
      <c r="T123" s="111"/>
      <c r="U123" s="120"/>
      <c r="V123" s="120"/>
      <c r="W123" s="111"/>
      <c r="X123" s="111"/>
      <c r="Y123" s="111"/>
      <c r="Z123" s="111"/>
      <c r="AA123" s="111"/>
      <c r="AB123" s="111"/>
    </row>
    <row r="124" spans="1:28" x14ac:dyDescent="0.3">
      <c r="A124" s="3">
        <v>41306</v>
      </c>
      <c r="B124" s="41">
        <f>+'Purchased Power Model '!B124</f>
        <v>98702891.666666672</v>
      </c>
      <c r="C124" s="96">
        <f>+'Purchased Power Model '!C124</f>
        <v>611.5</v>
      </c>
      <c r="D124" s="96">
        <f>+'Purchased Power Model '!D124</f>
        <v>0</v>
      </c>
      <c r="E124" s="103">
        <f>+'Purchased Power Model '!E124</f>
        <v>8.8000000000000009E-2</v>
      </c>
      <c r="F124" s="10">
        <f>+'Purchased Power Model '!F124</f>
        <v>28</v>
      </c>
      <c r="G124" s="10">
        <f>+'Purchased Power Model '!G124</f>
        <v>0</v>
      </c>
      <c r="H124" s="117">
        <f t="shared" si="5"/>
        <v>101705096.07502438</v>
      </c>
      <c r="I124" s="118">
        <f t="shared" si="3"/>
        <v>3002204.4083577096</v>
      </c>
      <c r="J124" s="5">
        <f t="shared" si="4"/>
        <v>3.0416580078490199E-2</v>
      </c>
      <c r="K124"/>
      <c r="T124" s="111"/>
      <c r="U124" s="111"/>
      <c r="V124" s="111"/>
      <c r="W124" s="111"/>
      <c r="X124" s="111"/>
      <c r="Y124" s="111"/>
      <c r="Z124" s="111"/>
      <c r="AA124" s="111"/>
      <c r="AB124" s="111"/>
    </row>
    <row r="125" spans="1:28" x14ac:dyDescent="0.3">
      <c r="A125" s="3">
        <v>41334</v>
      </c>
      <c r="B125" s="41">
        <f>+'Purchased Power Model '!B125</f>
        <v>98851083.333333343</v>
      </c>
      <c r="C125" s="96">
        <f>+'Purchased Power Model '!C125</f>
        <v>545</v>
      </c>
      <c r="D125" s="96">
        <f>+'Purchased Power Model '!D125</f>
        <v>0</v>
      </c>
      <c r="E125" s="103">
        <f>+'Purchased Power Model '!E125</f>
        <v>8.8000000000000009E-2</v>
      </c>
      <c r="F125" s="10">
        <f>+'Purchased Power Model '!F125</f>
        <v>31</v>
      </c>
      <c r="G125" s="10">
        <f>+'Purchased Power Model '!G125</f>
        <v>1</v>
      </c>
      <c r="H125" s="117">
        <f t="shared" si="5"/>
        <v>100383692.12974165</v>
      </c>
      <c r="I125" s="118">
        <f t="shared" si="3"/>
        <v>1532608.7964083105</v>
      </c>
      <c r="J125" s="5">
        <f t="shared" si="4"/>
        <v>1.5504218514634155E-2</v>
      </c>
      <c r="K125"/>
      <c r="T125" s="111"/>
      <c r="U125" s="111"/>
      <c r="V125" s="111"/>
      <c r="W125" s="111"/>
      <c r="X125" s="111"/>
      <c r="Y125" s="111"/>
      <c r="Z125" s="111"/>
      <c r="AA125" s="111"/>
      <c r="AB125" s="111"/>
    </row>
    <row r="126" spans="1:28" x14ac:dyDescent="0.3">
      <c r="A126" s="3">
        <v>41365</v>
      </c>
      <c r="B126" s="41">
        <f>+'Purchased Power Model '!B126</f>
        <v>87330008.333333343</v>
      </c>
      <c r="C126" s="96">
        <f>+'Purchased Power Model '!C126</f>
        <v>366.49999999999994</v>
      </c>
      <c r="D126" s="96">
        <f>+'Purchased Power Model '!D126</f>
        <v>0</v>
      </c>
      <c r="E126" s="103">
        <f>+'Purchased Power Model '!E126</f>
        <v>7.400000000000001E-2</v>
      </c>
      <c r="F126" s="10">
        <f>+'Purchased Power Model '!F126</f>
        <v>30</v>
      </c>
      <c r="G126" s="10">
        <f>+'Purchased Power Model '!G126</f>
        <v>1</v>
      </c>
      <c r="H126" s="117">
        <f t="shared" si="5"/>
        <v>92017434.60332793</v>
      </c>
      <c r="I126" s="118">
        <f t="shared" si="3"/>
        <v>4687426.2699945867</v>
      </c>
      <c r="J126" s="5">
        <f t="shared" si="4"/>
        <v>5.367486342269618E-2</v>
      </c>
      <c r="K126"/>
      <c r="T126" s="111"/>
      <c r="U126" s="111"/>
      <c r="V126" s="111"/>
      <c r="W126" s="111"/>
      <c r="X126" s="111"/>
      <c r="Y126" s="111"/>
      <c r="Z126" s="111"/>
      <c r="AA126" s="111"/>
      <c r="AB126" s="111"/>
    </row>
    <row r="127" spans="1:28" x14ac:dyDescent="0.3">
      <c r="A127" s="3">
        <v>41395</v>
      </c>
      <c r="B127" s="41">
        <f>+'Purchased Power Model '!B127</f>
        <v>81913958.333333343</v>
      </c>
      <c r="C127" s="96">
        <f>+'Purchased Power Model '!C127</f>
        <v>133.4</v>
      </c>
      <c r="D127" s="96">
        <f>+'Purchased Power Model '!D127</f>
        <v>3</v>
      </c>
      <c r="E127" s="103">
        <f>+'Purchased Power Model '!E127</f>
        <v>7.400000000000001E-2</v>
      </c>
      <c r="F127" s="10">
        <f>+'Purchased Power Model '!F127</f>
        <v>31</v>
      </c>
      <c r="G127" s="10">
        <f>+'Purchased Power Model '!G127</f>
        <v>1</v>
      </c>
      <c r="H127" s="117">
        <f t="shared" si="5"/>
        <v>85781010.789683133</v>
      </c>
      <c r="I127" s="118">
        <f t="shared" si="3"/>
        <v>3867052.4563497901</v>
      </c>
      <c r="J127" s="5">
        <f t="shared" si="4"/>
        <v>4.7208711860969435E-2</v>
      </c>
      <c r="K127"/>
      <c r="T127" s="111"/>
      <c r="U127" s="111"/>
      <c r="V127" s="111"/>
      <c r="W127" s="111"/>
      <c r="X127" s="111"/>
      <c r="Y127" s="111"/>
      <c r="Z127" s="111"/>
      <c r="AA127" s="111"/>
      <c r="AB127" s="111"/>
    </row>
    <row r="128" spans="1:28" x14ac:dyDescent="0.3">
      <c r="A128" s="3">
        <v>41426</v>
      </c>
      <c r="B128" s="41">
        <f>+'Purchased Power Model '!B128</f>
        <v>86391933.333333343</v>
      </c>
      <c r="C128" s="96">
        <f>+'Purchased Power Model '!C128</f>
        <v>42.900000000000006</v>
      </c>
      <c r="D128" s="96">
        <f>+'Purchased Power Model '!D128</f>
        <v>32.200000000000003</v>
      </c>
      <c r="E128" s="103">
        <f>+'Purchased Power Model '!E128</f>
        <v>7.400000000000001E-2</v>
      </c>
      <c r="F128" s="10">
        <f>+'Purchased Power Model '!F128</f>
        <v>30</v>
      </c>
      <c r="G128" s="10">
        <f>+'Purchased Power Model '!G128</f>
        <v>0</v>
      </c>
      <c r="H128" s="117">
        <f t="shared" si="5"/>
        <v>90548961.981017634</v>
      </c>
      <c r="I128" s="118">
        <f t="shared" si="3"/>
        <v>4157028.647684291</v>
      </c>
      <c r="J128" s="5">
        <f t="shared" si="4"/>
        <v>4.8118250018145486E-2</v>
      </c>
      <c r="K128"/>
      <c r="T128" s="111"/>
      <c r="U128" s="120"/>
      <c r="V128" s="120"/>
      <c r="W128" s="111"/>
      <c r="X128" s="111"/>
      <c r="Y128" s="111"/>
      <c r="Z128" s="111"/>
      <c r="AA128" s="111"/>
      <c r="AB128" s="111"/>
    </row>
    <row r="129" spans="1:28" x14ac:dyDescent="0.3">
      <c r="A129" s="3">
        <v>41456</v>
      </c>
      <c r="B129" s="41">
        <f>+'Purchased Power Model '!B129</f>
        <v>104037066.66666667</v>
      </c>
      <c r="C129" s="96">
        <f>+'Purchased Power Model '!C129</f>
        <v>4.4000000000000004</v>
      </c>
      <c r="D129" s="96">
        <f>+'Purchased Power Model '!D129</f>
        <v>109.99999999999999</v>
      </c>
      <c r="E129" s="103">
        <f>+'Purchased Power Model '!E129</f>
        <v>6.2E-2</v>
      </c>
      <c r="F129" s="10">
        <f>+'Purchased Power Model '!F129</f>
        <v>31</v>
      </c>
      <c r="G129" s="10">
        <f>+'Purchased Power Model '!G129</f>
        <v>0</v>
      </c>
      <c r="H129" s="117">
        <f t="shared" si="5"/>
        <v>104472399.70807847</v>
      </c>
      <c r="I129" s="118">
        <f t="shared" si="3"/>
        <v>435333.04141180217</v>
      </c>
      <c r="J129" s="5">
        <f t="shared" si="4"/>
        <v>4.1844032647191335E-3</v>
      </c>
      <c r="K129"/>
      <c r="T129" s="111"/>
      <c r="U129" s="111"/>
      <c r="V129" s="111"/>
      <c r="W129" s="111"/>
      <c r="X129" s="111"/>
      <c r="Y129" s="111"/>
      <c r="Z129" s="111"/>
      <c r="AA129" s="111"/>
      <c r="AB129" s="111"/>
    </row>
    <row r="130" spans="1:28" x14ac:dyDescent="0.3">
      <c r="A130" s="3">
        <v>41487</v>
      </c>
      <c r="B130" s="41">
        <f>+'Purchased Power Model '!B130</f>
        <v>95663441.666666672</v>
      </c>
      <c r="C130" s="96">
        <f>+'Purchased Power Model '!C130</f>
        <v>11</v>
      </c>
      <c r="D130" s="96">
        <f>+'Purchased Power Model '!D130</f>
        <v>57.899999999999991</v>
      </c>
      <c r="E130" s="103">
        <f>+'Purchased Power Model '!E130</f>
        <v>6.2E-2</v>
      </c>
      <c r="F130" s="10">
        <f>+'Purchased Power Model '!F130</f>
        <v>31</v>
      </c>
      <c r="G130" s="10">
        <f>+'Purchased Power Model '!G130</f>
        <v>0</v>
      </c>
      <c r="H130" s="117">
        <f t="shared" si="5"/>
        <v>97227185.59262301</v>
      </c>
      <c r="I130" s="118">
        <f t="shared" si="3"/>
        <v>1563743.9259563386</v>
      </c>
      <c r="J130" s="5">
        <f t="shared" si="4"/>
        <v>1.6346306370673004E-2</v>
      </c>
      <c r="K130"/>
      <c r="T130" s="111"/>
      <c r="U130" s="111"/>
      <c r="V130" s="111"/>
      <c r="W130" s="111"/>
      <c r="X130" s="111"/>
      <c r="Y130" s="111"/>
      <c r="Z130" s="111"/>
      <c r="AA130" s="111"/>
      <c r="AB130" s="111"/>
    </row>
    <row r="131" spans="1:28" x14ac:dyDescent="0.3">
      <c r="A131" s="3">
        <v>41518</v>
      </c>
      <c r="B131" s="41">
        <f>+'Purchased Power Model '!B131</f>
        <v>83012108.333333343</v>
      </c>
      <c r="C131" s="96">
        <f>+'Purchased Power Model '!C131</f>
        <v>96.600000000000009</v>
      </c>
      <c r="D131" s="96">
        <f>+'Purchased Power Model '!D131</f>
        <v>15.700000000000001</v>
      </c>
      <c r="E131" s="103">
        <f>+'Purchased Power Model '!E131</f>
        <v>6.2E-2</v>
      </c>
      <c r="F131" s="10">
        <f>+'Purchased Power Model '!F131</f>
        <v>30</v>
      </c>
      <c r="G131" s="10">
        <f>+'Purchased Power Model '!G131</f>
        <v>1</v>
      </c>
      <c r="H131" s="117">
        <f t="shared" si="5"/>
        <v>84765313.223946795</v>
      </c>
      <c r="I131" s="118">
        <f t="shared" ref="I131:I133" si="6">H131-B131</f>
        <v>1753204.8906134516</v>
      </c>
      <c r="J131" s="5">
        <f t="shared" ref="J131:J133" si="7">I131/B131</f>
        <v>2.1119869448123097E-2</v>
      </c>
      <c r="K131"/>
      <c r="T131" s="111"/>
      <c r="U131" s="111"/>
      <c r="V131" s="111"/>
      <c r="W131" s="111"/>
      <c r="X131" s="111"/>
      <c r="Y131" s="111"/>
      <c r="Z131" s="111"/>
      <c r="AA131" s="111"/>
      <c r="AB131" s="111"/>
    </row>
    <row r="132" spans="1:28" x14ac:dyDescent="0.3">
      <c r="A132" s="3">
        <v>41548</v>
      </c>
      <c r="B132" s="41">
        <f>+'Purchased Power Model '!B132</f>
        <v>84463400.000000015</v>
      </c>
      <c r="C132" s="96">
        <f>+'Purchased Power Model '!C132</f>
        <v>221</v>
      </c>
      <c r="D132" s="96">
        <f>+'Purchased Power Model '!D132</f>
        <v>3</v>
      </c>
      <c r="E132" s="103">
        <f>+'Purchased Power Model '!E132</f>
        <v>7.5999999999999998E-2</v>
      </c>
      <c r="F132" s="10">
        <f>+'Purchased Power Model '!F132</f>
        <v>31</v>
      </c>
      <c r="G132" s="10">
        <f>+'Purchased Power Model '!G132</f>
        <v>1</v>
      </c>
      <c r="H132" s="117">
        <f t="shared" ref="H132:H195" si="8">$M$18+C132*$M$19+D132*$M$20+E132*$M$21+F132*$M$22+G132*$M$23</f>
        <v>89100065.470785186</v>
      </c>
      <c r="I132" s="118">
        <f t="shared" si="6"/>
        <v>4636665.4707851708</v>
      </c>
      <c r="J132" s="5">
        <f t="shared" si="7"/>
        <v>5.4895557966943904E-2</v>
      </c>
      <c r="K132"/>
      <c r="T132" s="111"/>
      <c r="U132" s="111"/>
      <c r="V132" s="111"/>
      <c r="W132" s="111"/>
      <c r="X132" s="111"/>
      <c r="Y132" s="111"/>
      <c r="Z132" s="111"/>
      <c r="AA132" s="111"/>
      <c r="AB132" s="111"/>
    </row>
    <row r="133" spans="1:28" x14ac:dyDescent="0.3">
      <c r="A133" s="3">
        <v>41579</v>
      </c>
      <c r="B133" s="41">
        <f>+'Purchased Power Model '!B133</f>
        <v>94249183.333333343</v>
      </c>
      <c r="C133" s="96">
        <f>+'Purchased Power Model '!C133</f>
        <v>458.6</v>
      </c>
      <c r="D133" s="96">
        <f>+'Purchased Power Model '!D133</f>
        <v>0</v>
      </c>
      <c r="E133" s="103">
        <f>+'Purchased Power Model '!E133</f>
        <v>7.5999999999999998E-2</v>
      </c>
      <c r="F133" s="10">
        <f>+'Purchased Power Model '!F133</f>
        <v>30</v>
      </c>
      <c r="G133" s="10">
        <f>+'Purchased Power Model '!G133</f>
        <v>1</v>
      </c>
      <c r="H133" s="117">
        <f t="shared" si="8"/>
        <v>95519481.613650039</v>
      </c>
      <c r="I133" s="118">
        <f t="shared" si="6"/>
        <v>1270298.2803166956</v>
      </c>
      <c r="J133" s="5">
        <f t="shared" si="7"/>
        <v>1.3478082625119427E-2</v>
      </c>
      <c r="K133"/>
      <c r="T133" s="111"/>
      <c r="U133" s="111"/>
      <c r="V133" s="111"/>
      <c r="W133" s="111"/>
      <c r="X133" s="111"/>
      <c r="Y133" s="111"/>
      <c r="Z133" s="111"/>
      <c r="AA133" s="111"/>
      <c r="AB133" s="111"/>
    </row>
    <row r="134" spans="1:28" x14ac:dyDescent="0.3">
      <c r="A134" s="3">
        <v>41609</v>
      </c>
      <c r="B134" s="41">
        <f>+'Purchased Power Model '!B134</f>
        <v>108415583.33333334</v>
      </c>
      <c r="C134" s="96">
        <f>+'Purchased Power Model '!C134</f>
        <v>472.8</v>
      </c>
      <c r="D134" s="96">
        <f ca="1">+'Purchased Power Model '!D134</f>
        <v>0</v>
      </c>
      <c r="E134" s="103">
        <f>+'Purchased Power Model '!E134</f>
        <v>7.5999999999999998E-2</v>
      </c>
      <c r="F134" s="10">
        <f>+'Purchased Power Model '!F134</f>
        <v>31</v>
      </c>
      <c r="G134" s="10">
        <f>+'Purchased Power Model '!G134</f>
        <v>0</v>
      </c>
      <c r="H134" s="117">
        <f t="shared" ca="1" si="8"/>
        <v>105953843.08920036</v>
      </c>
      <c r="I134" s="118">
        <f t="shared" ref="I134" ca="1" si="9">H134-B134</f>
        <v>-2461740.2441329807</v>
      </c>
      <c r="J134" s="5">
        <f t="shared" ref="J134" ca="1" si="10">I134/B134</f>
        <v>-2.2706516613613944E-2</v>
      </c>
      <c r="T134" s="111"/>
      <c r="U134" s="111"/>
      <c r="V134" s="111"/>
      <c r="W134" s="111"/>
      <c r="X134" s="111"/>
      <c r="Y134" s="111"/>
      <c r="Z134" s="111"/>
      <c r="AA134" s="111"/>
      <c r="AB134" s="111"/>
    </row>
    <row r="135" spans="1:28" x14ac:dyDescent="0.3">
      <c r="A135" s="3">
        <v>41640</v>
      </c>
      <c r="B135" s="41">
        <f>+'Purchased Power Model '!B135</f>
        <v>117702582.33333334</v>
      </c>
      <c r="C135" s="96">
        <f>+'Purchased Power Model '!C135</f>
        <v>771.3</v>
      </c>
      <c r="D135" s="96">
        <f>+'Purchased Power Model '!D135</f>
        <v>0</v>
      </c>
      <c r="E135" s="103">
        <f>+'Purchased Power Model '!E135</f>
        <v>7.6999999999999999E-2</v>
      </c>
      <c r="F135" s="10">
        <f>+'Purchased Power Model '!F135</f>
        <v>31</v>
      </c>
      <c r="G135" s="10">
        <f>+'Purchased Power Model '!G135</f>
        <v>0</v>
      </c>
      <c r="H135" s="117">
        <f t="shared" ref="H135:H146" si="11">$M$18+C135*$M$19+D135*$M$20+E135*$M$21+F135*$M$22+G135*$M$23</f>
        <v>117970736.26360629</v>
      </c>
      <c r="I135" s="118">
        <f t="shared" ref="I135:I146" si="12">H135-B135</f>
        <v>268153.93027295172</v>
      </c>
      <c r="J135" s="5">
        <f t="shared" ref="J135:J146" si="13">I135/B135</f>
        <v>2.2782331955431582E-3</v>
      </c>
      <c r="T135" s="111"/>
      <c r="U135" s="111"/>
      <c r="V135" s="111"/>
      <c r="W135" s="111"/>
      <c r="X135" s="111"/>
      <c r="Y135" s="111"/>
      <c r="Z135" s="111"/>
      <c r="AA135" s="111"/>
      <c r="AB135" s="111"/>
    </row>
    <row r="136" spans="1:28" x14ac:dyDescent="0.3">
      <c r="A136" s="3">
        <v>41671</v>
      </c>
      <c r="B136" s="41">
        <f>+'Purchased Power Model '!B136</f>
        <v>101945538.33333334</v>
      </c>
      <c r="C136" s="96">
        <f>+'Purchased Power Model '!C136</f>
        <v>690.84999999999991</v>
      </c>
      <c r="D136" s="96">
        <f>+'Purchased Power Model '!D136</f>
        <v>0</v>
      </c>
      <c r="E136" s="103">
        <f>+'Purchased Power Model '!E136</f>
        <v>7.6999999999999999E-2</v>
      </c>
      <c r="F136" s="10">
        <f>+'Purchased Power Model '!F136</f>
        <v>28</v>
      </c>
      <c r="G136" s="10">
        <f>+'Purchased Power Model '!G136</f>
        <v>0</v>
      </c>
      <c r="H136" s="117">
        <f t="shared" si="11"/>
        <v>106269438.78270346</v>
      </c>
      <c r="I136" s="118">
        <f t="shared" si="12"/>
        <v>4323900.449370116</v>
      </c>
      <c r="J136" s="5">
        <f t="shared" si="13"/>
        <v>4.2413827226378195E-2</v>
      </c>
      <c r="T136" s="111"/>
      <c r="U136" s="111"/>
      <c r="V136" s="111"/>
      <c r="W136" s="111"/>
      <c r="X136" s="111"/>
      <c r="Y136" s="111"/>
      <c r="Z136" s="111"/>
      <c r="AA136" s="111"/>
      <c r="AB136" s="111"/>
    </row>
    <row r="137" spans="1:28" x14ac:dyDescent="0.3">
      <c r="A137" s="3">
        <v>41699</v>
      </c>
      <c r="B137" s="41">
        <f>+'Purchased Power Model '!B137</f>
        <v>106417935.35000001</v>
      </c>
      <c r="C137" s="96">
        <f>+'Purchased Power Model '!C137</f>
        <v>677.95</v>
      </c>
      <c r="D137" s="96">
        <f>+'Purchased Power Model '!D137</f>
        <v>0</v>
      </c>
      <c r="E137" s="103">
        <f>+'Purchased Power Model '!E137</f>
        <v>7.6999999999999999E-2</v>
      </c>
      <c r="F137" s="10">
        <f>+'Purchased Power Model '!F137</f>
        <v>31</v>
      </c>
      <c r="G137" s="10">
        <f>+'Purchased Power Model '!G137</f>
        <v>1</v>
      </c>
      <c r="H137" s="117">
        <f t="shared" si="11"/>
        <v>107127676.80324179</v>
      </c>
      <c r="I137" s="118">
        <f t="shared" si="12"/>
        <v>709741.4532417804</v>
      </c>
      <c r="J137" s="5">
        <f t="shared" si="13"/>
        <v>6.6693781542321601E-3</v>
      </c>
      <c r="T137" s="111"/>
      <c r="U137" s="111"/>
      <c r="V137" s="111"/>
      <c r="W137" s="111"/>
      <c r="X137" s="111"/>
      <c r="Y137" s="111"/>
      <c r="Z137" s="111"/>
      <c r="AA137" s="111"/>
      <c r="AB137" s="111"/>
    </row>
    <row r="138" spans="1:28" x14ac:dyDescent="0.3">
      <c r="A138" s="3">
        <v>41730</v>
      </c>
      <c r="B138" s="41">
        <f>+'Purchased Power Model '!B138</f>
        <v>86925100.333333343</v>
      </c>
      <c r="C138" s="96">
        <f>+'Purchased Power Model '!C138</f>
        <v>371.2999999999999</v>
      </c>
      <c r="D138" s="96">
        <f>+'Purchased Power Model '!D138</f>
        <v>0</v>
      </c>
      <c r="E138" s="103">
        <f>+'Purchased Power Model '!E138</f>
        <v>6.7000000000000004E-2</v>
      </c>
      <c r="F138" s="10">
        <f>+'Purchased Power Model '!F138</f>
        <v>30</v>
      </c>
      <c r="G138" s="10">
        <f>+'Purchased Power Model '!G138</f>
        <v>1</v>
      </c>
      <c r="H138" s="117">
        <f t="shared" si="11"/>
        <v>93063812.401498273</v>
      </c>
      <c r="I138" s="118">
        <f t="shared" si="12"/>
        <v>6138712.0681649297</v>
      </c>
      <c r="J138" s="5">
        <f t="shared" si="13"/>
        <v>7.0620707305768915E-2</v>
      </c>
      <c r="T138" s="111"/>
      <c r="U138" s="111"/>
      <c r="V138" s="111"/>
      <c r="W138" s="111"/>
      <c r="X138" s="111"/>
      <c r="Y138" s="111"/>
      <c r="Z138" s="111"/>
      <c r="AA138" s="111"/>
      <c r="AB138" s="111"/>
    </row>
    <row r="139" spans="1:28" x14ac:dyDescent="0.3">
      <c r="A139" s="3">
        <v>41760</v>
      </c>
      <c r="B139" s="41">
        <f>+'Purchased Power Model '!B139</f>
        <v>81755065.176384613</v>
      </c>
      <c r="C139" s="96">
        <f>+'Purchased Power Model '!C139</f>
        <v>160.49999999999994</v>
      </c>
      <c r="D139" s="96">
        <f>+'Purchased Power Model '!D139</f>
        <v>1.3</v>
      </c>
      <c r="E139" s="103">
        <f>+'Purchased Power Model '!E139</f>
        <v>6.7000000000000004E-2</v>
      </c>
      <c r="F139" s="10">
        <f>+'Purchased Power Model '!F139</f>
        <v>31</v>
      </c>
      <c r="G139" s="10">
        <f>+'Purchased Power Model '!G139</f>
        <v>1</v>
      </c>
      <c r="H139" s="117">
        <f t="shared" si="11"/>
        <v>87489051.697005317</v>
      </c>
      <c r="I139" s="118">
        <f t="shared" si="12"/>
        <v>5733986.5206207037</v>
      </c>
      <c r="J139" s="5">
        <f t="shared" si="13"/>
        <v>7.0136162306882924E-2</v>
      </c>
      <c r="T139" s="111"/>
      <c r="U139" s="111"/>
      <c r="V139" s="111"/>
      <c r="W139" s="111"/>
      <c r="X139" s="111"/>
      <c r="Y139" s="111"/>
      <c r="Z139" s="111"/>
      <c r="AA139" s="111"/>
      <c r="AB139" s="111"/>
    </row>
    <row r="140" spans="1:28" x14ac:dyDescent="0.3">
      <c r="A140" s="3">
        <v>41791</v>
      </c>
      <c r="B140" s="41">
        <f>+'Purchased Power Model '!B140</f>
        <v>88119245.461538464</v>
      </c>
      <c r="C140" s="96">
        <f>+'Purchased Power Model '!C140</f>
        <v>26.9</v>
      </c>
      <c r="D140" s="96">
        <f>+'Purchased Power Model '!D140</f>
        <v>40.1</v>
      </c>
      <c r="E140" s="103">
        <f>+'Purchased Power Model '!E140</f>
        <v>6.7000000000000004E-2</v>
      </c>
      <c r="F140" s="10">
        <f>+'Purchased Power Model '!F140</f>
        <v>30</v>
      </c>
      <c r="G140" s="10">
        <f>+'Purchased Power Model '!G140</f>
        <v>0</v>
      </c>
      <c r="H140" s="117">
        <f t="shared" si="11"/>
        <v>91888807.275544524</v>
      </c>
      <c r="I140" s="118">
        <f t="shared" si="12"/>
        <v>3769561.8140060604</v>
      </c>
      <c r="J140" s="5">
        <f t="shared" si="13"/>
        <v>4.2777962909945323E-2</v>
      </c>
      <c r="T140" s="111"/>
      <c r="U140" s="111"/>
      <c r="V140" s="111"/>
      <c r="W140" s="111"/>
      <c r="X140" s="111"/>
      <c r="Y140" s="111"/>
      <c r="Z140" s="111"/>
      <c r="AA140" s="111"/>
      <c r="AB140" s="111"/>
    </row>
    <row r="141" spans="1:28" x14ac:dyDescent="0.3">
      <c r="A141" s="3">
        <v>41821</v>
      </c>
      <c r="B141" s="41">
        <f>+'Purchased Power Model '!B141</f>
        <v>93045474.15384616</v>
      </c>
      <c r="C141" s="96">
        <f>+'Purchased Power Model '!C141</f>
        <v>9.5999999999999979</v>
      </c>
      <c r="D141" s="96">
        <f>+'Purchased Power Model '!D141</f>
        <v>54.599999999999994</v>
      </c>
      <c r="E141" s="103">
        <f>+'Purchased Power Model '!E141</f>
        <v>7.5999999999999998E-2</v>
      </c>
      <c r="F141" s="10">
        <f>+'Purchased Power Model '!F141</f>
        <v>31</v>
      </c>
      <c r="G141" s="10">
        <f>+'Purchased Power Model '!G141</f>
        <v>0</v>
      </c>
      <c r="H141" s="117">
        <f t="shared" si="11"/>
        <v>94991973.098625958</v>
      </c>
      <c r="I141" s="118">
        <f t="shared" si="12"/>
        <v>1946498.9447797984</v>
      </c>
      <c r="J141" s="5">
        <f t="shared" si="13"/>
        <v>2.0919867005689683E-2</v>
      </c>
      <c r="T141" s="111"/>
      <c r="U141" s="111"/>
      <c r="V141" s="111"/>
      <c r="W141" s="111"/>
      <c r="X141" s="111"/>
      <c r="Y141" s="111"/>
      <c r="Z141" s="111"/>
      <c r="AA141" s="111"/>
      <c r="AB141" s="111"/>
    </row>
    <row r="142" spans="1:28" x14ac:dyDescent="0.3">
      <c r="A142" s="3">
        <v>41852</v>
      </c>
      <c r="B142" s="41">
        <f>+'Purchased Power Model '!B142</f>
        <v>92680248.923076928</v>
      </c>
      <c r="C142" s="96">
        <f>+'Purchased Power Model '!C142</f>
        <v>12.7</v>
      </c>
      <c r="D142" s="96">
        <f>+'Purchased Power Model '!D142</f>
        <v>58</v>
      </c>
      <c r="E142" s="103">
        <f>+'Purchased Power Model '!E142</f>
        <v>7.5999999999999998E-2</v>
      </c>
      <c r="F142" s="10">
        <f>+'Purchased Power Model '!F142</f>
        <v>31</v>
      </c>
      <c r="G142" s="10">
        <f>+'Purchased Power Model '!G142</f>
        <v>0</v>
      </c>
      <c r="H142" s="117">
        <f t="shared" si="11"/>
        <v>95608365.570054814</v>
      </c>
      <c r="I142" s="118">
        <f t="shared" si="12"/>
        <v>2928116.6469778866</v>
      </c>
      <c r="J142" s="5">
        <f t="shared" si="13"/>
        <v>3.1593750351363158E-2</v>
      </c>
      <c r="T142" s="111"/>
      <c r="U142" s="111"/>
      <c r="V142" s="111"/>
      <c r="W142" s="111"/>
      <c r="X142" s="111"/>
      <c r="Y142" s="111"/>
      <c r="Z142" s="111"/>
      <c r="AA142" s="111"/>
      <c r="AB142" s="111"/>
    </row>
    <row r="143" spans="1:28" x14ac:dyDescent="0.3">
      <c r="A143" s="3">
        <v>41883</v>
      </c>
      <c r="B143" s="41">
        <f>+'Purchased Power Model '!B143</f>
        <v>84852396.923076928</v>
      </c>
      <c r="C143" s="96">
        <f>+'Purchased Power Model '!C143</f>
        <v>77.400000000000006</v>
      </c>
      <c r="D143" s="96">
        <f>+'Purchased Power Model '!D143</f>
        <v>22.5</v>
      </c>
      <c r="E143" s="103">
        <f>+'Purchased Power Model '!E143</f>
        <v>7.5999999999999998E-2</v>
      </c>
      <c r="F143" s="10">
        <f>+'Purchased Power Model '!F143</f>
        <v>30</v>
      </c>
      <c r="G143" s="10">
        <f>+'Purchased Power Model '!G143</f>
        <v>1</v>
      </c>
      <c r="H143" s="117">
        <f t="shared" si="11"/>
        <v>83262836.170091212</v>
      </c>
      <c r="I143" s="118">
        <f t="shared" si="12"/>
        <v>-1589560.7529857159</v>
      </c>
      <c r="J143" s="5">
        <f t="shared" si="13"/>
        <v>-1.8733245148357267E-2</v>
      </c>
      <c r="T143" s="111"/>
      <c r="U143" s="111"/>
      <c r="V143" s="111"/>
      <c r="W143" s="111"/>
      <c r="X143" s="111"/>
      <c r="Y143" s="111"/>
      <c r="Z143" s="111"/>
      <c r="AA143" s="111"/>
      <c r="AB143" s="111"/>
    </row>
    <row r="144" spans="1:28" x14ac:dyDescent="0.3">
      <c r="A144" s="3">
        <v>41913</v>
      </c>
      <c r="B144" s="41">
        <f>+'Purchased Power Model '!B144</f>
        <v>84720129.461538464</v>
      </c>
      <c r="C144" s="96">
        <f>+'Purchased Power Model '!C144</f>
        <v>216.29999999999998</v>
      </c>
      <c r="D144" s="96">
        <f>+'Purchased Power Model '!D144</f>
        <v>0.5</v>
      </c>
      <c r="E144" s="103">
        <f>+'Purchased Power Model '!E144</f>
        <v>6.9000000000000006E-2</v>
      </c>
      <c r="F144" s="10">
        <f>+'Purchased Power Model '!F144</f>
        <v>31</v>
      </c>
      <c r="G144" s="10">
        <f>+'Purchased Power Model '!G144</f>
        <v>1</v>
      </c>
      <c r="H144" s="117">
        <f t="shared" si="11"/>
        <v>89399588.563992992</v>
      </c>
      <c r="I144" s="118">
        <f t="shared" si="12"/>
        <v>4679459.1024545282</v>
      </c>
      <c r="J144" s="5">
        <f t="shared" si="13"/>
        <v>5.523432426503698E-2</v>
      </c>
      <c r="T144" s="111"/>
      <c r="U144" s="111"/>
      <c r="V144" s="111"/>
      <c r="W144" s="111"/>
      <c r="X144" s="111"/>
      <c r="Y144" s="111"/>
      <c r="Z144" s="111"/>
      <c r="AA144" s="111"/>
      <c r="AB144" s="111"/>
    </row>
    <row r="145" spans="1:28" x14ac:dyDescent="0.3">
      <c r="A145" s="3">
        <v>41944</v>
      </c>
      <c r="B145" s="41">
        <f>+'Purchased Power Model '!B145</f>
        <v>94073964.750000015</v>
      </c>
      <c r="C145" s="96">
        <f>+'Purchased Power Model '!C145</f>
        <v>407.30000000000013</v>
      </c>
      <c r="D145" s="96">
        <f>+'Purchased Power Model '!D145</f>
        <v>0</v>
      </c>
      <c r="E145" s="103">
        <f>+'Purchased Power Model '!E145</f>
        <v>6.9000000000000006E-2</v>
      </c>
      <c r="F145" s="10">
        <f>+'Purchased Power Model '!F145</f>
        <v>30</v>
      </c>
      <c r="G145" s="10">
        <f>+'Purchased Power Model '!G145</f>
        <v>1</v>
      </c>
      <c r="H145" s="117">
        <f t="shared" si="11"/>
        <v>94284555.040877089</v>
      </c>
      <c r="I145" s="118">
        <f t="shared" si="12"/>
        <v>210590.290877074</v>
      </c>
      <c r="J145" s="5">
        <f t="shared" si="13"/>
        <v>2.238560811556249E-3</v>
      </c>
      <c r="T145" s="111"/>
      <c r="U145" s="111"/>
      <c r="V145" s="111"/>
      <c r="W145" s="111"/>
      <c r="X145" s="111"/>
      <c r="Y145" s="111"/>
      <c r="Z145" s="111"/>
      <c r="AA145" s="111"/>
      <c r="AB145" s="111"/>
    </row>
    <row r="146" spans="1:28" x14ac:dyDescent="0.3">
      <c r="A146" s="3">
        <v>41974</v>
      </c>
      <c r="B146" s="41">
        <f>+'Purchased Power Model '!B146</f>
        <v>102732461.57384616</v>
      </c>
      <c r="C146" s="96">
        <f>+'Purchased Power Model '!C146</f>
        <v>551.79999999999995</v>
      </c>
      <c r="D146" s="96">
        <f>+'Purchased Power Model '!D146</f>
        <v>0</v>
      </c>
      <c r="E146" s="103">
        <f>+'Purchased Power Model '!E146</f>
        <v>6.9000000000000006E-2</v>
      </c>
      <c r="F146" s="10">
        <f>+'Purchased Power Model '!F146</f>
        <v>31</v>
      </c>
      <c r="G146" s="10">
        <f>+'Purchased Power Model '!G146</f>
        <v>0</v>
      </c>
      <c r="H146" s="117">
        <f t="shared" si="11"/>
        <v>110017561.07139911</v>
      </c>
      <c r="I146" s="118">
        <f t="shared" si="12"/>
        <v>7285099.4975529462</v>
      </c>
      <c r="J146" s="5">
        <f t="shared" si="13"/>
        <v>7.091331586867769E-2</v>
      </c>
      <c r="T146" s="111"/>
      <c r="U146" s="111"/>
      <c r="V146" s="111"/>
      <c r="W146" s="111"/>
      <c r="X146" s="111"/>
      <c r="Y146" s="111"/>
      <c r="Z146" s="111"/>
      <c r="AA146" s="111"/>
      <c r="AB146" s="111"/>
    </row>
    <row r="147" spans="1:28" x14ac:dyDescent="0.3">
      <c r="A147" s="3">
        <v>42005</v>
      </c>
      <c r="B147" s="111"/>
      <c r="C147" s="98">
        <f>(+C135/SUM(C$135:C$146))*Trends!B$24</f>
        <v>650.1643613658066</v>
      </c>
      <c r="D147" s="98">
        <f>(+D135/SUM(D$135:D$146))*Trends!C$24</f>
        <v>0</v>
      </c>
      <c r="E147" s="103">
        <f>+'Purchased Power Model '!E147</f>
        <v>7.4999869999999996E-2</v>
      </c>
      <c r="F147" s="10">
        <f>+'Purchased Power Model '!F147</f>
        <v>31</v>
      </c>
      <c r="G147" s="10">
        <f>+'Purchased Power Model '!G147</f>
        <v>0</v>
      </c>
      <c r="H147" s="117">
        <f t="shared" si="8"/>
        <v>113287971.91789877</v>
      </c>
      <c r="I147" s="118"/>
      <c r="J147" s="119"/>
      <c r="T147" s="111"/>
      <c r="U147" s="111"/>
      <c r="V147" s="111"/>
      <c r="W147" s="111"/>
      <c r="X147" s="111"/>
      <c r="Y147" s="111"/>
      <c r="Z147" s="111"/>
      <c r="AA147" s="111"/>
      <c r="AB147" s="111"/>
    </row>
    <row r="148" spans="1:28" x14ac:dyDescent="0.3">
      <c r="A148" s="3">
        <v>42036</v>
      </c>
      <c r="B148" s="111"/>
      <c r="C148" s="98">
        <f>(+C136/SUM(C$135:C$146))*Trends!B$24</f>
        <v>582.34934402899967</v>
      </c>
      <c r="D148" s="98">
        <f>(+D136/SUM(D$135:D$146))*Trends!C$24</f>
        <v>0</v>
      </c>
      <c r="E148" s="103">
        <f>+'Purchased Power Model '!E148</f>
        <v>7.4999869999999996E-2</v>
      </c>
      <c r="F148" s="10">
        <f>+'Purchased Power Model '!F148</f>
        <v>28</v>
      </c>
      <c r="G148" s="10">
        <f>+'Purchased Power Model '!G148</f>
        <v>0</v>
      </c>
      <c r="H148" s="117">
        <f t="shared" si="8"/>
        <v>102100475.5274832</v>
      </c>
      <c r="I148" s="118"/>
      <c r="J148" s="119"/>
      <c r="T148" s="111"/>
      <c r="U148" s="111"/>
      <c r="V148" s="111"/>
      <c r="W148" s="111"/>
      <c r="X148" s="111"/>
      <c r="Y148" s="111"/>
      <c r="Z148" s="111"/>
      <c r="AA148" s="111"/>
      <c r="AB148" s="111"/>
    </row>
    <row r="149" spans="1:28" x14ac:dyDescent="0.3">
      <c r="A149" s="3">
        <v>42064</v>
      </c>
      <c r="B149" s="111"/>
      <c r="C149" s="98">
        <f>(+C137/SUM(C$135:C$146))*Trends!B$24</f>
        <v>571.47533876306056</v>
      </c>
      <c r="D149" s="98">
        <f>(+D137/SUM(D$135:D$146))*Trends!C$24</f>
        <v>0</v>
      </c>
      <c r="E149" s="103">
        <f>+'Purchased Power Model '!E149</f>
        <v>7.4999869999999996E-2</v>
      </c>
      <c r="F149" s="10">
        <f>+'Purchased Power Model '!F149</f>
        <v>31</v>
      </c>
      <c r="G149" s="10">
        <f>+'Purchased Power Model '!G149</f>
        <v>1</v>
      </c>
      <c r="H149" s="117">
        <f t="shared" si="8"/>
        <v>103041100.54699337</v>
      </c>
      <c r="I149" s="118"/>
      <c r="J149" s="119"/>
      <c r="T149" s="111"/>
      <c r="U149" s="111"/>
      <c r="V149" s="111"/>
      <c r="W149" s="111"/>
      <c r="X149" s="111"/>
      <c r="Y149" s="111"/>
      <c r="Z149" s="111"/>
      <c r="AA149" s="111"/>
      <c r="AB149" s="111"/>
    </row>
    <row r="150" spans="1:28" x14ac:dyDescent="0.3">
      <c r="A150" s="3">
        <v>42095</v>
      </c>
      <c r="B150" s="111"/>
      <c r="C150" s="98">
        <f>(+C138/SUM(C$135:C$146))*Trends!B$24</f>
        <v>312.98590350722668</v>
      </c>
      <c r="D150" s="98">
        <f>(+D138/SUM(D$135:D$146))*Trends!C$24</f>
        <v>0</v>
      </c>
      <c r="E150" s="103">
        <f>+'Purchased Power Model '!E150</f>
        <v>7.3999759999999998E-2</v>
      </c>
      <c r="F150" s="10">
        <f>+'Purchased Power Model '!F150</f>
        <v>30</v>
      </c>
      <c r="G150" s="10">
        <f>+'Purchased Power Model '!G150</f>
        <v>1</v>
      </c>
      <c r="H150" s="117">
        <f t="shared" si="8"/>
        <v>89841315.083887443</v>
      </c>
      <c r="I150" s="118"/>
      <c r="J150" s="119"/>
      <c r="T150" s="111"/>
      <c r="U150" s="111"/>
      <c r="V150" s="111"/>
      <c r="W150" s="111"/>
      <c r="X150" s="111"/>
      <c r="Y150" s="111"/>
      <c r="Z150" s="111"/>
      <c r="AA150" s="111"/>
      <c r="AB150" s="111"/>
    </row>
    <row r="151" spans="1:28" x14ac:dyDescent="0.3">
      <c r="A151" s="3">
        <v>42125</v>
      </c>
      <c r="B151" s="111"/>
      <c r="C151" s="98">
        <f>(+C139/SUM(C$135:C$146))*Trends!B$24</f>
        <v>135.29285621575511</v>
      </c>
      <c r="D151" s="98">
        <f>(+D139/SUM(D$135:D$146))*Trends!C$24</f>
        <v>1.8207074041034785</v>
      </c>
      <c r="E151" s="103">
        <f>+'Purchased Power Model '!E151</f>
        <v>7.3999759999999998E-2</v>
      </c>
      <c r="F151" s="10">
        <f>+'Purchased Power Model '!F151</f>
        <v>31</v>
      </c>
      <c r="G151" s="10">
        <f>+'Purchased Power Model '!G151</f>
        <v>1</v>
      </c>
      <c r="H151" s="117">
        <f t="shared" si="8"/>
        <v>85687941.186766431</v>
      </c>
      <c r="I151" s="118"/>
      <c r="J151" s="119"/>
      <c r="T151" s="111"/>
    </row>
    <row r="152" spans="1:28" x14ac:dyDescent="0.3">
      <c r="A152" s="3">
        <v>42156</v>
      </c>
      <c r="B152" s="111"/>
      <c r="C152" s="98">
        <f>(+C140/SUM(C$135:C$146))*Trends!B$24</f>
        <v>22.675251290989493</v>
      </c>
      <c r="D152" s="98">
        <f>(+D140/SUM(D$135:D$146))*Trends!C$24</f>
        <v>56.1618206958073</v>
      </c>
      <c r="E152" s="103">
        <f>+'Purchased Power Model '!E152</f>
        <v>7.3999759999999998E-2</v>
      </c>
      <c r="F152" s="10">
        <f>+'Purchased Power Model '!F152</f>
        <v>30</v>
      </c>
      <c r="G152" s="10">
        <f>+'Purchased Power Model '!G152</f>
        <v>0</v>
      </c>
      <c r="H152" s="117">
        <f t="shared" si="8"/>
        <v>93182207.125262842</v>
      </c>
      <c r="I152" s="118"/>
      <c r="J152" s="119"/>
      <c r="T152" s="111"/>
    </row>
    <row r="153" spans="1:28" x14ac:dyDescent="0.3">
      <c r="A153" s="3">
        <v>42186</v>
      </c>
      <c r="B153" s="111"/>
      <c r="C153" s="98">
        <f>(+C141/SUM(C$135:C$146))*Trends!B$24</f>
        <v>8.0922829886059144</v>
      </c>
      <c r="D153" s="98">
        <f>(+D141/SUM(D$135:D$146))*Trends!C$24</f>
        <v>76.469710972346093</v>
      </c>
      <c r="E153" s="103">
        <f>+'Purchased Power Model '!E153</f>
        <v>7.4000269999999993E-2</v>
      </c>
      <c r="F153" s="10">
        <f>+'Purchased Power Model '!F153</f>
        <v>31</v>
      </c>
      <c r="G153" s="10">
        <f>+'Purchased Power Model '!G153</f>
        <v>0</v>
      </c>
      <c r="H153" s="117">
        <f t="shared" si="8"/>
        <v>98327765.947345272</v>
      </c>
      <c r="I153" s="118"/>
      <c r="J153" s="119"/>
      <c r="T153" s="111"/>
    </row>
    <row r="154" spans="1:28" x14ac:dyDescent="0.3">
      <c r="A154" s="3">
        <v>42217</v>
      </c>
      <c r="B154" s="111"/>
      <c r="C154" s="98">
        <f>(+C142/SUM(C$135:C$146))*Trends!B$24</f>
        <v>10.705416037009909</v>
      </c>
      <c r="D154" s="98">
        <f>(+D142/SUM(D$135:D$146))*Trends!C$24</f>
        <v>81.231561106155198</v>
      </c>
      <c r="E154" s="103">
        <f>+'Purchased Power Model '!E154</f>
        <v>7.4000269999999993E-2</v>
      </c>
      <c r="F154" s="10">
        <f>+'Purchased Power Model '!F154</f>
        <v>31</v>
      </c>
      <c r="G154" s="10">
        <f>+'Purchased Power Model '!G154</f>
        <v>0</v>
      </c>
      <c r="H154" s="117">
        <f t="shared" si="8"/>
        <v>99120759.245391279</v>
      </c>
      <c r="I154" s="118"/>
      <c r="J154" s="119"/>
      <c r="T154" s="111"/>
    </row>
    <row r="155" spans="1:28" x14ac:dyDescent="0.3">
      <c r="A155" s="3">
        <v>42248</v>
      </c>
      <c r="B155" s="111"/>
      <c r="C155" s="98">
        <f>(+C143/SUM(C$135:C$146))*Trends!B$24</f>
        <v>65.244031595635207</v>
      </c>
      <c r="D155" s="98">
        <f>(+D143/SUM(D$135:D$146))*Trends!C$24</f>
        <v>31.512243532560205</v>
      </c>
      <c r="E155" s="103">
        <f>+'Purchased Power Model '!E155</f>
        <v>7.4000269999999993E-2</v>
      </c>
      <c r="F155" s="10">
        <f>+'Purchased Power Model '!F155</f>
        <v>30</v>
      </c>
      <c r="G155" s="10">
        <f>+'Purchased Power Model '!G155</f>
        <v>1</v>
      </c>
      <c r="H155" s="117">
        <f t="shared" si="8"/>
        <v>84311378.276344165</v>
      </c>
      <c r="I155" s="118"/>
      <c r="J155" s="119"/>
      <c r="T155" s="111"/>
    </row>
    <row r="156" spans="1:28" x14ac:dyDescent="0.3">
      <c r="A156" s="3">
        <v>42278</v>
      </c>
      <c r="B156" s="111"/>
      <c r="C156" s="98">
        <f>(+C144/SUM(C$135:C$146))*Trends!B$24</f>
        <v>182.32925108702705</v>
      </c>
      <c r="D156" s="98">
        <f>(+D144/SUM(D$135:D$146))*Trends!C$24</f>
        <v>0.70027207850133788</v>
      </c>
      <c r="E156" s="103">
        <f>+'Purchased Power Model '!E156</f>
        <v>7.8999810000000004E-2</v>
      </c>
      <c r="F156" s="10">
        <f>+'Purchased Power Model '!F156</f>
        <v>31</v>
      </c>
      <c r="G156" s="10">
        <f>+'Purchased Power Model '!G156</f>
        <v>1</v>
      </c>
      <c r="H156" s="117">
        <f t="shared" si="8"/>
        <v>86831094.723433688</v>
      </c>
      <c r="I156" s="118"/>
      <c r="J156" s="119"/>
      <c r="T156" s="111"/>
    </row>
    <row r="157" spans="1:28" x14ac:dyDescent="0.3">
      <c r="A157" s="3">
        <v>42309</v>
      </c>
      <c r="B157" s="111"/>
      <c r="C157" s="98">
        <f>(+C145/SUM(C$135:C$146))*Trends!B$24</f>
        <v>343.33196471449901</v>
      </c>
      <c r="D157" s="98">
        <f>(+D145/SUM(D$135:D$146))*Trends!C$24</f>
        <v>0</v>
      </c>
      <c r="E157" s="103">
        <f>+'Purchased Power Model '!E157</f>
        <v>7.8999810000000004E-2</v>
      </c>
      <c r="F157" s="10">
        <f>+'Purchased Power Model '!F157</f>
        <v>30</v>
      </c>
      <c r="G157" s="10">
        <f>+'Purchased Power Model '!G157</f>
        <v>1</v>
      </c>
      <c r="H157" s="117">
        <f t="shared" si="8"/>
        <v>90467340.445360899</v>
      </c>
      <c r="I157" s="118"/>
      <c r="J157" s="119"/>
      <c r="T157" s="111"/>
    </row>
    <row r="158" spans="1:28" x14ac:dyDescent="0.3">
      <c r="A158" s="3">
        <v>42339</v>
      </c>
      <c r="B158" s="111"/>
      <c r="C158" s="98">
        <f>(+C146/SUM(C$135:C$146))*Trends!B$24</f>
        <v>465.13768261591082</v>
      </c>
      <c r="D158" s="98">
        <f>(+D146/SUM(D$135:D$146))*Trends!C$24</f>
        <v>0</v>
      </c>
      <c r="E158" s="103">
        <f>+'Purchased Power Model '!E158</f>
        <v>7.8999810000000004E-2</v>
      </c>
      <c r="F158" s="10">
        <f>+'Purchased Power Model '!F158</f>
        <v>31</v>
      </c>
      <c r="G158" s="10">
        <f>+'Purchased Power Model '!G158</f>
        <v>0</v>
      </c>
      <c r="H158" s="117">
        <f t="shared" si="8"/>
        <v>105277484.35561681</v>
      </c>
      <c r="I158" s="118"/>
      <c r="J158" s="119"/>
      <c r="T158" s="111"/>
    </row>
    <row r="159" spans="1:28" x14ac:dyDescent="0.3">
      <c r="A159" s="3">
        <v>42370</v>
      </c>
      <c r="B159" s="111"/>
      <c r="C159" s="98">
        <f>(+C147/SUM(C$147:C$158))*Trends!B$24</f>
        <v>650.1643613658066</v>
      </c>
      <c r="D159" s="98">
        <f>(+D147/SUM(D$147:D$158))*Trends!C$24</f>
        <v>0</v>
      </c>
      <c r="E159" s="103">
        <f>+'Purchased Power Model '!E159</f>
        <v>7.2169469999999999E-2</v>
      </c>
      <c r="F159" s="10">
        <f>+'Purchased Power Model '!F159</f>
        <v>31</v>
      </c>
      <c r="G159" s="10">
        <f>+'Purchased Power Model '!G159</f>
        <v>0</v>
      </c>
      <c r="H159" s="117">
        <f t="shared" si="8"/>
        <v>113632142.88914761</v>
      </c>
      <c r="I159" s="118"/>
      <c r="J159" s="119"/>
      <c r="T159" s="111"/>
    </row>
    <row r="160" spans="1:28" x14ac:dyDescent="0.3">
      <c r="A160" s="3">
        <v>42401</v>
      </c>
      <c r="B160" s="111"/>
      <c r="C160" s="98">
        <f>(+C148/SUM(C$147:C$158))*Trends!B$24</f>
        <v>582.34934402899978</v>
      </c>
      <c r="D160" s="98">
        <f>(+D148/SUM(D$147:D$158))*Trends!C$24</f>
        <v>0</v>
      </c>
      <c r="E160" s="103">
        <f>+'Purchased Power Model '!E160</f>
        <v>7.2169469999999999E-2</v>
      </c>
      <c r="F160" s="10">
        <f>+'Purchased Power Model '!F160</f>
        <v>29</v>
      </c>
      <c r="G160" s="10">
        <f>+'Purchased Power Model '!G160</f>
        <v>0</v>
      </c>
      <c r="H160" s="117">
        <f t="shared" si="8"/>
        <v>105254580.26008831</v>
      </c>
      <c r="I160" s="118"/>
      <c r="J160" s="119"/>
      <c r="T160" s="111"/>
    </row>
    <row r="161" spans="1:20" x14ac:dyDescent="0.3">
      <c r="A161" s="3">
        <v>42430</v>
      </c>
      <c r="B161" s="111"/>
      <c r="C161" s="98">
        <f>(+C149/SUM(C$147:C$158))*Trends!B$24</f>
        <v>571.47533876306068</v>
      </c>
      <c r="D161" s="98">
        <f>(+D149/SUM(D$147:D$158))*Trends!C$24</f>
        <v>0</v>
      </c>
      <c r="E161" s="103">
        <f>+'Purchased Power Model '!E161</f>
        <v>7.2169469999999999E-2</v>
      </c>
      <c r="F161" s="10">
        <f>+'Purchased Power Model '!F161</f>
        <v>31</v>
      </c>
      <c r="G161" s="10">
        <f>+'Purchased Power Model '!G161</f>
        <v>1</v>
      </c>
      <c r="H161" s="117">
        <f t="shared" si="8"/>
        <v>103385271.51824223</v>
      </c>
      <c r="I161" s="118"/>
      <c r="J161" s="119"/>
      <c r="T161" s="111"/>
    </row>
    <row r="162" spans="1:20" x14ac:dyDescent="0.3">
      <c r="A162" s="3">
        <v>42461</v>
      </c>
      <c r="B162" s="111"/>
      <c r="C162" s="98">
        <f>(+C150/SUM(C$147:C$158))*Trends!B$24</f>
        <v>312.98590350722668</v>
      </c>
      <c r="D162" s="98">
        <f>(+D150/SUM(D$147:D$158))*Trends!C$24</f>
        <v>0</v>
      </c>
      <c r="E162" s="103">
        <f>+'Purchased Power Model '!E162</f>
        <v>7.1452829999999995E-2</v>
      </c>
      <c r="F162" s="10">
        <f>+'Purchased Power Model '!F162</f>
        <v>30</v>
      </c>
      <c r="G162" s="10">
        <f>+'Purchased Power Model '!G162</f>
        <v>1</v>
      </c>
      <c r="H162" s="117">
        <f t="shared" si="8"/>
        <v>90151016.670872614</v>
      </c>
      <c r="I162" s="118"/>
      <c r="J162" s="119"/>
      <c r="T162" s="111"/>
    </row>
    <row r="163" spans="1:20" x14ac:dyDescent="0.3">
      <c r="A163" s="3">
        <v>42491</v>
      </c>
      <c r="B163" s="111"/>
      <c r="C163" s="98">
        <f>(+C151/SUM(C$147:C$158))*Trends!B$24</f>
        <v>135.29285621575514</v>
      </c>
      <c r="D163" s="98">
        <f>(+D151/SUM(D$147:D$158))*Trends!C$24</f>
        <v>1.8207074041034785</v>
      </c>
      <c r="E163" s="103">
        <f>+'Purchased Power Model '!E163</f>
        <v>7.1452829999999995E-2</v>
      </c>
      <c r="F163" s="10">
        <f>+'Purchased Power Model '!F163</f>
        <v>31</v>
      </c>
      <c r="G163" s="10">
        <f>+'Purchased Power Model '!G163</f>
        <v>1</v>
      </c>
      <c r="H163" s="117">
        <f t="shared" si="8"/>
        <v>85997642.773751602</v>
      </c>
      <c r="I163" s="118"/>
      <c r="J163" s="119"/>
      <c r="T163" s="111"/>
    </row>
    <row r="164" spans="1:20" x14ac:dyDescent="0.3">
      <c r="A164" s="3">
        <v>42522</v>
      </c>
      <c r="B164" s="111"/>
      <c r="C164" s="98">
        <f>(+C152/SUM(C$147:C$158))*Trends!B$24</f>
        <v>22.675251290989497</v>
      </c>
      <c r="D164" s="98">
        <f>(+D152/SUM(D$147:D$158))*Trends!C$24</f>
        <v>56.1618206958073</v>
      </c>
      <c r="E164" s="103">
        <f>+'Purchased Power Model '!E164</f>
        <v>7.1452829999999995E-2</v>
      </c>
      <c r="F164" s="10">
        <f>+'Purchased Power Model '!F164</f>
        <v>30</v>
      </c>
      <c r="G164" s="10">
        <f>+'Purchased Power Model '!G164</f>
        <v>0</v>
      </c>
      <c r="H164" s="117">
        <f t="shared" si="8"/>
        <v>93491908.712248012</v>
      </c>
      <c r="I164" s="118"/>
      <c r="J164" s="119"/>
      <c r="T164" s="111"/>
    </row>
    <row r="165" spans="1:20" x14ac:dyDescent="0.3">
      <c r="A165" s="3">
        <v>42552</v>
      </c>
      <c r="B165" s="111"/>
      <c r="C165" s="98">
        <f>(+C153/SUM(C$147:C$158))*Trends!B$24</f>
        <v>8.0922829886059144</v>
      </c>
      <c r="D165" s="98">
        <f>(+D153/SUM(D$147:D$158))*Trends!C$24</f>
        <v>76.469710972346093</v>
      </c>
      <c r="E165" s="103">
        <f>+'Purchased Power Model '!E165</f>
        <v>7.064187999999999E-2</v>
      </c>
      <c r="F165" s="10">
        <f>+'Purchased Power Model '!F165</f>
        <v>31</v>
      </c>
      <c r="G165" s="10">
        <f>+'Purchased Power Model '!G165</f>
        <v>0</v>
      </c>
      <c r="H165" s="117">
        <f t="shared" si="8"/>
        <v>98736139.4451309</v>
      </c>
      <c r="I165" s="118"/>
      <c r="J165" s="119"/>
      <c r="T165" s="111"/>
    </row>
    <row r="166" spans="1:20" x14ac:dyDescent="0.3">
      <c r="A166" s="3">
        <v>42583</v>
      </c>
      <c r="B166" s="111"/>
      <c r="C166" s="98">
        <f>(+C154/SUM(C$147:C$158))*Trends!B$24</f>
        <v>10.705416037009911</v>
      </c>
      <c r="D166" s="98">
        <f>(+D154/SUM(D$147:D$158))*Trends!C$24</f>
        <v>81.231561106155198</v>
      </c>
      <c r="E166" s="103">
        <f>+'Purchased Power Model '!E166</f>
        <v>7.064187999999999E-2</v>
      </c>
      <c r="F166" s="10">
        <f>+'Purchased Power Model '!F166</f>
        <v>31</v>
      </c>
      <c r="G166" s="10">
        <f>+'Purchased Power Model '!G166</f>
        <v>0</v>
      </c>
      <c r="H166" s="117">
        <f t="shared" si="8"/>
        <v>99529132.743176907</v>
      </c>
      <c r="I166" s="118"/>
      <c r="J166" s="119"/>
      <c r="T166" s="111"/>
    </row>
    <row r="167" spans="1:20" x14ac:dyDescent="0.3">
      <c r="A167" s="3">
        <v>42614</v>
      </c>
      <c r="B167" s="111"/>
      <c r="C167" s="98">
        <f>(+C155/SUM(C$147:C$158))*Trends!B$24</f>
        <v>65.244031595635207</v>
      </c>
      <c r="D167" s="98">
        <f>(+D155/SUM(D$147:D$158))*Trends!C$24</f>
        <v>31.512243532560205</v>
      </c>
      <c r="E167" s="103">
        <f>+'Purchased Power Model '!E167</f>
        <v>7.064187999999999E-2</v>
      </c>
      <c r="F167" s="10">
        <f>+'Purchased Power Model '!F167</f>
        <v>30</v>
      </c>
      <c r="G167" s="10">
        <f>+'Purchased Power Model '!G167</f>
        <v>1</v>
      </c>
      <c r="H167" s="117">
        <f t="shared" si="8"/>
        <v>84719751.774129793</v>
      </c>
      <c r="I167" s="118"/>
      <c r="J167" s="119"/>
      <c r="T167" s="111"/>
    </row>
    <row r="168" spans="1:20" x14ac:dyDescent="0.3">
      <c r="A168" s="3">
        <v>42644</v>
      </c>
      <c r="B168" s="111"/>
      <c r="C168" s="98">
        <f>(+C156/SUM(C$147:C$158))*Trends!B$24</f>
        <v>182.32925108702707</v>
      </c>
      <c r="D168" s="98">
        <f>(+D156/SUM(D$147:D$158))*Trends!C$24</f>
        <v>0.70027207850133788</v>
      </c>
      <c r="E168" s="103">
        <f>+'Purchased Power Model '!E168</f>
        <v>6.9736220000000002E-2</v>
      </c>
      <c r="F168" s="10">
        <f>+'Purchased Power Model '!F168</f>
        <v>31</v>
      </c>
      <c r="G168" s="10">
        <f>+'Purchased Power Model '!G168</f>
        <v>1</v>
      </c>
      <c r="H168" s="117">
        <f t="shared" si="8"/>
        <v>87957528.714230448</v>
      </c>
      <c r="I168" s="118"/>
      <c r="J168" s="119"/>
      <c r="T168" s="111"/>
    </row>
    <row r="169" spans="1:20" x14ac:dyDescent="0.3">
      <c r="A169" s="3">
        <v>42675</v>
      </c>
      <c r="B169" s="111"/>
      <c r="C169" s="98">
        <f>(+C157/SUM(C$147:C$158))*Trends!B$24</f>
        <v>343.33196471449907</v>
      </c>
      <c r="D169" s="98">
        <f>(+D157/SUM(D$147:D$158))*Trends!C$24</f>
        <v>0</v>
      </c>
      <c r="E169" s="103">
        <f>+'Purchased Power Model '!E169</f>
        <v>6.9736220000000002E-2</v>
      </c>
      <c r="F169" s="10">
        <f>+'Purchased Power Model '!F169</f>
        <v>30</v>
      </c>
      <c r="G169" s="10">
        <f>+'Purchased Power Model '!G169</f>
        <v>1</v>
      </c>
      <c r="H169" s="117">
        <f t="shared" si="8"/>
        <v>91593774.436157659</v>
      </c>
      <c r="I169" s="118"/>
      <c r="J169" s="119"/>
      <c r="T169" s="111"/>
    </row>
    <row r="170" spans="1:20" x14ac:dyDescent="0.3">
      <c r="A170" s="3">
        <v>42705</v>
      </c>
      <c r="B170" s="111"/>
      <c r="C170" s="98">
        <f>(+C158/SUM(C$147:C$158))*Trends!B$24</f>
        <v>465.13768261591093</v>
      </c>
      <c r="D170" s="98">
        <f>(+D158/SUM(D$147:D$158))*Trends!C$24</f>
        <v>0</v>
      </c>
      <c r="E170" s="103">
        <f>+'Purchased Power Model '!E170</f>
        <v>6.9736220000000002E-2</v>
      </c>
      <c r="F170" s="10">
        <f>+'Purchased Power Model '!F170</f>
        <v>31</v>
      </c>
      <c r="G170" s="10">
        <f>+'Purchased Power Model '!G170</f>
        <v>0</v>
      </c>
      <c r="H170" s="117">
        <f t="shared" si="8"/>
        <v>106403918.34641355</v>
      </c>
      <c r="I170" s="118"/>
      <c r="J170" s="119"/>
      <c r="T170" s="111"/>
    </row>
    <row r="171" spans="1:20" x14ac:dyDescent="0.3">
      <c r="A171" s="3">
        <v>42736</v>
      </c>
      <c r="B171" s="111"/>
      <c r="C171" s="98">
        <f>(+C159/SUM(C$159:C$170))*Trends!B$24</f>
        <v>650.1643613658066</v>
      </c>
      <c r="D171" s="98">
        <f>(+D159/SUM(D$159:D$170))*Trends!C$24</f>
        <v>0</v>
      </c>
      <c r="E171" s="103">
        <f>+'Purchased Power Model '!E171</f>
        <v>6.8187249999999991E-2</v>
      </c>
      <c r="F171" s="10">
        <f>+'Purchased Power Model '!F171</f>
        <v>31</v>
      </c>
      <c r="G171" s="10">
        <f>+'Purchased Power Model '!G171</f>
        <v>0</v>
      </c>
      <c r="H171" s="117">
        <f t="shared" si="8"/>
        <v>114116372.86552078</v>
      </c>
      <c r="I171" s="118"/>
      <c r="J171" s="119"/>
      <c r="T171" s="111"/>
    </row>
    <row r="172" spans="1:20" x14ac:dyDescent="0.3">
      <c r="A172" s="3">
        <v>42767</v>
      </c>
      <c r="B172" s="111"/>
      <c r="C172" s="98">
        <f>(+C160/SUM(C$159:C$170))*Trends!B$24</f>
        <v>582.34934402899978</v>
      </c>
      <c r="D172" s="98">
        <f>(+D160/SUM(D$159:D$170))*Trends!C$24</f>
        <v>0</v>
      </c>
      <c r="E172" s="103">
        <f>+'Purchased Power Model '!E172</f>
        <v>6.8187249999999991E-2</v>
      </c>
      <c r="F172" s="10">
        <f>+'Purchased Power Model '!F172</f>
        <v>28</v>
      </c>
      <c r="G172" s="10">
        <f>+'Purchased Power Model '!G172</f>
        <v>0</v>
      </c>
      <c r="H172" s="117">
        <f t="shared" si="8"/>
        <v>102928876.4751052</v>
      </c>
      <c r="I172" s="118"/>
      <c r="J172" s="119"/>
      <c r="T172" s="111"/>
    </row>
    <row r="173" spans="1:20" x14ac:dyDescent="0.3">
      <c r="A173" s="3">
        <v>42795</v>
      </c>
      <c r="B173" s="111"/>
      <c r="C173" s="98">
        <f>(+C161/SUM(C$159:C$170))*Trends!B$24</f>
        <v>571.47533876306068</v>
      </c>
      <c r="D173" s="98">
        <f>(+D161/SUM(D$159:D$170))*Trends!C$24</f>
        <v>0</v>
      </c>
      <c r="E173" s="103">
        <f>+'Purchased Power Model '!E173</f>
        <v>6.8187249999999991E-2</v>
      </c>
      <c r="F173" s="10">
        <f>+'Purchased Power Model '!F173</f>
        <v>31</v>
      </c>
      <c r="G173" s="10">
        <f>+'Purchased Power Model '!G173</f>
        <v>1</v>
      </c>
      <c r="H173" s="117">
        <f t="shared" si="8"/>
        <v>103869501.49461539</v>
      </c>
      <c r="I173" s="118"/>
      <c r="J173" s="119"/>
      <c r="T173" s="111"/>
    </row>
    <row r="174" spans="1:20" x14ac:dyDescent="0.3">
      <c r="A174" s="3">
        <v>42826</v>
      </c>
      <c r="B174" s="111"/>
      <c r="C174" s="98">
        <f>(+C162/SUM(C$159:C$170))*Trends!B$24</f>
        <v>312.98590350722668</v>
      </c>
      <c r="D174" s="98">
        <f>(+D162/SUM(D$159:D$170))*Trends!C$24</f>
        <v>0</v>
      </c>
      <c r="E174" s="103">
        <f>+'Purchased Power Model '!E174</f>
        <v>6.7312499999999997E-2</v>
      </c>
      <c r="F174" s="10">
        <f>+'Purchased Power Model '!F174</f>
        <v>30</v>
      </c>
      <c r="G174" s="10">
        <f>+'Purchased Power Model '!G174</f>
        <v>1</v>
      </c>
      <c r="H174" s="117">
        <f t="shared" si="8"/>
        <v>90654472.506581619</v>
      </c>
      <c r="I174" s="118"/>
      <c r="J174" s="119"/>
      <c r="T174" s="111"/>
    </row>
    <row r="175" spans="1:20" x14ac:dyDescent="0.3">
      <c r="A175" s="3">
        <v>42856</v>
      </c>
      <c r="B175" s="111"/>
      <c r="C175" s="98">
        <f>(+C163/SUM(C$159:C$170))*Trends!B$24</f>
        <v>135.29285621575514</v>
      </c>
      <c r="D175" s="98">
        <f>(+D163/SUM(D$159:D$170))*Trends!C$24</f>
        <v>1.8207074041034785</v>
      </c>
      <c r="E175" s="103">
        <f>+'Purchased Power Model '!E175</f>
        <v>6.7312499999999997E-2</v>
      </c>
      <c r="F175" s="10">
        <f>+'Purchased Power Model '!F175</f>
        <v>31</v>
      </c>
      <c r="G175" s="10">
        <f>+'Purchased Power Model '!G175</f>
        <v>1</v>
      </c>
      <c r="H175" s="117">
        <f t="shared" si="8"/>
        <v>86501098.609460592</v>
      </c>
      <c r="I175" s="118"/>
      <c r="J175" s="119"/>
      <c r="T175" s="111"/>
    </row>
    <row r="176" spans="1:20" x14ac:dyDescent="0.3">
      <c r="A176" s="3">
        <v>42887</v>
      </c>
      <c r="B176" s="111"/>
      <c r="C176" s="98">
        <f>(+C164/SUM(C$159:C$170))*Trends!B$24</f>
        <v>22.675251290989497</v>
      </c>
      <c r="D176" s="98">
        <f>(+D164/SUM(D$159:D$170))*Trends!C$24</f>
        <v>56.1618206958073</v>
      </c>
      <c r="E176" s="103">
        <f>+'Purchased Power Model '!E176</f>
        <v>6.7312499999999997E-2</v>
      </c>
      <c r="F176" s="10">
        <f>+'Purchased Power Model '!F176</f>
        <v>30</v>
      </c>
      <c r="G176" s="10">
        <f>+'Purchased Power Model '!G176</f>
        <v>0</v>
      </c>
      <c r="H176" s="117">
        <f t="shared" si="8"/>
        <v>93995364.547957018</v>
      </c>
      <c r="I176" s="118"/>
      <c r="J176" s="119"/>
      <c r="T176" s="111"/>
    </row>
    <row r="177" spans="1:20" x14ac:dyDescent="0.3">
      <c r="A177" s="3">
        <v>42917</v>
      </c>
      <c r="B177" s="111"/>
      <c r="C177" s="98">
        <f>(+C165/SUM(C$159:C$170))*Trends!B$24</f>
        <v>8.0922829886059144</v>
      </c>
      <c r="D177" s="98">
        <f>(+D165/SUM(D$159:D$170))*Trends!C$24</f>
        <v>76.469710972346093</v>
      </c>
      <c r="E177" s="103">
        <f>+'Purchased Power Model '!E177</f>
        <v>6.6562659999999996E-2</v>
      </c>
      <c r="F177" s="10">
        <f>+'Purchased Power Model '!F177</f>
        <v>31</v>
      </c>
      <c r="G177" s="10">
        <f>+'Purchased Power Model '!G177</f>
        <v>0</v>
      </c>
      <c r="H177" s="117">
        <f t="shared" si="8"/>
        <v>99232164.427231565</v>
      </c>
      <c r="I177" s="118"/>
      <c r="J177" s="119"/>
      <c r="T177" s="111"/>
    </row>
    <row r="178" spans="1:20" x14ac:dyDescent="0.3">
      <c r="A178" s="3">
        <v>42948</v>
      </c>
      <c r="B178" s="111"/>
      <c r="C178" s="98">
        <f>(+C166/SUM(C$159:C$170))*Trends!B$24</f>
        <v>10.705416037009911</v>
      </c>
      <c r="D178" s="98">
        <f>(+D166/SUM(D$159:D$170))*Trends!C$24</f>
        <v>81.231561106155198</v>
      </c>
      <c r="E178" s="103">
        <f>+'Purchased Power Model '!E178</f>
        <v>6.6562659999999996E-2</v>
      </c>
      <c r="F178" s="10">
        <f>+'Purchased Power Model '!F178</f>
        <v>31</v>
      </c>
      <c r="G178" s="10">
        <f>+'Purchased Power Model '!G178</f>
        <v>0</v>
      </c>
      <c r="H178" s="117">
        <f t="shared" si="8"/>
        <v>100025157.72527757</v>
      </c>
      <c r="I178" s="118"/>
      <c r="J178" s="119"/>
      <c r="T178" s="111"/>
    </row>
    <row r="179" spans="1:20" x14ac:dyDescent="0.3">
      <c r="A179" s="3">
        <v>42979</v>
      </c>
      <c r="B179" s="111"/>
      <c r="C179" s="98">
        <f>(+C167/SUM(C$159:C$170))*Trends!B$24</f>
        <v>65.244031595635207</v>
      </c>
      <c r="D179" s="98">
        <f>(+D167/SUM(D$159:D$170))*Trends!C$24</f>
        <v>31.512243532560205</v>
      </c>
      <c r="E179" s="103">
        <f>+'Purchased Power Model '!E179</f>
        <v>6.6562659999999996E-2</v>
      </c>
      <c r="F179" s="10">
        <f>+'Purchased Power Model '!F179</f>
        <v>30</v>
      </c>
      <c r="G179" s="10">
        <f>+'Purchased Power Model '!G179</f>
        <v>1</v>
      </c>
      <c r="H179" s="117">
        <f t="shared" si="8"/>
        <v>85215776.756230459</v>
      </c>
      <c r="I179" s="118"/>
      <c r="J179" s="119"/>
      <c r="T179" s="111"/>
    </row>
    <row r="180" spans="1:20" x14ac:dyDescent="0.3">
      <c r="A180" s="3">
        <v>43009</v>
      </c>
      <c r="B180" s="111"/>
      <c r="C180" s="98">
        <f>(+C168/SUM(C$159:C$170))*Trends!B$24</f>
        <v>182.32925108702707</v>
      </c>
      <c r="D180" s="98">
        <f>(+D168/SUM(D$159:D$170))*Trends!C$24</f>
        <v>0.70027207850133788</v>
      </c>
      <c r="E180" s="103">
        <f>+'Purchased Power Model '!E180</f>
        <v>6.5937659999999995E-2</v>
      </c>
      <c r="F180" s="10">
        <f>+'Purchased Power Model '!F180</f>
        <v>31</v>
      </c>
      <c r="G180" s="10">
        <f>+'Purchased Power Model '!G180</f>
        <v>1</v>
      </c>
      <c r="H180" s="117">
        <f t="shared" si="8"/>
        <v>88419426.002439544</v>
      </c>
      <c r="I180" s="118"/>
      <c r="J180" s="119"/>
      <c r="T180" s="111"/>
    </row>
    <row r="181" spans="1:20" x14ac:dyDescent="0.3">
      <c r="A181" s="3">
        <v>43040</v>
      </c>
      <c r="B181" s="111"/>
      <c r="C181" s="98">
        <f>(+C169/SUM(C$159:C$170))*Trends!B$24</f>
        <v>343.33196471449907</v>
      </c>
      <c r="D181" s="98">
        <f>(+D169/SUM(D$159:D$170))*Trends!C$24</f>
        <v>0</v>
      </c>
      <c r="E181" s="103">
        <f>+'Purchased Power Model '!E181</f>
        <v>6.5937659999999995E-2</v>
      </c>
      <c r="F181" s="10">
        <f>+'Purchased Power Model '!F181</f>
        <v>30</v>
      </c>
      <c r="G181" s="10">
        <f>+'Purchased Power Model '!G181</f>
        <v>1</v>
      </c>
      <c r="H181" s="117">
        <f t="shared" si="8"/>
        <v>92055671.724366754</v>
      </c>
      <c r="I181" s="118"/>
      <c r="J181" s="119"/>
      <c r="T181" s="111"/>
    </row>
    <row r="182" spans="1:20" x14ac:dyDescent="0.3">
      <c r="A182" s="3">
        <v>43070</v>
      </c>
      <c r="B182" s="111"/>
      <c r="C182" s="98">
        <f>(+C170/SUM(C$159:C$170))*Trends!B$24</f>
        <v>465.13768261591093</v>
      </c>
      <c r="D182" s="98">
        <f>(+D170/SUM(D$159:D$170))*Trends!C$24</f>
        <v>0</v>
      </c>
      <c r="E182" s="103">
        <f>+'Purchased Power Model '!E182</f>
        <v>6.5937659999999995E-2</v>
      </c>
      <c r="F182" s="10">
        <f>+'Purchased Power Model '!F182</f>
        <v>31</v>
      </c>
      <c r="G182" s="10">
        <f>+'Purchased Power Model '!G182</f>
        <v>0</v>
      </c>
      <c r="H182" s="117">
        <f t="shared" si="8"/>
        <v>106865815.63462266</v>
      </c>
      <c r="I182" s="118"/>
      <c r="J182" s="119"/>
      <c r="T182" s="111"/>
    </row>
    <row r="183" spans="1:20" x14ac:dyDescent="0.3">
      <c r="A183" s="3">
        <v>43101</v>
      </c>
      <c r="B183" s="111"/>
      <c r="C183" s="98">
        <f>(+C171/SUM(C$171:C$182))*Trends!B$24</f>
        <v>650.1643613658066</v>
      </c>
      <c r="D183" s="98">
        <f>(+D171/SUM(D$171:D$182))*Trends!C$24</f>
        <v>0</v>
      </c>
      <c r="E183" s="103">
        <f>+'Purchased Power Model '!E183</f>
        <v>6.6219020000000003E-2</v>
      </c>
      <c r="F183" s="10">
        <f>+'Purchased Power Model '!F183</f>
        <v>31</v>
      </c>
      <c r="G183" s="10">
        <f>+'Purchased Power Model '!G183</f>
        <v>0</v>
      </c>
      <c r="H183" s="117">
        <f t="shared" si="8"/>
        <v>114355705.69153163</v>
      </c>
      <c r="I183" s="118"/>
      <c r="J183" s="119"/>
      <c r="T183" s="111"/>
    </row>
    <row r="184" spans="1:20" x14ac:dyDescent="0.3">
      <c r="A184" s="3">
        <v>43132</v>
      </c>
      <c r="B184" s="111"/>
      <c r="C184" s="98">
        <f>(+C172/SUM(C$171:C$182))*Trends!B$24</f>
        <v>582.34934402899978</v>
      </c>
      <c r="D184" s="98">
        <f>(+D172/SUM(D$171:D$182))*Trends!C$24</f>
        <v>0</v>
      </c>
      <c r="E184" s="103">
        <f>+'Purchased Power Model '!E184</f>
        <v>6.6219020000000003E-2</v>
      </c>
      <c r="F184" s="10">
        <f>+'Purchased Power Model '!F184</f>
        <v>28</v>
      </c>
      <c r="G184" s="10">
        <f>+'Purchased Power Model '!G184</f>
        <v>0</v>
      </c>
      <c r="H184" s="117">
        <f t="shared" si="8"/>
        <v>103168209.30111605</v>
      </c>
      <c r="I184" s="118"/>
      <c r="J184" s="119"/>
      <c r="T184" s="111"/>
    </row>
    <row r="185" spans="1:20" x14ac:dyDescent="0.3">
      <c r="A185" s="3">
        <v>43160</v>
      </c>
      <c r="B185" s="111"/>
      <c r="C185" s="98">
        <f>(+C173/SUM(C$171:C$182))*Trends!B$24</f>
        <v>571.47533876306068</v>
      </c>
      <c r="D185" s="98">
        <f>(+D173/SUM(D$171:D$182))*Trends!C$24</f>
        <v>0</v>
      </c>
      <c r="E185" s="103">
        <f>+'Purchased Power Model '!E185</f>
        <v>6.6219020000000003E-2</v>
      </c>
      <c r="F185" s="10">
        <f>+'Purchased Power Model '!F185</f>
        <v>31</v>
      </c>
      <c r="G185" s="10">
        <f>+'Purchased Power Model '!G185</f>
        <v>1</v>
      </c>
      <c r="H185" s="117">
        <f t="shared" si="8"/>
        <v>104108834.32062624</v>
      </c>
      <c r="I185" s="118"/>
      <c r="J185" s="119"/>
      <c r="T185" s="111"/>
    </row>
    <row r="186" spans="1:20" x14ac:dyDescent="0.3">
      <c r="A186" s="3">
        <v>43191</v>
      </c>
      <c r="B186" s="111"/>
      <c r="C186" s="98">
        <f>(+C174/SUM(C$171:C$182))*Trends!B$24</f>
        <v>312.98590350722668</v>
      </c>
      <c r="D186" s="98">
        <f>(+D174/SUM(D$171:D$182))*Trends!C$24</f>
        <v>0</v>
      </c>
      <c r="E186" s="103">
        <f>+'Purchased Power Model '!E186</f>
        <v>6.5531039999999999E-2</v>
      </c>
      <c r="F186" s="10">
        <f>+'Purchased Power Model '!F186</f>
        <v>30</v>
      </c>
      <c r="G186" s="10">
        <f>+'Purchased Power Model '!G186</f>
        <v>1</v>
      </c>
      <c r="H186" s="117">
        <f t="shared" si="8"/>
        <v>90871094.474657148</v>
      </c>
      <c r="I186" s="118"/>
      <c r="J186" s="119"/>
      <c r="T186" s="111"/>
    </row>
    <row r="187" spans="1:20" x14ac:dyDescent="0.3">
      <c r="A187" s="3">
        <v>43221</v>
      </c>
      <c r="B187" s="111"/>
      <c r="C187" s="98">
        <f>(+C175/SUM(C$171:C$182))*Trends!B$24</f>
        <v>135.29285621575514</v>
      </c>
      <c r="D187" s="98">
        <f>(+D175/SUM(D$171:D$182))*Trends!C$24</f>
        <v>1.8207074041034785</v>
      </c>
      <c r="E187" s="103">
        <f>+'Purchased Power Model '!E187</f>
        <v>6.5531039999999999E-2</v>
      </c>
      <c r="F187" s="10">
        <f>+'Purchased Power Model '!F187</f>
        <v>31</v>
      </c>
      <c r="G187" s="10">
        <f>+'Purchased Power Model '!G187</f>
        <v>1</v>
      </c>
      <c r="H187" s="117">
        <f t="shared" si="8"/>
        <v>86717720.577536121</v>
      </c>
      <c r="I187" s="118"/>
      <c r="J187" s="119"/>
      <c r="T187" s="111"/>
    </row>
    <row r="188" spans="1:20" x14ac:dyDescent="0.3">
      <c r="A188" s="3">
        <v>43252</v>
      </c>
      <c r="B188" s="111"/>
      <c r="C188" s="98">
        <f>(+C176/SUM(C$171:C$182))*Trends!B$24</f>
        <v>22.675251290989497</v>
      </c>
      <c r="D188" s="98">
        <f>(+D176/SUM(D$171:D$182))*Trends!C$24</f>
        <v>56.1618206958073</v>
      </c>
      <c r="E188" s="103">
        <f>+'Purchased Power Model '!E188</f>
        <v>6.5531039999999999E-2</v>
      </c>
      <c r="F188" s="10">
        <f>+'Purchased Power Model '!F188</f>
        <v>30</v>
      </c>
      <c r="G188" s="10">
        <f>+'Purchased Power Model '!G188</f>
        <v>0</v>
      </c>
      <c r="H188" s="117">
        <f t="shared" si="8"/>
        <v>94211986.516032547</v>
      </c>
      <c r="I188" s="118"/>
      <c r="J188" s="119"/>
      <c r="T188" s="111"/>
    </row>
    <row r="189" spans="1:20" x14ac:dyDescent="0.3">
      <c r="A189" s="3">
        <v>43282</v>
      </c>
      <c r="B189" s="111"/>
      <c r="C189" s="98">
        <f>(+C177/SUM(C$171:C$182))*Trends!B$24</f>
        <v>8.0922829886059144</v>
      </c>
      <c r="D189" s="98">
        <f>(+D177/SUM(D$171:D$182))*Trends!C$24</f>
        <v>76.469710972346093</v>
      </c>
      <c r="E189" s="103">
        <f>+'Purchased Power Model '!E189</f>
        <v>6.4656290000000005E-2</v>
      </c>
      <c r="F189" s="10">
        <f>+'Purchased Power Model '!F189</f>
        <v>31</v>
      </c>
      <c r="G189" s="10">
        <f>+'Purchased Power Model '!G189</f>
        <v>0</v>
      </c>
      <c r="H189" s="117">
        <f t="shared" si="8"/>
        <v>99463975.201136202</v>
      </c>
      <c r="I189" s="118"/>
      <c r="J189" s="119"/>
      <c r="T189" s="111"/>
    </row>
    <row r="190" spans="1:20" x14ac:dyDescent="0.3">
      <c r="A190" s="3">
        <v>43313</v>
      </c>
      <c r="B190" s="111"/>
      <c r="C190" s="98">
        <f>(+C178/SUM(C$171:C$182))*Trends!B$24</f>
        <v>10.705416037009911</v>
      </c>
      <c r="D190" s="98">
        <f>(+D178/SUM(D$171:D$182))*Trends!C$24</f>
        <v>81.231561106155198</v>
      </c>
      <c r="E190" s="103">
        <f>+'Purchased Power Model '!E190</f>
        <v>6.4656290000000005E-2</v>
      </c>
      <c r="F190" s="10">
        <f>+'Purchased Power Model '!F190</f>
        <v>31</v>
      </c>
      <c r="G190" s="10">
        <f>+'Purchased Power Model '!G190</f>
        <v>0</v>
      </c>
      <c r="H190" s="117">
        <f t="shared" si="8"/>
        <v>100256968.49918221</v>
      </c>
      <c r="I190" s="118"/>
      <c r="J190" s="119"/>
      <c r="T190" s="111"/>
    </row>
    <row r="191" spans="1:20" x14ac:dyDescent="0.3">
      <c r="A191" s="3">
        <v>43344</v>
      </c>
      <c r="B191" s="111"/>
      <c r="C191" s="98">
        <f>(+C179/SUM(C$171:C$182))*Trends!B$24</f>
        <v>65.244031595635207</v>
      </c>
      <c r="D191" s="98">
        <f>(+D179/SUM(D$171:D$182))*Trends!C$24</f>
        <v>31.512243532560205</v>
      </c>
      <c r="E191" s="103">
        <f>+'Purchased Power Model '!E191</f>
        <v>6.4656290000000005E-2</v>
      </c>
      <c r="F191" s="10">
        <f>+'Purchased Power Model '!F191</f>
        <v>30</v>
      </c>
      <c r="G191" s="10">
        <f>+'Purchased Power Model '!G191</f>
        <v>1</v>
      </c>
      <c r="H191" s="117">
        <f t="shared" si="8"/>
        <v>85447587.530135095</v>
      </c>
      <c r="I191" s="118"/>
      <c r="J191" s="119"/>
      <c r="T191" s="111"/>
    </row>
    <row r="192" spans="1:20" x14ac:dyDescent="0.3">
      <c r="A192" s="3">
        <v>43374</v>
      </c>
      <c r="B192" s="111"/>
      <c r="C192" s="98">
        <f>(+C180/SUM(C$171:C$182))*Trends!B$24</f>
        <v>182.32925108702707</v>
      </c>
      <c r="D192" s="98">
        <f>(+D180/SUM(D$171:D$182))*Trends!C$24</f>
        <v>0.70027207850133788</v>
      </c>
      <c r="E192" s="103">
        <f>+'Purchased Power Model '!E192</f>
        <v>6.3593549999999999E-2</v>
      </c>
      <c r="F192" s="10">
        <f>+'Purchased Power Model '!F192</f>
        <v>31</v>
      </c>
      <c r="G192" s="10">
        <f>+'Purchased Power Model '!G192</f>
        <v>1</v>
      </c>
      <c r="H192" s="117">
        <f t="shared" si="8"/>
        <v>88704465.083634481</v>
      </c>
      <c r="I192" s="118"/>
      <c r="J192" s="119"/>
      <c r="T192" s="111"/>
    </row>
    <row r="193" spans="1:20" x14ac:dyDescent="0.3">
      <c r="A193" s="3">
        <v>43405</v>
      </c>
      <c r="B193" s="111"/>
      <c r="C193" s="98">
        <f>(+C181/SUM(C$171:C$182))*Trends!B$24</f>
        <v>343.33196471449907</v>
      </c>
      <c r="D193" s="98">
        <f>(+D181/SUM(D$171:D$182))*Trends!C$24</f>
        <v>0</v>
      </c>
      <c r="E193" s="103">
        <f>+'Purchased Power Model '!E193</f>
        <v>6.3593549999999999E-2</v>
      </c>
      <c r="F193" s="10">
        <f>+'Purchased Power Model '!F193</f>
        <v>30</v>
      </c>
      <c r="G193" s="10">
        <f>+'Purchased Power Model '!G193</f>
        <v>1</v>
      </c>
      <c r="H193" s="117">
        <f t="shared" si="8"/>
        <v>92340710.805561692</v>
      </c>
      <c r="I193" s="118"/>
      <c r="J193" s="119"/>
      <c r="T193" s="111"/>
    </row>
    <row r="194" spans="1:20" x14ac:dyDescent="0.3">
      <c r="A194" s="3">
        <v>43435</v>
      </c>
      <c r="B194" s="111"/>
      <c r="C194" s="98">
        <f>(+C182/SUM(C$171:C$182))*Trends!B$24</f>
        <v>465.13768261591093</v>
      </c>
      <c r="D194" s="98">
        <f>(+D182/SUM(D$171:D$182))*Trends!C$24</f>
        <v>0</v>
      </c>
      <c r="E194" s="103">
        <f>+'Purchased Power Model '!E194</f>
        <v>6.3593549999999999E-2</v>
      </c>
      <c r="F194" s="10">
        <f>+'Purchased Power Model '!F194</f>
        <v>31</v>
      </c>
      <c r="G194" s="10">
        <f>+'Purchased Power Model '!G194</f>
        <v>0</v>
      </c>
      <c r="H194" s="117">
        <f t="shared" si="8"/>
        <v>107150854.7158176</v>
      </c>
      <c r="I194" s="118"/>
      <c r="J194" s="119"/>
      <c r="T194" s="111"/>
    </row>
    <row r="195" spans="1:20" x14ac:dyDescent="0.3">
      <c r="A195" s="3">
        <v>43466</v>
      </c>
      <c r="B195" s="111"/>
      <c r="C195" s="98">
        <f>(+C183/SUM(C$183:C$194))*Trends!B$24</f>
        <v>650.1643613658066</v>
      </c>
      <c r="D195" s="98">
        <f>(+D183/SUM(D$183:D$194))*Trends!C$24</f>
        <v>0</v>
      </c>
      <c r="E195" s="103">
        <f>+'Purchased Power Model '!E195</f>
        <v>6.2343830000000003E-2</v>
      </c>
      <c r="F195" s="10">
        <f>+'Purchased Power Model '!F195</f>
        <v>31</v>
      </c>
      <c r="G195" s="10">
        <f>+'Purchased Power Model '!G195</f>
        <v>0</v>
      </c>
      <c r="H195" s="117">
        <f t="shared" si="8"/>
        <v>114826921.03426546</v>
      </c>
      <c r="I195" s="118"/>
      <c r="J195" s="119"/>
      <c r="T195" s="111"/>
    </row>
    <row r="196" spans="1:20" x14ac:dyDescent="0.3">
      <c r="A196" s="3">
        <v>43497</v>
      </c>
      <c r="B196" s="111"/>
      <c r="C196" s="98">
        <f>(+C184/SUM(C$183:C$194))*Trends!B$24</f>
        <v>582.34934402899978</v>
      </c>
      <c r="D196" s="98">
        <f>(+D184/SUM(D$183:D$194))*Trends!C$24</f>
        <v>0</v>
      </c>
      <c r="E196" s="103">
        <f>+'Purchased Power Model '!E196</f>
        <v>6.2343830000000003E-2</v>
      </c>
      <c r="F196" s="10">
        <f>+'Purchased Power Model '!F196</f>
        <v>28</v>
      </c>
      <c r="G196" s="10">
        <f>+'Purchased Power Model '!G196</f>
        <v>0</v>
      </c>
      <c r="H196" s="117">
        <f t="shared" ref="H196:H206" si="14">$M$18+C196*$M$19+D196*$M$20+E196*$M$21+F196*$M$22+G196*$M$23</f>
        <v>103639424.64384988</v>
      </c>
      <c r="I196" s="118"/>
      <c r="J196" s="119"/>
      <c r="T196" s="111"/>
    </row>
    <row r="197" spans="1:20" x14ac:dyDescent="0.3">
      <c r="A197" s="3">
        <v>43525</v>
      </c>
      <c r="B197" s="111"/>
      <c r="C197" s="98">
        <f>(+C185/SUM(C$183:C$194))*Trends!B$24</f>
        <v>571.47533876306068</v>
      </c>
      <c r="D197" s="98">
        <f>(+D185/SUM(D$183:D$194))*Trends!C$24</f>
        <v>0</v>
      </c>
      <c r="E197" s="103">
        <f>+'Purchased Power Model '!E197</f>
        <v>6.2343830000000003E-2</v>
      </c>
      <c r="F197" s="10">
        <f>+'Purchased Power Model '!F197</f>
        <v>31</v>
      </c>
      <c r="G197" s="10">
        <f>+'Purchased Power Model '!G197</f>
        <v>1</v>
      </c>
      <c r="H197" s="117">
        <f t="shared" si="14"/>
        <v>104580049.66336007</v>
      </c>
      <c r="I197" s="118"/>
      <c r="J197" s="119"/>
      <c r="T197" s="111"/>
    </row>
    <row r="198" spans="1:20" x14ac:dyDescent="0.3">
      <c r="A198" s="3">
        <v>43556</v>
      </c>
      <c r="B198" s="111"/>
      <c r="C198" s="98">
        <f>(+C186/SUM(C$183:C$194))*Trends!B$24</f>
        <v>312.98590350722668</v>
      </c>
      <c r="D198" s="98">
        <f>(+D186/SUM(D$183:D$194))*Trends!C$24</f>
        <v>0</v>
      </c>
      <c r="E198" s="103">
        <f>+'Purchased Power Model '!E198</f>
        <v>6.0906349999999998E-2</v>
      </c>
      <c r="F198" s="10">
        <f>+'Purchased Power Model '!F198</f>
        <v>30</v>
      </c>
      <c r="G198" s="10">
        <f>+'Purchased Power Model '!G198</f>
        <v>1</v>
      </c>
      <c r="H198" s="117">
        <f t="shared" si="14"/>
        <v>91433447.516285479</v>
      </c>
      <c r="I198" s="118"/>
      <c r="J198" s="119"/>
      <c r="T198" s="111"/>
    </row>
    <row r="199" spans="1:20" x14ac:dyDescent="0.3">
      <c r="A199" s="3">
        <v>43586</v>
      </c>
      <c r="B199" s="111"/>
      <c r="C199" s="98">
        <f>(+C187/SUM(C$183:C$194))*Trends!B$24</f>
        <v>135.29285621575514</v>
      </c>
      <c r="D199" s="98">
        <f>(+D187/SUM(D$183:D$194))*Trends!C$24</f>
        <v>1.8207074041034785</v>
      </c>
      <c r="E199" s="103">
        <f>+'Purchased Power Model '!E199</f>
        <v>6.0906349999999998E-2</v>
      </c>
      <c r="F199" s="10">
        <f>+'Purchased Power Model '!F199</f>
        <v>31</v>
      </c>
      <c r="G199" s="10">
        <f>+'Purchased Power Model '!G199</f>
        <v>1</v>
      </c>
      <c r="H199" s="117">
        <f t="shared" si="14"/>
        <v>87280073.619164467</v>
      </c>
      <c r="I199" s="118"/>
      <c r="J199" s="119"/>
      <c r="T199" s="111"/>
    </row>
    <row r="200" spans="1:20" x14ac:dyDescent="0.3">
      <c r="A200" s="3">
        <v>43617</v>
      </c>
      <c r="B200" s="111"/>
      <c r="C200" s="98">
        <f>(+C188/SUM(C$183:C$194))*Trends!B$24</f>
        <v>22.675251290989497</v>
      </c>
      <c r="D200" s="98">
        <f>(+D188/SUM(D$183:D$194))*Trends!C$24</f>
        <v>56.1618206958073</v>
      </c>
      <c r="E200" s="103">
        <f>+'Purchased Power Model '!E200</f>
        <v>6.0906349999999998E-2</v>
      </c>
      <c r="F200" s="10">
        <f>+'Purchased Power Model '!F200</f>
        <v>30</v>
      </c>
      <c r="G200" s="10">
        <f>+'Purchased Power Model '!G200</f>
        <v>0</v>
      </c>
      <c r="H200" s="117">
        <f t="shared" si="14"/>
        <v>94774339.557660878</v>
      </c>
      <c r="I200" s="118"/>
      <c r="J200" s="119"/>
      <c r="T200" s="111"/>
    </row>
    <row r="201" spans="1:20" x14ac:dyDescent="0.3">
      <c r="A201" s="3">
        <v>43647</v>
      </c>
      <c r="B201" s="111"/>
      <c r="C201" s="98">
        <f>(+C189/SUM(C$183:C$194))*Trends!B$24</f>
        <v>8.0922829886059144</v>
      </c>
      <c r="D201" s="98">
        <f>(+D189/SUM(D$183:D$194))*Trends!C$24</f>
        <v>76.469710972346093</v>
      </c>
      <c r="E201" s="103">
        <f>+'Purchased Power Model '!E201</f>
        <v>5.928129E-2</v>
      </c>
      <c r="F201" s="10">
        <f>+'Purchased Power Model '!F201</f>
        <v>31</v>
      </c>
      <c r="G201" s="10">
        <f>+'Purchased Power Model '!G201</f>
        <v>0</v>
      </c>
      <c r="H201" s="117">
        <f t="shared" si="14"/>
        <v>100117564.43603677</v>
      </c>
      <c r="I201" s="118"/>
      <c r="J201" s="119"/>
      <c r="T201" s="111"/>
    </row>
    <row r="202" spans="1:20" x14ac:dyDescent="0.3">
      <c r="A202" s="3">
        <v>43678</v>
      </c>
      <c r="B202" s="111"/>
      <c r="C202" s="98">
        <f>(+C190/SUM(C$183:C$194))*Trends!B$24</f>
        <v>10.705416037009911</v>
      </c>
      <c r="D202" s="98">
        <f>(+D190/SUM(D$183:D$194))*Trends!C$24</f>
        <v>81.231561106155198</v>
      </c>
      <c r="E202" s="103">
        <f>+'Purchased Power Model '!E202</f>
        <v>5.928129E-2</v>
      </c>
      <c r="F202" s="10">
        <f>+'Purchased Power Model '!F202</f>
        <v>31</v>
      </c>
      <c r="G202" s="10">
        <f>+'Purchased Power Model '!G202</f>
        <v>0</v>
      </c>
      <c r="H202" s="117">
        <f t="shared" si="14"/>
        <v>100910557.73408277</v>
      </c>
      <c r="I202" s="118"/>
      <c r="J202" s="119"/>
      <c r="T202" s="111"/>
    </row>
    <row r="203" spans="1:20" x14ac:dyDescent="0.3">
      <c r="A203" s="3">
        <v>43709</v>
      </c>
      <c r="B203" s="111"/>
      <c r="C203" s="98">
        <f>(+C191/SUM(C$183:C$194))*Trends!B$24</f>
        <v>65.244031595635207</v>
      </c>
      <c r="D203" s="98">
        <f>(+D191/SUM(D$183:D$194))*Trends!C$24</f>
        <v>31.512243532560205</v>
      </c>
      <c r="E203" s="103">
        <f>+'Purchased Power Model '!E203</f>
        <v>5.928129E-2</v>
      </c>
      <c r="F203" s="10">
        <f>+'Purchased Power Model '!F203</f>
        <v>30</v>
      </c>
      <c r="G203" s="10">
        <f>+'Purchased Power Model '!G203</f>
        <v>1</v>
      </c>
      <c r="H203" s="117">
        <f t="shared" si="14"/>
        <v>86101176.765035659</v>
      </c>
      <c r="I203" s="118"/>
      <c r="J203" s="119"/>
      <c r="T203" s="111"/>
    </row>
    <row r="204" spans="1:20" x14ac:dyDescent="0.3">
      <c r="A204" s="3">
        <v>43739</v>
      </c>
      <c r="B204" s="111"/>
      <c r="C204" s="98">
        <f>(+C192/SUM(C$183:C$194))*Trends!B$24</f>
        <v>182.32925108702707</v>
      </c>
      <c r="D204" s="98">
        <f>(+D192/SUM(D$183:D$194))*Trends!C$24</f>
        <v>0.70027207850133788</v>
      </c>
      <c r="E204" s="103">
        <f>+'Purchased Power Model '!E204</f>
        <v>5.7468579999999998E-2</v>
      </c>
      <c r="F204" s="10">
        <f>+'Purchased Power Model '!F204</f>
        <v>31</v>
      </c>
      <c r="G204" s="10">
        <f>+'Purchased Power Model '!G204</f>
        <v>1</v>
      </c>
      <c r="H204" s="117">
        <f t="shared" si="14"/>
        <v>89449249.168488234</v>
      </c>
      <c r="I204" s="118"/>
      <c r="J204" s="119"/>
      <c r="T204" s="111"/>
    </row>
    <row r="205" spans="1:20" x14ac:dyDescent="0.3">
      <c r="A205" s="3">
        <v>43770</v>
      </c>
      <c r="B205" s="111"/>
      <c r="C205" s="98">
        <f>(+C193/SUM(C$183:C$194))*Trends!B$24</f>
        <v>343.33196471449907</v>
      </c>
      <c r="D205" s="98">
        <f>(+D193/SUM(D$183:D$194))*Trends!C$24</f>
        <v>0</v>
      </c>
      <c r="E205" s="103">
        <f>+'Purchased Power Model '!E205</f>
        <v>5.7468579999999998E-2</v>
      </c>
      <c r="F205" s="10">
        <f>+'Purchased Power Model '!F205</f>
        <v>30</v>
      </c>
      <c r="G205" s="10">
        <f>+'Purchased Power Model '!G205</f>
        <v>1</v>
      </c>
      <c r="H205" s="117">
        <f t="shared" si="14"/>
        <v>93085494.890415445</v>
      </c>
      <c r="I205" s="118"/>
      <c r="J205" s="119"/>
      <c r="T205" s="111"/>
    </row>
    <row r="206" spans="1:20" x14ac:dyDescent="0.3">
      <c r="A206" s="3">
        <v>43800</v>
      </c>
      <c r="B206" s="111"/>
      <c r="C206" s="98">
        <f>(+C194/SUM(C$183:C$194))*Trends!B$24</f>
        <v>465.13768261591093</v>
      </c>
      <c r="D206" s="98">
        <f>(+D194/SUM(D$183:D$194))*Trends!C$24</f>
        <v>0</v>
      </c>
      <c r="E206" s="103">
        <f>+'Purchased Power Model '!E206</f>
        <v>5.7468579999999998E-2</v>
      </c>
      <c r="F206" s="10">
        <f>+'Purchased Power Model '!F206</f>
        <v>31</v>
      </c>
      <c r="G206" s="10">
        <f>+'Purchased Power Model '!G206</f>
        <v>0</v>
      </c>
      <c r="H206" s="117">
        <f t="shared" si="14"/>
        <v>107895638.80067134</v>
      </c>
      <c r="I206" s="118"/>
      <c r="J206" s="119"/>
      <c r="T206" s="111"/>
    </row>
    <row r="207" spans="1:20" x14ac:dyDescent="0.3">
      <c r="A207" s="116"/>
      <c r="B207" s="111"/>
      <c r="C207" s="112"/>
      <c r="D207" s="112"/>
      <c r="E207" s="113"/>
      <c r="F207" s="112"/>
      <c r="G207" s="112"/>
      <c r="H207" s="112"/>
      <c r="I207" s="118"/>
      <c r="J207" s="119"/>
      <c r="T207" s="120"/>
    </row>
    <row r="208" spans="1:20" x14ac:dyDescent="0.3">
      <c r="A208" s="3"/>
      <c r="B208" s="6"/>
      <c r="C208" s="18"/>
      <c r="D208" s="179" t="s">
        <v>60</v>
      </c>
      <c r="E208" s="34"/>
      <c r="F208" s="179"/>
      <c r="G208" s="179"/>
      <c r="H208" s="47">
        <f ca="1">SUM(H3:H206)</f>
        <v>19731265698.812786</v>
      </c>
      <c r="I208" s="36"/>
      <c r="J208" s="5"/>
      <c r="L208"/>
      <c r="M208"/>
      <c r="N208"/>
      <c r="O208"/>
      <c r="T208" s="111"/>
    </row>
    <row r="209" spans="1:20" ht="24.9" x14ac:dyDescent="0.3">
      <c r="A209" s="3"/>
      <c r="B209" s="6"/>
      <c r="C209" s="23"/>
      <c r="D209" s="23"/>
      <c r="E209" s="34"/>
      <c r="F209"/>
      <c r="G209"/>
      <c r="H209" s="179"/>
      <c r="I209" s="36"/>
      <c r="J209" s="5" t="s">
        <v>196</v>
      </c>
      <c r="L209" s="393" t="s">
        <v>284</v>
      </c>
      <c r="M209" s="390" t="s">
        <v>282</v>
      </c>
      <c r="N209" s="393" t="s">
        <v>287</v>
      </c>
      <c r="O209" s="391" t="s">
        <v>283</v>
      </c>
      <c r="P209" s="393" t="s">
        <v>286</v>
      </c>
      <c r="Q209" s="391" t="s">
        <v>285</v>
      </c>
      <c r="T209" s="111"/>
    </row>
    <row r="210" spans="1:20" x14ac:dyDescent="0.3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F210"/>
      <c r="G210"/>
      <c r="H210" s="6">
        <f>SUM(H3:H14)</f>
        <v>1206627694.1608171</v>
      </c>
      <c r="I210" s="36">
        <f t="shared" ref="I210:I224" si="15">H210-B210</f>
        <v>-26096475.839182854</v>
      </c>
      <c r="J210" s="5">
        <f t="shared" ref="J210:J226" si="16">I210/B210</f>
        <v>-2.1169760822636302E-2</v>
      </c>
      <c r="L210" s="182"/>
      <c r="M210" s="392">
        <f>+H210-L210</f>
        <v>1206627694.1608171</v>
      </c>
      <c r="N210" s="182"/>
      <c r="O210" s="392">
        <f>+M210-N210</f>
        <v>1206627694.1608171</v>
      </c>
      <c r="P210" s="182"/>
      <c r="Q210" s="392">
        <f>+O210+P210</f>
        <v>1206627694.1608171</v>
      </c>
      <c r="R210" s="110">
        <v>1208483234.4312544</v>
      </c>
      <c r="S210" s="432">
        <f>+Q210-R210</f>
        <v>-1855540.2704372406</v>
      </c>
      <c r="T210" s="111"/>
    </row>
    <row r="211" spans="1:20" x14ac:dyDescent="0.3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F211"/>
      <c r="G211"/>
      <c r="H211" s="6">
        <f>SUM(H15:H26)</f>
        <v>1193979451.6981936</v>
      </c>
      <c r="I211" s="36">
        <f t="shared" si="15"/>
        <v>15538261.69819355</v>
      </c>
      <c r="J211" s="5">
        <f t="shared" si="16"/>
        <v>1.3185436685383977E-2</v>
      </c>
      <c r="L211" s="182"/>
      <c r="M211" s="392">
        <f t="shared" ref="M211:M226" si="17">+H211-L211</f>
        <v>1193979451.6981936</v>
      </c>
      <c r="N211" s="182"/>
      <c r="O211" s="392">
        <f t="shared" ref="O211:O226" si="18">+M211-N211</f>
        <v>1193979451.6981936</v>
      </c>
      <c r="P211" s="182"/>
      <c r="Q211" s="392">
        <f t="shared" ref="Q211:Q226" si="19">+O211+P211</f>
        <v>1193979451.6981936</v>
      </c>
      <c r="R211" s="110">
        <v>1193278221.7053266</v>
      </c>
      <c r="S211" s="432">
        <f t="shared" ref="S211:S226" si="20">+Q211-R211</f>
        <v>701229.99286699295</v>
      </c>
      <c r="T211" s="111"/>
    </row>
    <row r="212" spans="1:20" x14ac:dyDescent="0.3">
      <c r="A212" s="16">
        <v>2005</v>
      </c>
      <c r="B212" s="6">
        <f>SUM(B27:B38)</f>
        <v>1174501350</v>
      </c>
      <c r="C212" s="107">
        <f t="shared" ref="C212:C226" si="21">+B212-B211</f>
        <v>-3939840</v>
      </c>
      <c r="D212" s="109">
        <f t="shared" ref="D212:D226" si="22">+C212/B211</f>
        <v>-3.3432639943619079E-3</v>
      </c>
      <c r="E212" s="109">
        <f>RATE(2,0,-B$210,B212)</f>
        <v>-2.3901142331683341E-2</v>
      </c>
      <c r="F212"/>
      <c r="G212"/>
      <c r="H212" s="6">
        <f>SUM(H27:H38)</f>
        <v>1203979720.1338103</v>
      </c>
      <c r="I212" s="36">
        <f t="shared" si="15"/>
        <v>29478370.133810282</v>
      </c>
      <c r="J212" s="5">
        <f t="shared" si="16"/>
        <v>2.5098626011634879E-2</v>
      </c>
      <c r="L212" s="182"/>
      <c r="M212" s="392">
        <f t="shared" si="17"/>
        <v>1203979720.1338103</v>
      </c>
      <c r="N212" s="182"/>
      <c r="O212" s="392">
        <f t="shared" si="18"/>
        <v>1203979720.1338103</v>
      </c>
      <c r="P212" s="182"/>
      <c r="Q212" s="392">
        <f t="shared" si="19"/>
        <v>1203979720.1338103</v>
      </c>
      <c r="R212" s="110">
        <v>1203281045.2314129</v>
      </c>
      <c r="S212" s="432">
        <f t="shared" si="20"/>
        <v>698674.90239739418</v>
      </c>
      <c r="T212" s="120"/>
    </row>
    <row r="213" spans="1:20" x14ac:dyDescent="0.3">
      <c r="A213">
        <v>2006</v>
      </c>
      <c r="B213" s="6">
        <f>SUM(B39:B50)</f>
        <v>1151360440</v>
      </c>
      <c r="C213" s="107">
        <f t="shared" si="21"/>
        <v>-23140910</v>
      </c>
      <c r="D213" s="109">
        <f t="shared" si="22"/>
        <v>-1.9702753002369899E-2</v>
      </c>
      <c r="E213" s="109">
        <f>RATE(3,0,-B$210,B213)</f>
        <v>-2.2503680894619967E-2</v>
      </c>
      <c r="F213"/>
      <c r="G213"/>
      <c r="H213" s="6">
        <f>SUM(H39:H50)</f>
        <v>1167569771.1626649</v>
      </c>
      <c r="I213" s="36">
        <f t="shared" si="15"/>
        <v>16209331.16266489</v>
      </c>
      <c r="J213" s="5">
        <f t="shared" si="16"/>
        <v>1.4078415932603078E-2</v>
      </c>
      <c r="L213" s="182"/>
      <c r="M213" s="392">
        <f t="shared" si="17"/>
        <v>1167569771.1626649</v>
      </c>
      <c r="N213" s="182"/>
      <c r="O213" s="392">
        <f t="shared" si="18"/>
        <v>1167569771.1626649</v>
      </c>
      <c r="P213" s="182"/>
      <c r="Q213" s="392">
        <f t="shared" si="19"/>
        <v>1167569771.1626649</v>
      </c>
      <c r="R213" s="110">
        <v>1166568192.2886453</v>
      </c>
      <c r="S213" s="432">
        <f t="shared" si="20"/>
        <v>1001578.8740196228</v>
      </c>
      <c r="T213" s="111"/>
    </row>
    <row r="214" spans="1:20" x14ac:dyDescent="0.3">
      <c r="A214" s="16">
        <v>2007</v>
      </c>
      <c r="B214" s="6">
        <f>SUM(B51:B62)</f>
        <v>1191153590</v>
      </c>
      <c r="C214" s="107">
        <f t="shared" si="21"/>
        <v>39793150</v>
      </c>
      <c r="D214" s="109">
        <f t="shared" si="22"/>
        <v>3.4561852759158546E-2</v>
      </c>
      <c r="E214" s="109">
        <f>RATE(4,0,-B$210,B214)</f>
        <v>-8.5393934317338754E-3</v>
      </c>
      <c r="F214"/>
      <c r="G214"/>
      <c r="H214" s="6">
        <f>SUM(H51:H62)</f>
        <v>1143276288.5600548</v>
      </c>
      <c r="I214" s="36">
        <f t="shared" si="15"/>
        <v>-47877301.439945221</v>
      </c>
      <c r="J214" s="5">
        <f t="shared" si="16"/>
        <v>-4.0194062161156917E-2</v>
      </c>
      <c r="L214" s="182"/>
      <c r="M214" s="392">
        <f t="shared" si="17"/>
        <v>1143276288.5600548</v>
      </c>
      <c r="N214" s="182"/>
      <c r="O214" s="392">
        <f t="shared" si="18"/>
        <v>1143276288.5600548</v>
      </c>
      <c r="P214" s="182"/>
      <c r="Q214" s="392">
        <f t="shared" si="19"/>
        <v>1143276288.5600548</v>
      </c>
      <c r="R214" s="110">
        <v>1142506607.2224176</v>
      </c>
      <c r="S214" s="432">
        <f t="shared" si="20"/>
        <v>769681.33763718605</v>
      </c>
      <c r="T214" s="111"/>
    </row>
    <row r="215" spans="1:20" x14ac:dyDescent="0.3">
      <c r="A215">
        <v>2008</v>
      </c>
      <c r="B215" s="6">
        <f>SUM(B63:B74)</f>
        <v>1158881926</v>
      </c>
      <c r="C215" s="107">
        <f t="shared" si="21"/>
        <v>-32271664</v>
      </c>
      <c r="D215" s="109">
        <f t="shared" si="22"/>
        <v>-2.70927815446537E-2</v>
      </c>
      <c r="E215" s="109">
        <f>RATE(5,0,-B$210,B215)</f>
        <v>-1.2278162500929547E-2</v>
      </c>
      <c r="F215"/>
      <c r="G215"/>
      <c r="H215" s="6">
        <f>SUM(H63:H74)</f>
        <v>1104122225.6612682</v>
      </c>
      <c r="I215" s="36">
        <f t="shared" si="15"/>
        <v>-54759700.338731766</v>
      </c>
      <c r="J215" s="5">
        <f t="shared" si="16"/>
        <v>-4.7252182565087106E-2</v>
      </c>
      <c r="L215" s="182"/>
      <c r="M215" s="392">
        <f t="shared" si="17"/>
        <v>1104122225.6612682</v>
      </c>
      <c r="N215" s="182"/>
      <c r="O215" s="392">
        <f t="shared" si="18"/>
        <v>1104122225.6612682</v>
      </c>
      <c r="P215" s="182"/>
      <c r="Q215" s="392">
        <f t="shared" si="19"/>
        <v>1104122225.6612682</v>
      </c>
      <c r="R215" s="110">
        <v>1105605337.8738799</v>
      </c>
      <c r="S215" s="432">
        <f t="shared" si="20"/>
        <v>-1483112.2126116753</v>
      </c>
      <c r="T215" s="111"/>
    </row>
    <row r="216" spans="1:20" x14ac:dyDescent="0.3">
      <c r="A216" s="16">
        <v>2009</v>
      </c>
      <c r="B216" s="6">
        <f>SUM(B75:B86)</f>
        <v>1128390784.5107694</v>
      </c>
      <c r="C216" s="107">
        <f t="shared" si="21"/>
        <v>-30491141.489230633</v>
      </c>
      <c r="D216" s="109">
        <f t="shared" si="22"/>
        <v>-2.6310826672803447E-2</v>
      </c>
      <c r="E216" s="109">
        <f>RATE(6,0,-B$210,B216)</f>
        <v>-1.4630905973235077E-2</v>
      </c>
      <c r="F216"/>
      <c r="G216"/>
      <c r="H216" s="6">
        <f>SUM(H75:H86)</f>
        <v>1123059224.0894532</v>
      </c>
      <c r="I216" s="36">
        <f t="shared" si="15"/>
        <v>-5331560.4213161469</v>
      </c>
      <c r="J216" s="5">
        <f t="shared" si="16"/>
        <v>-4.7249237538108078E-3</v>
      </c>
      <c r="L216" s="182"/>
      <c r="M216" s="392">
        <f t="shared" si="17"/>
        <v>1123059224.0894532</v>
      </c>
      <c r="N216" s="182"/>
      <c r="O216" s="392">
        <f t="shared" si="18"/>
        <v>1123059224.0894532</v>
      </c>
      <c r="P216" s="182"/>
      <c r="Q216" s="392">
        <f t="shared" si="19"/>
        <v>1123059224.0894532</v>
      </c>
      <c r="R216" s="110">
        <v>1123816338.2115908</v>
      </c>
      <c r="S216" s="432">
        <f t="shared" si="20"/>
        <v>-757114.12213754654</v>
      </c>
      <c r="T216" s="111"/>
    </row>
    <row r="217" spans="1:20" x14ac:dyDescent="0.3">
      <c r="A217">
        <v>2010</v>
      </c>
      <c r="B217" s="6">
        <f>SUM(B87:B98)</f>
        <v>1148489331.8146157</v>
      </c>
      <c r="C217" s="107">
        <f t="shared" si="21"/>
        <v>20098547.303846359</v>
      </c>
      <c r="D217" s="109">
        <f t="shared" si="22"/>
        <v>1.781169039993568E-2</v>
      </c>
      <c r="E217" s="109">
        <f>RATE(7,0,-B$210,B217)</f>
        <v>-1.0060343960087228E-2</v>
      </c>
      <c r="F217"/>
      <c r="G217"/>
      <c r="H217" s="6">
        <f>SUM(H87:H98)</f>
        <v>1129587697.9506867</v>
      </c>
      <c r="I217" s="36">
        <f t="shared" si="15"/>
        <v>-18901633.863929033</v>
      </c>
      <c r="J217" s="5">
        <f t="shared" si="16"/>
        <v>-1.645782275928015E-2</v>
      </c>
      <c r="L217" s="182"/>
      <c r="M217" s="392">
        <f t="shared" si="17"/>
        <v>1129587697.9506867</v>
      </c>
      <c r="N217" s="182"/>
      <c r="O217" s="392">
        <f t="shared" si="18"/>
        <v>1129587697.9506867</v>
      </c>
      <c r="P217" s="182"/>
      <c r="Q217" s="392">
        <f t="shared" si="19"/>
        <v>1129587697.9506867</v>
      </c>
      <c r="R217" s="110">
        <v>1128203375.0065463</v>
      </c>
      <c r="S217" s="432">
        <f t="shared" si="20"/>
        <v>1384322.9441404343</v>
      </c>
      <c r="T217" s="111"/>
    </row>
    <row r="218" spans="1:20" x14ac:dyDescent="0.3">
      <c r="A218">
        <v>2011</v>
      </c>
      <c r="B218" s="6">
        <f>SUM(B99:B110)</f>
        <v>1148632387.3953846</v>
      </c>
      <c r="C218" s="107">
        <f t="shared" si="21"/>
        <v>143055.58076882362</v>
      </c>
      <c r="D218" s="109">
        <f t="shared" si="22"/>
        <v>1.2455978197272019E-4</v>
      </c>
      <c r="E218" s="109">
        <f>RATE(8,0,-B$210,B218)</f>
        <v>-8.7929249231188996E-3</v>
      </c>
      <c r="F218"/>
      <c r="G218"/>
      <c r="H218" s="6">
        <f>SUM(H99:H110)</f>
        <v>1161830633.4946833</v>
      </c>
      <c r="I218" s="36">
        <f t="shared" si="15"/>
        <v>13198246.099298716</v>
      </c>
      <c r="J218" s="5">
        <f t="shared" si="16"/>
        <v>1.1490400448507977E-2</v>
      </c>
      <c r="L218" s="182"/>
      <c r="M218" s="392">
        <f t="shared" si="17"/>
        <v>1161830633.4946833</v>
      </c>
      <c r="N218" s="182"/>
      <c r="O218" s="392">
        <f t="shared" si="18"/>
        <v>1161830633.4946833</v>
      </c>
      <c r="P218" s="182"/>
      <c r="Q218" s="392">
        <f t="shared" si="19"/>
        <v>1161830633.4946833</v>
      </c>
      <c r="R218" s="110">
        <v>1162405206.2491772</v>
      </c>
      <c r="S218" s="432">
        <f t="shared" si="20"/>
        <v>-574572.7544939518</v>
      </c>
      <c r="T218" s="111"/>
    </row>
    <row r="219" spans="1:20" x14ac:dyDescent="0.3">
      <c r="A219">
        <v>2012</v>
      </c>
      <c r="B219" s="6">
        <f>SUM(B111:B122)</f>
        <v>1136211952.670979</v>
      </c>
      <c r="C219" s="107">
        <f t="shared" si="21"/>
        <v>-12420434.724405527</v>
      </c>
      <c r="D219" s="109">
        <f t="shared" si="22"/>
        <v>-1.0813237429748827E-2</v>
      </c>
      <c r="E219" s="109">
        <f>RATE(9,0,-B$210,B219)</f>
        <v>-9.0176077035169049E-3</v>
      </c>
      <c r="F219"/>
      <c r="G219"/>
      <c r="H219" s="6">
        <f>SUM(H111:H122)</f>
        <v>1150989222.1932878</v>
      </c>
      <c r="I219" s="36">
        <f t="shared" si="15"/>
        <v>14777269.522308826</v>
      </c>
      <c r="J219" s="5">
        <f t="shared" si="16"/>
        <v>1.3005733206353608E-2</v>
      </c>
      <c r="L219" s="182"/>
      <c r="M219" s="392">
        <f t="shared" si="17"/>
        <v>1150989222.1932878</v>
      </c>
      <c r="N219" s="182"/>
      <c r="O219" s="392">
        <f t="shared" si="18"/>
        <v>1150989222.1932878</v>
      </c>
      <c r="P219" s="182"/>
      <c r="Q219" s="392">
        <f t="shared" si="19"/>
        <v>1150989222.1932878</v>
      </c>
      <c r="R219" s="110">
        <v>1148412454.4669952</v>
      </c>
      <c r="S219" s="432">
        <f t="shared" si="20"/>
        <v>2576767.7262926102</v>
      </c>
      <c r="T219" s="111"/>
    </row>
    <row r="220" spans="1:20" x14ac:dyDescent="0.3">
      <c r="A220">
        <v>2013</v>
      </c>
      <c r="B220" s="6">
        <f>SUM(B123:B134)</f>
        <v>1130407041.6666667</v>
      </c>
      <c r="C220" s="107">
        <f t="shared" si="21"/>
        <v>-5804911.0043122768</v>
      </c>
      <c r="D220" s="109">
        <f t="shared" si="22"/>
        <v>-5.1090036420284399E-3</v>
      </c>
      <c r="E220" s="109">
        <f>RATE(10,0,-B$210,B220)</f>
        <v>-8.6274392985243292E-3</v>
      </c>
      <c r="F220"/>
      <c r="G220"/>
      <c r="H220" s="6">
        <f ca="1">SUM(H123:H134)</f>
        <v>1157767974.9881625</v>
      </c>
      <c r="I220" s="36">
        <f t="shared" ca="1" si="15"/>
        <v>27360933.321495771</v>
      </c>
      <c r="J220" s="5">
        <f t="shared" ca="1" si="16"/>
        <v>2.4204496533527377E-2</v>
      </c>
      <c r="L220" s="182"/>
      <c r="M220" s="392">
        <f t="shared" ca="1" si="17"/>
        <v>1157767974.9881625</v>
      </c>
      <c r="N220" s="182"/>
      <c r="O220" s="392">
        <f t="shared" ca="1" si="18"/>
        <v>1157767974.9881625</v>
      </c>
      <c r="P220" s="182"/>
      <c r="Q220" s="392">
        <f t="shared" ca="1" si="19"/>
        <v>1157767974.9881625</v>
      </c>
      <c r="R220" s="110">
        <v>1162091422.8514135</v>
      </c>
      <c r="S220" s="432">
        <f t="shared" ca="1" si="20"/>
        <v>-4323447.8632509708</v>
      </c>
      <c r="T220" s="111"/>
    </row>
    <row r="221" spans="1:20" x14ac:dyDescent="0.3">
      <c r="A221">
        <v>2014</v>
      </c>
      <c r="B221" s="6">
        <f>SUM(B135:B146)</f>
        <v>1134970142.7733078</v>
      </c>
      <c r="C221" s="107">
        <f t="shared" ref="C221" si="23">+B221-B220</f>
        <v>4563101.1066410542</v>
      </c>
      <c r="D221" s="109">
        <f>+C221/B220</f>
        <v>4.0366885010847415E-3</v>
      </c>
      <c r="E221" s="109">
        <f>RATE(10,0,-B$210,B221)</f>
        <v>-8.2279781660642495E-3</v>
      </c>
      <c r="F221"/>
      <c r="G221"/>
      <c r="H221" s="6">
        <f>SUM(H135:H146)</f>
        <v>1171374402.7386408</v>
      </c>
      <c r="I221" s="36">
        <f t="shared" si="15"/>
        <v>36404259.965332985</v>
      </c>
      <c r="J221" s="5">
        <f t="shared" si="16"/>
        <v>3.2075081619661737E-2</v>
      </c>
      <c r="L221" s="6"/>
      <c r="M221" s="392">
        <f t="shared" si="17"/>
        <v>1171374402.7386408</v>
      </c>
      <c r="N221" s="6"/>
      <c r="O221" s="392">
        <f t="shared" si="18"/>
        <v>1171374402.7386408</v>
      </c>
      <c r="P221" s="6"/>
      <c r="Q221" s="392">
        <f t="shared" si="19"/>
        <v>1171374402.7386408</v>
      </c>
      <c r="R221" s="110">
        <v>1169512871.2930617</v>
      </c>
      <c r="S221" s="432">
        <f t="shared" si="20"/>
        <v>1861531.445579052</v>
      </c>
      <c r="T221" s="111"/>
    </row>
    <row r="222" spans="1:20" x14ac:dyDescent="0.3">
      <c r="A222">
        <v>2015</v>
      </c>
      <c r="B222" s="6">
        <f t="shared" ref="B222:B224" si="24">+H222</f>
        <v>1151476834.3817842</v>
      </c>
      <c r="C222" s="107">
        <f t="shared" si="21"/>
        <v>16506691.6084764</v>
      </c>
      <c r="D222" s="109">
        <f t="shared" si="22"/>
        <v>1.4543723210323559E-2</v>
      </c>
      <c r="E222" s="109">
        <f>RATE(12,0,-B$210,B222)</f>
        <v>-5.6656535086044135E-3</v>
      </c>
      <c r="F222"/>
      <c r="G222"/>
      <c r="H222" s="6">
        <f>SUM(H147:H158)</f>
        <v>1151476834.3817842</v>
      </c>
      <c r="I222" s="36">
        <f t="shared" si="15"/>
        <v>0</v>
      </c>
      <c r="J222" s="5">
        <f t="shared" si="16"/>
        <v>0</v>
      </c>
      <c r="L222" s="403">
        <f>+'Purchased Power Model '!L222</f>
        <v>11592521.495236788</v>
      </c>
      <c r="M222" s="392">
        <f t="shared" si="17"/>
        <v>1139884312.8865473</v>
      </c>
      <c r="N222" s="403">
        <f>+'Purchased Power Model '!N222</f>
        <v>699556.55750752124</v>
      </c>
      <c r="O222" s="392">
        <f t="shared" si="18"/>
        <v>1139184756.3290398</v>
      </c>
      <c r="P222" s="403">
        <f ca="1">+'Purchased Power Model '!P222</f>
        <v>12847873.6919739</v>
      </c>
      <c r="Q222" s="392">
        <f t="shared" ca="1" si="19"/>
        <v>1152032630.0210137</v>
      </c>
      <c r="R222" s="110">
        <v>1168934935.3040068</v>
      </c>
      <c r="S222" s="432">
        <f t="shared" ca="1" si="20"/>
        <v>-16902305.282993078</v>
      </c>
      <c r="T222" s="111"/>
    </row>
    <row r="223" spans="1:20" x14ac:dyDescent="0.3">
      <c r="A223">
        <v>2016</v>
      </c>
      <c r="B223" s="6">
        <f t="shared" si="24"/>
        <v>1160852808.2835896</v>
      </c>
      <c r="C223" s="107">
        <f t="shared" si="21"/>
        <v>9375973.9018054008</v>
      </c>
      <c r="D223" s="109">
        <f t="shared" si="22"/>
        <v>8.1425640723716882E-3</v>
      </c>
      <c r="E223" s="109">
        <f>RATE(13,0,-B$210,B223)</f>
        <v>-4.6102307404606857E-3</v>
      </c>
      <c r="F223"/>
      <c r="G223"/>
      <c r="H223" s="6">
        <f>SUM(H159:H170)</f>
        <v>1160852808.2835896</v>
      </c>
      <c r="I223" s="36">
        <f t="shared" si="15"/>
        <v>0</v>
      </c>
      <c r="J223" s="5">
        <f t="shared" si="16"/>
        <v>0</v>
      </c>
      <c r="L223" s="403">
        <f>+'Purchased Power Model '!L223</f>
        <v>20998903.467279524</v>
      </c>
      <c r="M223" s="392">
        <f t="shared" si="17"/>
        <v>1139853904.8163102</v>
      </c>
      <c r="N223" s="403">
        <f>+'Purchased Power Model '!N223</f>
        <v>4299297.8358792122</v>
      </c>
      <c r="O223" s="392">
        <f t="shared" si="18"/>
        <v>1135554606.9804308</v>
      </c>
      <c r="P223" s="403">
        <f ca="1">+'Purchased Power Model '!P223</f>
        <v>20289882.587203253</v>
      </c>
      <c r="Q223" s="392">
        <f t="shared" ca="1" si="19"/>
        <v>1155844489.5676341</v>
      </c>
      <c r="R223" s="110">
        <v>1186824499.8223584</v>
      </c>
      <c r="S223" s="432">
        <f t="shared" ca="1" si="20"/>
        <v>-30980010.254724264</v>
      </c>
      <c r="T223" s="111"/>
    </row>
    <row r="224" spans="1:20" x14ac:dyDescent="0.3">
      <c r="A224">
        <v>2017</v>
      </c>
      <c r="B224" s="6">
        <f t="shared" si="24"/>
        <v>1163879698.7694092</v>
      </c>
      <c r="C224" s="107">
        <f t="shared" si="21"/>
        <v>3026890.4858195782</v>
      </c>
      <c r="D224" s="109">
        <f t="shared" si="22"/>
        <v>2.6074713901886228E-3</v>
      </c>
      <c r="E224" s="109">
        <f>RATE(14,0,-B$210,B224)</f>
        <v>-4.0964081898321979E-3</v>
      </c>
      <c r="F224"/>
      <c r="G224"/>
      <c r="H224" s="6">
        <f>SUM(H171:H182)</f>
        <v>1163879698.7694092</v>
      </c>
      <c r="I224" s="36">
        <f t="shared" si="15"/>
        <v>0</v>
      </c>
      <c r="J224" s="5">
        <f t="shared" si="16"/>
        <v>0</v>
      </c>
      <c r="L224" s="403">
        <f>+'Purchased Power Model '!L224</f>
        <v>28541509.501449063</v>
      </c>
      <c r="M224" s="392">
        <f t="shared" si="17"/>
        <v>1135338189.2679601</v>
      </c>
      <c r="N224" s="403">
        <f>+'Purchased Power Model '!N224</f>
        <v>4800425.2625000002</v>
      </c>
      <c r="O224" s="392">
        <f t="shared" si="18"/>
        <v>1130537764.00546</v>
      </c>
      <c r="P224" s="403">
        <f ca="1">+'Purchased Power Model '!P224</f>
        <v>27722070.617245946</v>
      </c>
      <c r="Q224" s="392">
        <f t="shared" ca="1" si="19"/>
        <v>1158259834.6227059</v>
      </c>
      <c r="R224" s="110">
        <v>1203248928.5256693</v>
      </c>
      <c r="S224" s="432">
        <f t="shared" ca="1" si="20"/>
        <v>-44989093.9029634</v>
      </c>
      <c r="T224" s="111"/>
    </row>
    <row r="225" spans="1:20" x14ac:dyDescent="0.3">
      <c r="A225">
        <v>2018</v>
      </c>
      <c r="B225" s="6">
        <f>+H225</f>
        <v>1166798112.7169671</v>
      </c>
      <c r="C225" s="107">
        <f t="shared" si="21"/>
        <v>2918413.9475579262</v>
      </c>
      <c r="D225" s="109">
        <f t="shared" si="22"/>
        <v>2.5074876300734666E-3</v>
      </c>
      <c r="E225" s="109">
        <f>RATE(15,0,-B$210,B225)</f>
        <v>-3.6575050559632259E-3</v>
      </c>
      <c r="F225"/>
      <c r="G225"/>
      <c r="H225" s="6">
        <f>SUM(H183:H194)</f>
        <v>1166798112.7169671</v>
      </c>
      <c r="I225" s="36">
        <f>H225-B225</f>
        <v>0</v>
      </c>
      <c r="J225" s="5">
        <f t="shared" si="16"/>
        <v>0</v>
      </c>
      <c r="L225" s="403">
        <f>+'Purchased Power Model '!L225</f>
        <v>39359539.795637913</v>
      </c>
      <c r="M225" s="392">
        <f t="shared" si="17"/>
        <v>1127438572.9213293</v>
      </c>
      <c r="N225" s="403">
        <f>+'Purchased Power Model '!N225</f>
        <v>4800425.2625000002</v>
      </c>
      <c r="O225" s="392">
        <f t="shared" si="18"/>
        <v>1122638147.6588292</v>
      </c>
      <c r="P225" s="403">
        <f ca="1">+'Purchased Power Model '!P225</f>
        <v>39230167.609783046</v>
      </c>
      <c r="Q225" s="392">
        <f t="shared" ca="1" si="19"/>
        <v>1161868315.2686121</v>
      </c>
      <c r="R225" s="110">
        <v>1221300297.9631724</v>
      </c>
      <c r="S225" s="432">
        <f t="shared" ca="1" si="20"/>
        <v>-59431982.694560289</v>
      </c>
      <c r="T225" s="111"/>
    </row>
    <row r="226" spans="1:20" x14ac:dyDescent="0.3">
      <c r="A226">
        <v>2019</v>
      </c>
      <c r="B226" s="6">
        <f>+H226</f>
        <v>1174093937.8293166</v>
      </c>
      <c r="C226" s="107">
        <f t="shared" si="21"/>
        <v>7295825.1123495102</v>
      </c>
      <c r="D226" s="109">
        <f t="shared" si="22"/>
        <v>6.2528598845268063E-3</v>
      </c>
      <c r="E226" s="109">
        <f>RATE(16,0,-B$210,B226)</f>
        <v>-3.0409767946212867E-3</v>
      </c>
      <c r="F226"/>
      <c r="G226"/>
      <c r="H226" s="6">
        <f>SUM(H195:H206)</f>
        <v>1174093937.8293166</v>
      </c>
      <c r="I226" s="36">
        <f>H226-B226</f>
        <v>0</v>
      </c>
      <c r="J226" s="5">
        <f t="shared" si="16"/>
        <v>0</v>
      </c>
      <c r="L226" s="403">
        <f>+'Purchased Power Model '!L226</f>
        <v>54127908.595370837</v>
      </c>
      <c r="M226" s="392">
        <f t="shared" si="17"/>
        <v>1119966029.2339458</v>
      </c>
      <c r="N226" s="403">
        <f>+'Purchased Power Model '!N226</f>
        <v>4800425.2625000002</v>
      </c>
      <c r="O226" s="392">
        <f t="shared" si="18"/>
        <v>1115165603.9714458</v>
      </c>
      <c r="P226" s="403">
        <f ca="1">+'Purchased Power Model '!P226</f>
        <v>51175926.187507756</v>
      </c>
      <c r="Q226" s="392">
        <f t="shared" ca="1" si="19"/>
        <v>1166341530.1589537</v>
      </c>
      <c r="R226" s="110">
        <v>1232300377.6188045</v>
      </c>
      <c r="S226" s="432">
        <f t="shared" ca="1" si="20"/>
        <v>-65958847.459850788</v>
      </c>
      <c r="T226" s="111"/>
    </row>
    <row r="227" spans="1:20" x14ac:dyDescent="0.3">
      <c r="A227"/>
      <c r="B227" s="6"/>
      <c r="C227" s="101"/>
      <c r="D227" s="179"/>
      <c r="E227" s="34"/>
      <c r="F227"/>
      <c r="G227"/>
      <c r="H227" s="6"/>
      <c r="I227" s="179"/>
      <c r="J227" s="179"/>
      <c r="L227"/>
      <c r="M227"/>
      <c r="N227"/>
      <c r="O227"/>
      <c r="T227" s="111"/>
    </row>
    <row r="228" spans="1:20" x14ac:dyDescent="0.3">
      <c r="A228" t="s">
        <v>9</v>
      </c>
      <c r="B228" s="6">
        <f>SUM(B210:B226)</f>
        <v>19731265698.812786</v>
      </c>
      <c r="C228" s="101"/>
      <c r="D228" s="179"/>
      <c r="E228" s="34"/>
      <c r="F228" s="179"/>
      <c r="G228" s="179"/>
      <c r="H228" s="6">
        <f ca="1">SUM(H210:H226)</f>
        <v>19731265698.81279</v>
      </c>
      <c r="I228" s="183">
        <f ca="1">H228-B228</f>
        <v>0</v>
      </c>
      <c r="J228" s="179"/>
      <c r="L228"/>
      <c r="M228"/>
      <c r="N228"/>
      <c r="O228"/>
      <c r="T228" s="111"/>
    </row>
    <row r="229" spans="1:20" x14ac:dyDescent="0.3">
      <c r="A229"/>
      <c r="B229" s="6"/>
      <c r="C229" s="179"/>
      <c r="D229" s="179"/>
      <c r="E229" s="34"/>
      <c r="F229" s="179"/>
      <c r="G229" s="179"/>
      <c r="H229" s="179"/>
      <c r="I229" s="62"/>
      <c r="J229" s="179"/>
      <c r="L229"/>
      <c r="M229"/>
      <c r="N229"/>
      <c r="O229"/>
      <c r="T229" s="111"/>
    </row>
    <row r="230" spans="1:20" x14ac:dyDescent="0.3">
      <c r="A230"/>
      <c r="B230" s="6"/>
      <c r="C230" s="179"/>
      <c r="D230" s="179"/>
      <c r="E230" s="34"/>
      <c r="F230" s="179"/>
      <c r="G230" s="179"/>
      <c r="H230" s="6">
        <f ca="1">SUM(H210:H226)</f>
        <v>19731265698.81279</v>
      </c>
      <c r="I230" s="183">
        <f ca="1">H208-H230</f>
        <v>0</v>
      </c>
      <c r="J230" s="179"/>
      <c r="L230"/>
      <c r="M230"/>
      <c r="N230"/>
      <c r="O230"/>
      <c r="T230" s="111"/>
    </row>
    <row r="231" spans="1:20" x14ac:dyDescent="0.3">
      <c r="A231"/>
      <c r="B231" s="6"/>
      <c r="C231" s="179"/>
      <c r="D231" s="179"/>
      <c r="E231" s="34"/>
      <c r="F231" s="179"/>
      <c r="G231" s="179"/>
      <c r="H231" s="23"/>
      <c r="I231" s="184" t="s">
        <v>69</v>
      </c>
      <c r="J231" s="18"/>
      <c r="T231" s="111"/>
    </row>
    <row r="232" spans="1:20" x14ac:dyDescent="0.3">
      <c r="B232" s="111"/>
      <c r="C232" s="112"/>
      <c r="D232" s="112"/>
      <c r="E232" s="113"/>
      <c r="F232" s="112"/>
      <c r="G232" s="112"/>
      <c r="H232" s="112"/>
      <c r="I232" s="112"/>
      <c r="J232" s="112"/>
      <c r="T232" s="111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5"/>
  <sheetViews>
    <sheetView workbookViewId="0">
      <pane ySplit="2" topLeftCell="A120" activePane="bottomLeft" state="frozen"/>
      <selection pane="bottomLeft" activeCell="A135" sqref="A135"/>
    </sheetView>
  </sheetViews>
  <sheetFormatPr defaultRowHeight="12.45" x14ac:dyDescent="0.3"/>
  <cols>
    <col min="1" max="1" width="11.84375" customWidth="1"/>
    <col min="2" max="2" width="18" style="6" customWidth="1"/>
    <col min="3" max="3" width="12.3046875" style="1" bestFit="1" customWidth="1"/>
    <col min="4" max="4" width="13.3828125" style="1" customWidth="1"/>
    <col min="5" max="5" width="14.3828125" style="34" customWidth="1"/>
    <col min="6" max="6" width="10.15234375" style="1" customWidth="1"/>
    <col min="7" max="8" width="12.3828125" style="1" customWidth="1"/>
    <col min="9" max="9" width="14" style="6" bestFit="1" customWidth="1"/>
    <col min="10" max="10" width="21.3046875" style="6" customWidth="1"/>
    <col min="11" max="11" width="11.53515625" style="6" customWidth="1"/>
    <col min="12" max="12" width="3.3046875" style="6" customWidth="1"/>
    <col min="13" max="13" width="27.3046875" style="6" bestFit="1" customWidth="1"/>
    <col min="14" max="14" width="14.53515625" style="6" bestFit="1" customWidth="1"/>
    <col min="15" max="15" width="24.3828125" style="6" bestFit="1" customWidth="1"/>
    <col min="16" max="16" width="22.84375" style="6" bestFit="1" customWidth="1"/>
    <col min="17" max="17" width="9.69140625" style="6" bestFit="1" customWidth="1"/>
    <col min="18" max="18" width="15.53515625" bestFit="1" customWidth="1"/>
    <col min="19" max="19" width="14.3046875" bestFit="1" customWidth="1"/>
    <col min="20" max="20" width="15.53515625" bestFit="1" customWidth="1"/>
    <col min="21" max="21" width="14.3046875" bestFit="1" customWidth="1"/>
  </cols>
  <sheetData>
    <row r="2" spans="1:18" ht="42" customHeight="1" x14ac:dyDescent="0.3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2.9" thickBot="1" x14ac:dyDescent="0.35">
      <c r="A3" s="3">
        <v>37622</v>
      </c>
      <c r="B3" s="59">
        <v>40677788.588893443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43019.916666666664</v>
      </c>
      <c r="I3" s="192">
        <f>$N$18+C3*$N$19+D3*$N$20+E3*$N$21+F3*$N$22+G3*$N$23</f>
        <v>44005908.182900712</v>
      </c>
      <c r="J3" s="36">
        <f>I3-B3</f>
        <v>3328119.5940072685</v>
      </c>
      <c r="K3" s="5">
        <f>J3/B3</f>
        <v>8.1816630388702336E-2</v>
      </c>
      <c r="M3"/>
      <c r="N3"/>
      <c r="O3"/>
      <c r="P3"/>
      <c r="Q3"/>
    </row>
    <row r="4" spans="1:18" ht="12.9" x14ac:dyDescent="0.35">
      <c r="A4" s="3">
        <v>37653</v>
      </c>
      <c r="B4" s="59">
        <v>41686150.137058273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43079.833333333328</v>
      </c>
      <c r="I4" s="192">
        <f t="shared" ref="I4:I67" si="0">$N$18+C4*$N$19+D4*$N$20+E4*$N$21+F4*$N$22+G4*$N$23</f>
        <v>45200452.828664072</v>
      </c>
      <c r="J4" s="36">
        <f t="shared" ref="J4:J67" si="1">I4-B4</f>
        <v>3514302.6916057989</v>
      </c>
      <c r="K4" s="5">
        <f t="shared" ref="K4:K67" si="2">J4/B4</f>
        <v>8.4303843843848841E-2</v>
      </c>
      <c r="M4" s="53" t="s">
        <v>19</v>
      </c>
      <c r="N4" s="53"/>
      <c r="O4"/>
      <c r="P4"/>
      <c r="Q4"/>
    </row>
    <row r="5" spans="1:18" x14ac:dyDescent="0.3">
      <c r="A5" s="3">
        <v>37681</v>
      </c>
      <c r="B5" s="59">
        <v>45965845.274048276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43139.749999999993</v>
      </c>
      <c r="I5" s="192">
        <f t="shared" si="0"/>
        <v>41798148.402620047</v>
      </c>
      <c r="J5" s="36">
        <f t="shared" si="1"/>
        <v>-4167696.8714282289</v>
      </c>
      <c r="K5" s="5">
        <f t="shared" si="2"/>
        <v>-9.0669427410296252E-2</v>
      </c>
      <c r="M5" s="35" t="s">
        <v>20</v>
      </c>
      <c r="N5" s="95">
        <v>0.43567857691424156</v>
      </c>
      <c r="O5"/>
      <c r="P5"/>
      <c r="Q5"/>
    </row>
    <row r="6" spans="1:18" x14ac:dyDescent="0.3">
      <c r="A6" s="3">
        <v>37712</v>
      </c>
      <c r="B6" s="59">
        <v>33502187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43199.666666666657</v>
      </c>
      <c r="I6" s="192">
        <f t="shared" si="0"/>
        <v>40375533.507913888</v>
      </c>
      <c r="J6" s="36">
        <f t="shared" si="1"/>
        <v>6873346.5079138875</v>
      </c>
      <c r="K6" s="5">
        <f t="shared" si="2"/>
        <v>0.20516112897089039</v>
      </c>
      <c r="M6" s="35" t="s">
        <v>21</v>
      </c>
      <c r="N6" s="95">
        <v>0.18981582238201869</v>
      </c>
      <c r="O6"/>
      <c r="P6"/>
      <c r="Q6"/>
    </row>
    <row r="7" spans="1:18" x14ac:dyDescent="0.3">
      <c r="A7" s="3">
        <v>37742</v>
      </c>
      <c r="B7" s="59">
        <v>49108723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43259.583333333321</v>
      </c>
      <c r="I7" s="192">
        <f t="shared" si="0"/>
        <v>36572194.632333271</v>
      </c>
      <c r="J7" s="36">
        <f t="shared" si="1"/>
        <v>-12536528.367666729</v>
      </c>
      <c r="K7" s="5">
        <f t="shared" si="2"/>
        <v>-0.25528109064588644</v>
      </c>
      <c r="M7" s="35" t="s">
        <v>22</v>
      </c>
      <c r="N7" s="95">
        <v>0.16046132319296139</v>
      </c>
      <c r="O7"/>
      <c r="P7"/>
      <c r="Q7"/>
    </row>
    <row r="8" spans="1:18" x14ac:dyDescent="0.3">
      <c r="A8" s="3">
        <v>37773</v>
      </c>
      <c r="B8" s="59">
        <v>30718233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43319.499999999985</v>
      </c>
      <c r="I8" s="192">
        <f t="shared" si="0"/>
        <v>36429375.634475514</v>
      </c>
      <c r="J8" s="36">
        <f t="shared" si="1"/>
        <v>5711142.6344755143</v>
      </c>
      <c r="K8" s="5">
        <f t="shared" si="2"/>
        <v>0.18592028501364366</v>
      </c>
      <c r="M8" s="35" t="s">
        <v>23</v>
      </c>
      <c r="N8" s="67">
        <v>5661160.3191239173</v>
      </c>
      <c r="O8"/>
      <c r="P8"/>
      <c r="Q8"/>
    </row>
    <row r="9" spans="1:18" ht="12.9" thickBot="1" x14ac:dyDescent="0.35">
      <c r="A9" s="3">
        <v>37803</v>
      </c>
      <c r="B9" s="59">
        <v>38600544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43379.41666666665</v>
      </c>
      <c r="I9" s="192">
        <f t="shared" si="0"/>
        <v>36311593.339717634</v>
      </c>
      <c r="J9" s="36">
        <f t="shared" si="1"/>
        <v>-2288950.660282366</v>
      </c>
      <c r="K9" s="5">
        <f t="shared" si="2"/>
        <v>-5.9298404195608383E-2</v>
      </c>
      <c r="M9" s="51" t="s">
        <v>24</v>
      </c>
      <c r="N9" s="68">
        <v>144</v>
      </c>
      <c r="O9"/>
      <c r="P9"/>
      <c r="Q9"/>
    </row>
    <row r="10" spans="1:18" x14ac:dyDescent="0.3">
      <c r="A10" s="3">
        <v>37834</v>
      </c>
      <c r="B10" s="59">
        <v>32614074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43439.333333333314</v>
      </c>
      <c r="I10" s="192">
        <f t="shared" si="0"/>
        <v>38913777.384823322</v>
      </c>
      <c r="J10" s="36">
        <f t="shared" si="1"/>
        <v>6299703.3848233223</v>
      </c>
      <c r="K10" s="5">
        <f t="shared" si="2"/>
        <v>0.19315904492101546</v>
      </c>
      <c r="M10"/>
      <c r="N10"/>
      <c r="O10"/>
      <c r="P10"/>
      <c r="Q10"/>
    </row>
    <row r="11" spans="1:18" ht="12.9" thickBot="1" x14ac:dyDescent="0.35">
      <c r="A11" s="3">
        <v>37865</v>
      </c>
      <c r="B11" s="59">
        <v>37763990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43499.249999999978</v>
      </c>
      <c r="I11" s="192">
        <f t="shared" si="0"/>
        <v>36101727.626417771</v>
      </c>
      <c r="J11" s="36">
        <f t="shared" si="1"/>
        <v>-1662262.373582229</v>
      </c>
      <c r="K11" s="5">
        <f t="shared" si="2"/>
        <v>-4.4017127787138725E-2</v>
      </c>
      <c r="M11" t="s">
        <v>25</v>
      </c>
      <c r="N11"/>
      <c r="O11"/>
      <c r="P11"/>
      <c r="Q11"/>
    </row>
    <row r="12" spans="1:18" ht="12.9" x14ac:dyDescent="0.35">
      <c r="A12" s="3">
        <v>37895</v>
      </c>
      <c r="B12" s="59">
        <v>40526308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43559.166666666642</v>
      </c>
      <c r="I12" s="192">
        <f t="shared" si="0"/>
        <v>37807667.780927733</v>
      </c>
      <c r="J12" s="36">
        <f t="shared" si="1"/>
        <v>-2718640.2190722674</v>
      </c>
      <c r="K12" s="5">
        <f t="shared" si="2"/>
        <v>-6.7083342974945254E-2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3">
      <c r="A13" s="3">
        <v>37926</v>
      </c>
      <c r="B13" s="59">
        <v>27741371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43619.083333333307</v>
      </c>
      <c r="I13" s="192">
        <f t="shared" si="0"/>
        <v>40026997.127357706</v>
      </c>
      <c r="J13" s="36">
        <f t="shared" si="1"/>
        <v>12285626.127357706</v>
      </c>
      <c r="K13" s="5">
        <f t="shared" si="2"/>
        <v>0.44286297628757088</v>
      </c>
      <c r="M13" s="35" t="s">
        <v>26</v>
      </c>
      <c r="N13" s="67">
        <v>5</v>
      </c>
      <c r="O13" s="67">
        <v>1036188212769630</v>
      </c>
      <c r="P13" s="67">
        <v>207237642553926</v>
      </c>
      <c r="Q13" s="67">
        <v>6.4663280800504275</v>
      </c>
      <c r="R13" s="67">
        <v>1.9732219096218104E-5</v>
      </c>
    </row>
    <row r="14" spans="1:18" x14ac:dyDescent="0.3">
      <c r="A14" s="3">
        <v>37956</v>
      </c>
      <c r="B14" s="59">
        <v>38757231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43679</v>
      </c>
      <c r="I14" s="192">
        <f t="shared" si="0"/>
        <v>40640694.480609968</v>
      </c>
      <c r="J14" s="36">
        <f t="shared" si="1"/>
        <v>1883463.4806099683</v>
      </c>
      <c r="K14" s="5">
        <f t="shared" si="2"/>
        <v>4.8596440767658768E-2</v>
      </c>
      <c r="M14" s="35" t="s">
        <v>27</v>
      </c>
      <c r="N14" s="67">
        <v>138</v>
      </c>
      <c r="O14" s="67">
        <v>4422725589917603</v>
      </c>
      <c r="P14" s="67">
        <v>32048736158823.211</v>
      </c>
      <c r="Q14" s="67"/>
      <c r="R14" s="67"/>
    </row>
    <row r="15" spans="1:18" ht="12.9" thickBot="1" x14ac:dyDescent="0.35">
      <c r="A15" s="3">
        <v>37987</v>
      </c>
      <c r="B15" s="59">
        <v>37554420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43701</v>
      </c>
      <c r="I15" s="192">
        <f t="shared" si="0"/>
        <v>44585350.146412686</v>
      </c>
      <c r="J15" s="36">
        <f t="shared" si="1"/>
        <v>7030930.1464126855</v>
      </c>
      <c r="K15" s="5">
        <f t="shared" si="2"/>
        <v>0.18721977723028835</v>
      </c>
      <c r="M15" s="51" t="s">
        <v>9</v>
      </c>
      <c r="N15" s="68">
        <v>143</v>
      </c>
      <c r="O15" s="68">
        <v>5458913802687233</v>
      </c>
      <c r="P15" s="68"/>
      <c r="Q15" s="68"/>
      <c r="R15" s="68"/>
    </row>
    <row r="16" spans="1:18" ht="12.9" thickBot="1" x14ac:dyDescent="0.35">
      <c r="A16" s="3">
        <v>38018</v>
      </c>
      <c r="B16" s="59">
        <v>41985280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43651</v>
      </c>
      <c r="I16" s="192">
        <f t="shared" si="0"/>
        <v>43341027.282933965</v>
      </c>
      <c r="J16" s="36">
        <f t="shared" si="1"/>
        <v>1355747.2829339653</v>
      </c>
      <c r="K16" s="5">
        <f t="shared" si="2"/>
        <v>3.2291014444442559E-2</v>
      </c>
      <c r="M16"/>
      <c r="N16"/>
      <c r="O16"/>
      <c r="P16"/>
      <c r="Q16"/>
    </row>
    <row r="17" spans="1:21" ht="12.9" x14ac:dyDescent="0.35">
      <c r="A17" s="3">
        <v>38047</v>
      </c>
      <c r="B17" s="59">
        <v>55939840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43792</v>
      </c>
      <c r="I17" s="192">
        <f t="shared" si="0"/>
        <v>40596274.386859119</v>
      </c>
      <c r="J17" s="36">
        <f t="shared" si="1"/>
        <v>-15343565.613140881</v>
      </c>
      <c r="K17" s="5">
        <f t="shared" si="2"/>
        <v>-0.27428690559609897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3">
      <c r="A18" s="3">
        <v>38078</v>
      </c>
      <c r="B18" s="59">
        <v>43979734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43854</v>
      </c>
      <c r="I18" s="192">
        <f t="shared" si="0"/>
        <v>39511359.5316962</v>
      </c>
      <c r="J18" s="36">
        <f t="shared" si="1"/>
        <v>-4468374.4683037996</v>
      </c>
      <c r="K18" s="5">
        <f t="shared" si="2"/>
        <v>-0.10160076157586127</v>
      </c>
      <c r="M18" s="35" t="s">
        <v>28</v>
      </c>
      <c r="N18" s="67">
        <v>58921068.287929334</v>
      </c>
      <c r="O18" s="67">
        <v>18490791.470176287</v>
      </c>
      <c r="P18" s="67">
        <v>3.1865087215419012</v>
      </c>
      <c r="Q18" s="67">
        <v>1.7811433603620178E-3</v>
      </c>
      <c r="R18" s="67">
        <v>22359160.819055021</v>
      </c>
      <c r="S18" s="67">
        <v>95482975.756803647</v>
      </c>
      <c r="T18" s="67">
        <v>22359160.819055021</v>
      </c>
      <c r="U18" s="67">
        <v>95482975.756803647</v>
      </c>
    </row>
    <row r="19" spans="1:21" x14ac:dyDescent="0.3">
      <c r="A19" s="3">
        <v>38108</v>
      </c>
      <c r="B19" s="59">
        <v>34023750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43892</v>
      </c>
      <c r="I19" s="192">
        <f t="shared" si="0"/>
        <v>36324950.683258466</v>
      </c>
      <c r="J19" s="36">
        <f t="shared" si="1"/>
        <v>2301200.6832584664</v>
      </c>
      <c r="K19" s="5">
        <f t="shared" si="2"/>
        <v>6.7635127910899484E-2</v>
      </c>
      <c r="M19" s="35" t="s">
        <v>3</v>
      </c>
      <c r="N19" s="67">
        <v>13894.820431145916</v>
      </c>
      <c r="O19" s="67">
        <v>2885.4182571958313</v>
      </c>
      <c r="P19" s="67">
        <v>4.8155307801543739</v>
      </c>
      <c r="Q19" s="67">
        <v>3.8093400633334157E-6</v>
      </c>
      <c r="R19" s="67">
        <v>8189.4726909613364</v>
      </c>
      <c r="S19" s="67">
        <v>19600.168171330493</v>
      </c>
      <c r="T19" s="67">
        <v>8189.4726909613364</v>
      </c>
      <c r="U19" s="67">
        <v>19600.168171330493</v>
      </c>
    </row>
    <row r="20" spans="1:21" x14ac:dyDescent="0.3">
      <c r="A20" s="3">
        <v>38139</v>
      </c>
      <c r="B20" s="59">
        <v>36677978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43974</v>
      </c>
      <c r="I20" s="192">
        <f t="shared" si="0"/>
        <v>35810884.958210886</v>
      </c>
      <c r="J20" s="36">
        <f t="shared" si="1"/>
        <v>-867093.04178911448</v>
      </c>
      <c r="K20" s="5">
        <f t="shared" si="2"/>
        <v>-2.3640699108034648E-2</v>
      </c>
      <c r="M20" s="35" t="s">
        <v>4</v>
      </c>
      <c r="N20" s="67">
        <v>53520.641119816391</v>
      </c>
      <c r="O20" s="67">
        <v>22321.646348472932</v>
      </c>
      <c r="P20" s="67">
        <v>2.3977013292067428</v>
      </c>
      <c r="Q20" s="67">
        <v>1.7836394659894825E-2</v>
      </c>
      <c r="R20" s="67">
        <v>9383.9707310922022</v>
      </c>
      <c r="S20" s="67">
        <v>97657.311508540588</v>
      </c>
      <c r="T20" s="67">
        <v>9383.9707310922022</v>
      </c>
      <c r="U20" s="67">
        <v>97657.311508540588</v>
      </c>
    </row>
    <row r="21" spans="1:21" x14ac:dyDescent="0.3">
      <c r="A21" s="3">
        <v>38169</v>
      </c>
      <c r="B21" s="59">
        <v>38845733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44060</v>
      </c>
      <c r="I21" s="192">
        <f t="shared" si="0"/>
        <v>36836605.745426655</v>
      </c>
      <c r="J21" s="36">
        <f t="shared" si="1"/>
        <v>-2009127.2545733452</v>
      </c>
      <c r="K21" s="5">
        <f t="shared" si="2"/>
        <v>-5.1720667867777015E-2</v>
      </c>
      <c r="M21" s="35" t="s">
        <v>218</v>
      </c>
      <c r="N21" s="67">
        <v>15256350.941062532</v>
      </c>
      <c r="O21" s="67">
        <v>31687969.48644514</v>
      </c>
      <c r="P21" s="67">
        <v>0.48145561827773775</v>
      </c>
      <c r="Q21" s="67">
        <v>0.63095528725611894</v>
      </c>
      <c r="R21" s="67">
        <v>-47400383.364149682</v>
      </c>
      <c r="S21" s="67">
        <v>77913085.24627474</v>
      </c>
      <c r="T21" s="67">
        <v>-47400383.364149682</v>
      </c>
      <c r="U21" s="67">
        <v>77913085.24627474</v>
      </c>
    </row>
    <row r="22" spans="1:21" x14ac:dyDescent="0.3">
      <c r="A22" s="3">
        <v>38200</v>
      </c>
      <c r="B22" s="59">
        <v>46901464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44140</v>
      </c>
      <c r="I22" s="192">
        <f t="shared" si="0"/>
        <v>36240880.5194337</v>
      </c>
      <c r="J22" s="36">
        <f t="shared" si="1"/>
        <v>-10660583.4805663</v>
      </c>
      <c r="K22" s="5">
        <f t="shared" si="2"/>
        <v>-0.22729745665436585</v>
      </c>
      <c r="M22" s="35" t="s">
        <v>5</v>
      </c>
      <c r="N22" s="67">
        <v>-859026.42622079246</v>
      </c>
      <c r="O22" s="67">
        <v>604816.21086044225</v>
      </c>
      <c r="P22" s="67">
        <v>-1.4203098574337116</v>
      </c>
      <c r="Q22" s="67">
        <v>0.1577728403030153</v>
      </c>
      <c r="R22" s="67">
        <v>-2054931.6622308898</v>
      </c>
      <c r="S22" s="67">
        <v>336878.80978930474</v>
      </c>
      <c r="T22" s="67">
        <v>-2054931.6622308898</v>
      </c>
      <c r="U22" s="67">
        <v>336878.80978930474</v>
      </c>
    </row>
    <row r="23" spans="1:21" ht="12.9" thickBot="1" x14ac:dyDescent="0.35">
      <c r="A23" s="3">
        <v>38231</v>
      </c>
      <c r="B23" s="59">
        <v>33994099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44155</v>
      </c>
      <c r="I23" s="192">
        <f t="shared" si="0"/>
        <v>36726061.612828746</v>
      </c>
      <c r="J23" s="36">
        <f t="shared" si="1"/>
        <v>2731962.6128287464</v>
      </c>
      <c r="K23" s="5">
        <f t="shared" si="2"/>
        <v>8.0365789745706934E-2</v>
      </c>
      <c r="M23" s="51" t="s">
        <v>17</v>
      </c>
      <c r="N23" s="68">
        <v>758784.3817689846</v>
      </c>
      <c r="O23" s="68">
        <v>1219654.3836619866</v>
      </c>
      <c r="P23" s="68">
        <v>0.62213065597382633</v>
      </c>
      <c r="Q23" s="68">
        <v>0.53488249748557182</v>
      </c>
      <c r="R23" s="68">
        <v>-1652842.5510954172</v>
      </c>
      <c r="S23" s="68">
        <v>3170411.3146333867</v>
      </c>
      <c r="T23" s="68">
        <v>-1652842.5510954172</v>
      </c>
      <c r="U23" s="68">
        <v>3170411.3146333867</v>
      </c>
    </row>
    <row r="24" spans="1:21" x14ac:dyDescent="0.3">
      <c r="A24" s="3">
        <v>38261</v>
      </c>
      <c r="B24" s="59">
        <v>6476689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44155</v>
      </c>
      <c r="I24" s="192">
        <f t="shared" si="0"/>
        <v>37200184.612754673</v>
      </c>
      <c r="J24" s="36">
        <f t="shared" si="1"/>
        <v>30723495.612754673</v>
      </c>
      <c r="K24" s="5">
        <f t="shared" si="2"/>
        <v>4.7437040149302634</v>
      </c>
      <c r="M24"/>
      <c r="N24"/>
      <c r="O24"/>
      <c r="P24"/>
      <c r="Q24"/>
    </row>
    <row r="25" spans="1:21" x14ac:dyDescent="0.3">
      <c r="A25" s="3">
        <v>38292</v>
      </c>
      <c r="B25" s="59">
        <v>37578865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44247</v>
      </c>
      <c r="I25" s="192">
        <f t="shared" si="0"/>
        <v>40153160.477949157</v>
      </c>
      <c r="J25" s="36">
        <f t="shared" si="1"/>
        <v>2574295.4779491574</v>
      </c>
      <c r="K25" s="5">
        <f t="shared" si="2"/>
        <v>6.8503811329830147E-2</v>
      </c>
      <c r="M25"/>
      <c r="N25"/>
      <c r="O25"/>
      <c r="P25"/>
      <c r="Q25"/>
    </row>
    <row r="26" spans="1:21" x14ac:dyDescent="0.3">
      <c r="A26" s="3">
        <v>38322</v>
      </c>
      <c r="B26" s="59">
        <v>34208828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44280</v>
      </c>
      <c r="I26" s="192">
        <f t="shared" si="0"/>
        <v>41895117.250210449</v>
      </c>
      <c r="J26" s="36">
        <f t="shared" si="1"/>
        <v>7686289.2502104491</v>
      </c>
      <c r="K26" s="5">
        <f t="shared" si="2"/>
        <v>0.22468730148283506</v>
      </c>
      <c r="M26"/>
      <c r="N26"/>
      <c r="O26"/>
      <c r="P26"/>
      <c r="Q26"/>
    </row>
    <row r="27" spans="1:21" x14ac:dyDescent="0.3">
      <c r="A27" s="3">
        <v>38353</v>
      </c>
      <c r="B27" s="59">
        <v>44668867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44293</v>
      </c>
      <c r="I27" s="192">
        <f t="shared" si="0"/>
        <v>43748294.974260554</v>
      </c>
      <c r="J27" s="36">
        <f t="shared" si="1"/>
        <v>-920572.02573944628</v>
      </c>
      <c r="K27" s="5">
        <f t="shared" si="2"/>
        <v>-2.0608806257374879E-2</v>
      </c>
      <c r="M27"/>
      <c r="N27"/>
      <c r="O27"/>
      <c r="P27"/>
      <c r="Q27"/>
    </row>
    <row r="28" spans="1:21" x14ac:dyDescent="0.3">
      <c r="A28" s="3">
        <v>38384</v>
      </c>
      <c r="B28" s="59">
        <v>44845667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44305</v>
      </c>
      <c r="I28" s="192">
        <f t="shared" si="0"/>
        <v>44157782.265664168</v>
      </c>
      <c r="J28" s="36">
        <f t="shared" si="1"/>
        <v>-687884.7343358323</v>
      </c>
      <c r="K28" s="5">
        <f t="shared" si="2"/>
        <v>-1.5338934179211389E-2</v>
      </c>
    </row>
    <row r="29" spans="1:21" x14ac:dyDescent="0.3">
      <c r="A29" s="3">
        <v>38412</v>
      </c>
      <c r="B29" s="59">
        <v>46098988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44318</v>
      </c>
      <c r="I29" s="192">
        <f t="shared" si="0"/>
        <v>42183865.37994194</v>
      </c>
      <c r="J29" s="36">
        <f t="shared" si="1"/>
        <v>-3915122.6200580597</v>
      </c>
      <c r="K29" s="5">
        <f t="shared" si="2"/>
        <v>-8.492860233847345E-2</v>
      </c>
    </row>
    <row r="30" spans="1:21" x14ac:dyDescent="0.3">
      <c r="A30" s="3">
        <v>38443</v>
      </c>
      <c r="B30" s="59">
        <v>43439251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44330</v>
      </c>
      <c r="I30" s="192">
        <f t="shared" si="0"/>
        <v>39390195.078613251</v>
      </c>
      <c r="J30" s="36">
        <f t="shared" si="1"/>
        <v>-4049055.9213867486</v>
      </c>
      <c r="K30" s="5">
        <f t="shared" si="2"/>
        <v>-9.3211918441843039E-2</v>
      </c>
    </row>
    <row r="31" spans="1:21" x14ac:dyDescent="0.3">
      <c r="A31" s="3">
        <v>38473</v>
      </c>
      <c r="B31" s="59">
        <v>39709742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44362</v>
      </c>
      <c r="I31" s="192">
        <f t="shared" si="0"/>
        <v>37029910.453647278</v>
      </c>
      <c r="J31" s="36">
        <f t="shared" si="1"/>
        <v>-2679831.5463527218</v>
      </c>
      <c r="K31" s="5">
        <f t="shared" si="2"/>
        <v>-6.7485493770085989E-2</v>
      </c>
    </row>
    <row r="32" spans="1:21" x14ac:dyDescent="0.3">
      <c r="A32" s="3">
        <v>38504</v>
      </c>
      <c r="B32" s="59">
        <v>33899267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44418</v>
      </c>
      <c r="I32" s="192">
        <f t="shared" si="0"/>
        <v>39113290.287170693</v>
      </c>
      <c r="J32" s="36">
        <f t="shared" si="1"/>
        <v>5214023.2871706933</v>
      </c>
      <c r="K32" s="5">
        <f t="shared" si="2"/>
        <v>0.15380932240129833</v>
      </c>
    </row>
    <row r="33" spans="1:11" x14ac:dyDescent="0.3">
      <c r="A33" s="3">
        <v>38534</v>
      </c>
      <c r="B33" s="59">
        <v>33586076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44588</v>
      </c>
      <c r="I33" s="192">
        <f t="shared" si="0"/>
        <v>41380087.775005758</v>
      </c>
      <c r="J33" s="36">
        <f t="shared" si="1"/>
        <v>7794011.7750057578</v>
      </c>
      <c r="K33" s="5">
        <f t="shared" si="2"/>
        <v>0.2320608032628092</v>
      </c>
    </row>
    <row r="34" spans="1:11" x14ac:dyDescent="0.3">
      <c r="A34" s="3">
        <v>38565</v>
      </c>
      <c r="B34" s="59">
        <v>53042348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44656</v>
      </c>
      <c r="I34" s="192">
        <f t="shared" si="0"/>
        <v>38941090.319665499</v>
      </c>
      <c r="J34" s="36">
        <f t="shared" si="1"/>
        <v>-14101257.680334501</v>
      </c>
      <c r="K34" s="5">
        <f t="shared" si="2"/>
        <v>-0.26584904726190667</v>
      </c>
    </row>
    <row r="35" spans="1:11" x14ac:dyDescent="0.3">
      <c r="A35" s="3">
        <v>38596</v>
      </c>
      <c r="B35" s="59">
        <v>36544285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44711</v>
      </c>
      <c r="I35" s="192">
        <f t="shared" si="0"/>
        <v>37044088.825268134</v>
      </c>
      <c r="J35" s="36">
        <f t="shared" si="1"/>
        <v>499803.82526813447</v>
      </c>
      <c r="K35" s="5">
        <f t="shared" si="2"/>
        <v>1.3676661761699113E-2</v>
      </c>
    </row>
    <row r="36" spans="1:11" x14ac:dyDescent="0.3">
      <c r="A36" s="3">
        <v>38626</v>
      </c>
      <c r="B36" s="59">
        <v>38295938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44814</v>
      </c>
      <c r="I36" s="192">
        <f t="shared" si="0"/>
        <v>37208630.102955312</v>
      </c>
      <c r="J36" s="36">
        <f t="shared" si="1"/>
        <v>-1087307.8970446885</v>
      </c>
      <c r="K36" s="5">
        <f t="shared" si="2"/>
        <v>-2.8392251341243777E-2</v>
      </c>
    </row>
    <row r="37" spans="1:11" x14ac:dyDescent="0.3">
      <c r="A37" s="3">
        <v>38657</v>
      </c>
      <c r="B37" s="59">
        <v>33107637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44877</v>
      </c>
      <c r="I37" s="192">
        <f t="shared" si="0"/>
        <v>40468321.337937385</v>
      </c>
      <c r="J37" s="36">
        <f t="shared" si="1"/>
        <v>7360684.3379373848</v>
      </c>
      <c r="K37" s="5">
        <f t="shared" si="2"/>
        <v>0.22232587417632327</v>
      </c>
    </row>
    <row r="38" spans="1:11" x14ac:dyDescent="0.3">
      <c r="A38" s="3">
        <v>38687</v>
      </c>
      <c r="B38" s="59">
        <v>38766635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44917</v>
      </c>
      <c r="I38" s="192">
        <f t="shared" si="0"/>
        <v>42221393.966543615</v>
      </c>
      <c r="J38" s="36">
        <f t="shared" si="1"/>
        <v>3454758.9665436149</v>
      </c>
      <c r="K38" s="5">
        <f t="shared" si="2"/>
        <v>8.9116813118900184E-2</v>
      </c>
    </row>
    <row r="39" spans="1:11" x14ac:dyDescent="0.3">
      <c r="A39" s="3">
        <v>38718</v>
      </c>
      <c r="B39" s="60">
        <v>46143445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44963</v>
      </c>
      <c r="I39" s="192">
        <f t="shared" si="0"/>
        <v>41069513.352801606</v>
      </c>
      <c r="J39" s="36">
        <f t="shared" si="1"/>
        <v>-5073931.6471983939</v>
      </c>
      <c r="K39" s="5">
        <f t="shared" si="2"/>
        <v>-0.10995996608398861</v>
      </c>
    </row>
    <row r="40" spans="1:11" x14ac:dyDescent="0.3">
      <c r="A40" s="3">
        <v>38749</v>
      </c>
      <c r="B40" s="60">
        <v>44745054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45036</v>
      </c>
      <c r="I40" s="192">
        <f t="shared" si="0"/>
        <v>44349670.545279972</v>
      </c>
      <c r="J40" s="36">
        <f t="shared" si="1"/>
        <v>-395383.45472002774</v>
      </c>
      <c r="K40" s="5">
        <f t="shared" si="2"/>
        <v>-8.8363611030624241E-3</v>
      </c>
    </row>
    <row r="41" spans="1:11" x14ac:dyDescent="0.3">
      <c r="A41" s="3">
        <v>38777</v>
      </c>
      <c r="B41" s="60">
        <v>43110864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45104</v>
      </c>
      <c r="I41" s="192">
        <f t="shared" si="0"/>
        <v>41492043.080136865</v>
      </c>
      <c r="J41" s="36">
        <f t="shared" si="1"/>
        <v>-1618820.9198631346</v>
      </c>
      <c r="K41" s="5">
        <f t="shared" si="2"/>
        <v>-3.755018502675183E-2</v>
      </c>
    </row>
    <row r="42" spans="1:11" x14ac:dyDescent="0.3">
      <c r="A42" s="3">
        <v>38808</v>
      </c>
      <c r="B42" s="60">
        <v>39740331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45206</v>
      </c>
      <c r="I42" s="192">
        <f t="shared" si="0"/>
        <v>39366573.883880302</v>
      </c>
      <c r="J42" s="36">
        <f t="shared" si="1"/>
        <v>-373757.11611969769</v>
      </c>
      <c r="K42" s="5">
        <f t="shared" si="2"/>
        <v>-9.4049824627705711E-3</v>
      </c>
    </row>
    <row r="43" spans="1:11" x14ac:dyDescent="0.3">
      <c r="A43" s="3">
        <v>38838</v>
      </c>
      <c r="B43" s="60">
        <v>36190353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45279</v>
      </c>
      <c r="I43" s="192">
        <f t="shared" si="0"/>
        <v>37094493.778890133</v>
      </c>
      <c r="J43" s="36">
        <f t="shared" si="1"/>
        <v>904140.7788901329</v>
      </c>
      <c r="K43" s="5">
        <f t="shared" si="2"/>
        <v>2.4982922351990677E-2</v>
      </c>
    </row>
    <row r="44" spans="1:11" x14ac:dyDescent="0.3">
      <c r="A44" s="3">
        <v>38869</v>
      </c>
      <c r="B44" s="60">
        <v>32680208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45458</v>
      </c>
      <c r="I44" s="192">
        <f t="shared" si="0"/>
        <v>36362895.76087375</v>
      </c>
      <c r="J44" s="36">
        <f t="shared" si="1"/>
        <v>3682687.7608737499</v>
      </c>
      <c r="K44" s="5">
        <f t="shared" si="2"/>
        <v>0.11268862673315144</v>
      </c>
    </row>
    <row r="45" spans="1:11" x14ac:dyDescent="0.3">
      <c r="A45" s="3">
        <v>38899</v>
      </c>
      <c r="B45" s="60">
        <v>39020463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45537</v>
      </c>
      <c r="I45" s="192">
        <f t="shared" si="0"/>
        <v>39080610.416420087</v>
      </c>
      <c r="J45" s="36">
        <f t="shared" si="1"/>
        <v>60147.416420087218</v>
      </c>
      <c r="K45" s="5">
        <f t="shared" si="2"/>
        <v>1.5414326688047556E-3</v>
      </c>
    </row>
    <row r="46" spans="1:11" x14ac:dyDescent="0.3">
      <c r="A46" s="3">
        <v>38930</v>
      </c>
      <c r="B46" s="60">
        <v>41507196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45623</v>
      </c>
      <c r="I46" s="192">
        <f t="shared" si="0"/>
        <v>37753350.08302886</v>
      </c>
      <c r="J46" s="36">
        <f t="shared" si="1"/>
        <v>-3753845.9169711396</v>
      </c>
      <c r="K46" s="5">
        <f t="shared" si="2"/>
        <v>-9.0438436674236913E-2</v>
      </c>
    </row>
    <row r="47" spans="1:11" x14ac:dyDescent="0.3">
      <c r="A47" s="3">
        <v>38961</v>
      </c>
      <c r="B47" s="60">
        <v>38710266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45658</v>
      </c>
      <c r="I47" s="192">
        <f t="shared" si="0"/>
        <v>36171298.119377747</v>
      </c>
      <c r="J47" s="36">
        <f t="shared" si="1"/>
        <v>-2538967.8806222528</v>
      </c>
      <c r="K47" s="5">
        <f t="shared" si="2"/>
        <v>-6.5589006301900704E-2</v>
      </c>
    </row>
    <row r="48" spans="1:11" x14ac:dyDescent="0.3">
      <c r="A48" s="3">
        <v>38991</v>
      </c>
      <c r="B48" s="60">
        <v>34268485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45740</v>
      </c>
      <c r="I48" s="192">
        <f t="shared" si="0"/>
        <v>37887726.66029761</v>
      </c>
      <c r="J48" s="36">
        <f t="shared" si="1"/>
        <v>3619241.6602976099</v>
      </c>
      <c r="K48" s="5">
        <f t="shared" si="2"/>
        <v>0.10561428847226861</v>
      </c>
    </row>
    <row r="49" spans="1:11" x14ac:dyDescent="0.3">
      <c r="A49" s="3">
        <v>39022</v>
      </c>
      <c r="B49" s="60">
        <v>33823896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45885</v>
      </c>
      <c r="I49" s="192">
        <f t="shared" si="0"/>
        <v>40037581.904571861</v>
      </c>
      <c r="J49" s="36">
        <f t="shared" si="1"/>
        <v>6213685.904571861</v>
      </c>
      <c r="K49" s="5">
        <f t="shared" si="2"/>
        <v>0.18370698350573988</v>
      </c>
    </row>
    <row r="50" spans="1:11" x14ac:dyDescent="0.3">
      <c r="A50" s="3">
        <v>39052</v>
      </c>
      <c r="B50" s="60">
        <v>36503400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45961</v>
      </c>
      <c r="I50" s="192">
        <f t="shared" si="0"/>
        <v>39864832.42142126</v>
      </c>
      <c r="J50" s="36">
        <f t="shared" si="1"/>
        <v>3361432.4214212596</v>
      </c>
      <c r="K50" s="5">
        <f t="shared" si="2"/>
        <v>9.208546111927271E-2</v>
      </c>
    </row>
    <row r="51" spans="1:11" x14ac:dyDescent="0.3">
      <c r="A51" s="3">
        <v>39083</v>
      </c>
      <c r="B51" s="60">
        <v>44041059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45997</v>
      </c>
      <c r="I51" s="192">
        <f t="shared" si="0"/>
        <v>41200264.422520369</v>
      </c>
      <c r="J51" s="36">
        <f t="shared" si="1"/>
        <v>-2840794.5774796307</v>
      </c>
      <c r="K51" s="5">
        <f t="shared" si="2"/>
        <v>-6.4503321263905816E-2</v>
      </c>
    </row>
    <row r="52" spans="1:11" x14ac:dyDescent="0.3">
      <c r="A52" s="3">
        <v>39114</v>
      </c>
      <c r="B52" s="60">
        <v>46027730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46052</v>
      </c>
      <c r="I52" s="192">
        <f t="shared" si="0"/>
        <v>45450280.081092708</v>
      </c>
      <c r="J52" s="36">
        <f t="shared" si="1"/>
        <v>-577449.91890729219</v>
      </c>
      <c r="K52" s="5">
        <f t="shared" si="2"/>
        <v>-1.2545696233711552E-2</v>
      </c>
    </row>
    <row r="53" spans="1:11" x14ac:dyDescent="0.3">
      <c r="A53" s="3">
        <v>39142</v>
      </c>
      <c r="B53" s="60">
        <v>44842876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46091</v>
      </c>
      <c r="I53" s="192">
        <f t="shared" si="0"/>
        <v>40636261.899244271</v>
      </c>
      <c r="J53" s="36">
        <f t="shared" si="1"/>
        <v>-4206614.1007557288</v>
      </c>
      <c r="K53" s="5">
        <f t="shared" si="2"/>
        <v>-9.3807857032981751E-2</v>
      </c>
    </row>
    <row r="54" spans="1:11" x14ac:dyDescent="0.3">
      <c r="A54" s="3">
        <v>39173</v>
      </c>
      <c r="B54" s="60">
        <v>43266878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46144</v>
      </c>
      <c r="I54" s="192">
        <f t="shared" si="0"/>
        <v>38705292.23749055</v>
      </c>
      <c r="J54" s="36">
        <f t="shared" si="1"/>
        <v>-4561585.7625094503</v>
      </c>
      <c r="K54" s="5">
        <f t="shared" si="2"/>
        <v>-0.10542904811642408</v>
      </c>
    </row>
    <row r="55" spans="1:11" x14ac:dyDescent="0.3">
      <c r="A55" s="3">
        <v>39203</v>
      </c>
      <c r="B55" s="60">
        <v>36870366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46228</v>
      </c>
      <c r="I55" s="192">
        <f t="shared" si="0"/>
        <v>35202543.974803038</v>
      </c>
      <c r="J55" s="36">
        <f t="shared" si="1"/>
        <v>-1667822.0251969621</v>
      </c>
      <c r="K55" s="5">
        <f t="shared" si="2"/>
        <v>-4.5234756421917863E-2</v>
      </c>
    </row>
    <row r="56" spans="1:11" x14ac:dyDescent="0.3">
      <c r="A56" s="3">
        <v>39234</v>
      </c>
      <c r="B56" s="60">
        <v>34175270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46257</v>
      </c>
      <c r="I56" s="192">
        <f t="shared" si="0"/>
        <v>35892025.122231334</v>
      </c>
      <c r="J56" s="36">
        <f t="shared" si="1"/>
        <v>1716755.1222313344</v>
      </c>
      <c r="K56" s="5">
        <f t="shared" si="2"/>
        <v>5.0233842255857364E-2</v>
      </c>
    </row>
    <row r="57" spans="1:11" x14ac:dyDescent="0.3">
      <c r="A57" s="3">
        <v>39264</v>
      </c>
      <c r="B57" s="60">
        <v>37079714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46325</v>
      </c>
      <c r="I57" s="192">
        <f t="shared" si="0"/>
        <v>35614999.14364811</v>
      </c>
      <c r="J57" s="36">
        <f t="shared" si="1"/>
        <v>-1464714.8563518897</v>
      </c>
      <c r="K57" s="5">
        <f t="shared" si="2"/>
        <v>-3.9501784084739429E-2</v>
      </c>
    </row>
    <row r="58" spans="1:11" x14ac:dyDescent="0.3">
      <c r="A58" s="3">
        <v>39295</v>
      </c>
      <c r="B58" s="60">
        <v>40753312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46387</v>
      </c>
      <c r="I58" s="192">
        <f t="shared" si="0"/>
        <v>38022347.107357241</v>
      </c>
      <c r="J58" s="36">
        <f t="shared" si="1"/>
        <v>-2730964.8926427588</v>
      </c>
      <c r="K58" s="5">
        <f t="shared" si="2"/>
        <v>-6.7012096897615558E-2</v>
      </c>
    </row>
    <row r="59" spans="1:11" x14ac:dyDescent="0.3">
      <c r="A59" s="3">
        <v>39326</v>
      </c>
      <c r="B59" s="60">
        <v>37935547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46477</v>
      </c>
      <c r="I59" s="192">
        <f t="shared" si="0"/>
        <v>35823056.119742319</v>
      </c>
      <c r="J59" s="36">
        <f t="shared" si="1"/>
        <v>-2112490.880257681</v>
      </c>
      <c r="K59" s="5">
        <f t="shared" si="2"/>
        <v>-5.5686316590022572E-2</v>
      </c>
    </row>
    <row r="60" spans="1:11" x14ac:dyDescent="0.3">
      <c r="A60" s="3">
        <v>39356</v>
      </c>
      <c r="B60" s="60">
        <v>37441028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46548</v>
      </c>
      <c r="I60" s="192">
        <f t="shared" si="0"/>
        <v>35390995.138019882</v>
      </c>
      <c r="J60" s="36">
        <f t="shared" si="1"/>
        <v>-2050032.8619801179</v>
      </c>
      <c r="K60" s="5">
        <f t="shared" si="2"/>
        <v>-5.4753647842685244E-2</v>
      </c>
    </row>
    <row r="61" spans="1:11" x14ac:dyDescent="0.3">
      <c r="A61" s="3">
        <v>39387</v>
      </c>
      <c r="B61" s="60">
        <v>34986690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46661</v>
      </c>
      <c r="I61" s="192">
        <f t="shared" si="0"/>
        <v>39204060.387902305</v>
      </c>
      <c r="J61" s="36">
        <f t="shared" si="1"/>
        <v>4217370.3879023045</v>
      </c>
      <c r="K61" s="5">
        <f t="shared" si="2"/>
        <v>0.12054213724997434</v>
      </c>
    </row>
    <row r="62" spans="1:11" x14ac:dyDescent="0.3">
      <c r="A62" s="3">
        <v>39417</v>
      </c>
      <c r="B62" s="60">
        <v>35644093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46679</v>
      </c>
      <c r="I62" s="192">
        <f t="shared" si="0"/>
        <v>37915556.824130677</v>
      </c>
      <c r="J62" s="36">
        <f t="shared" si="1"/>
        <v>2271463.8241306767</v>
      </c>
      <c r="K62" s="5">
        <f t="shared" si="2"/>
        <v>6.3726234361768636E-2</v>
      </c>
    </row>
    <row r="63" spans="1:11" x14ac:dyDescent="0.3">
      <c r="A63" s="3">
        <v>39448</v>
      </c>
      <c r="B63" s="61">
        <v>45406896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46811</v>
      </c>
      <c r="I63" s="192">
        <f t="shared" si="0"/>
        <v>39311846.519794844</v>
      </c>
      <c r="J63" s="36">
        <f t="shared" si="1"/>
        <v>-6095049.4802051559</v>
      </c>
      <c r="K63" s="5">
        <f t="shared" si="2"/>
        <v>-0.13423180215192768</v>
      </c>
    </row>
    <row r="64" spans="1:11" x14ac:dyDescent="0.3">
      <c r="A64" s="3">
        <v>39479</v>
      </c>
      <c r="B64" s="61">
        <v>50038729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46870</v>
      </c>
      <c r="I64" s="192">
        <f t="shared" si="0"/>
        <v>39429216.058568418</v>
      </c>
      <c r="J64" s="36">
        <f t="shared" si="1"/>
        <v>-10609512.941431582</v>
      </c>
      <c r="K64" s="5">
        <f t="shared" si="2"/>
        <v>-0.21202602770808951</v>
      </c>
    </row>
    <row r="65" spans="1:17" x14ac:dyDescent="0.3">
      <c r="A65" s="3">
        <v>39508</v>
      </c>
      <c r="B65" s="61">
        <v>46174352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46925</v>
      </c>
      <c r="I65" s="192">
        <f t="shared" si="0"/>
        <v>40031725.404356629</v>
      </c>
      <c r="J65" s="36">
        <f t="shared" si="1"/>
        <v>-6142626.5956433713</v>
      </c>
      <c r="K65" s="5">
        <f t="shared" si="2"/>
        <v>-0.13303113805784153</v>
      </c>
    </row>
    <row r="66" spans="1:17" x14ac:dyDescent="0.3">
      <c r="A66" s="3">
        <v>39539</v>
      </c>
      <c r="B66" s="61">
        <v>42871330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46960</v>
      </c>
      <c r="I66" s="192">
        <f t="shared" si="0"/>
        <v>37047220.887056872</v>
      </c>
      <c r="J66" s="36">
        <f t="shared" si="1"/>
        <v>-5824109.1129431278</v>
      </c>
      <c r="K66" s="5">
        <f t="shared" si="2"/>
        <v>-0.13585090812305398</v>
      </c>
    </row>
    <row r="67" spans="1:17" x14ac:dyDescent="0.3">
      <c r="A67" s="3">
        <v>39569</v>
      </c>
      <c r="B67" s="61">
        <v>34610197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47013</v>
      </c>
      <c r="I67" s="192">
        <f t="shared" si="0"/>
        <v>36277121.311595418</v>
      </c>
      <c r="J67" s="36">
        <f t="shared" si="1"/>
        <v>1666924.3115954176</v>
      </c>
      <c r="K67" s="5">
        <f t="shared" si="2"/>
        <v>4.8162809116498749E-2</v>
      </c>
    </row>
    <row r="68" spans="1:17" x14ac:dyDescent="0.3">
      <c r="A68" s="3">
        <v>39600</v>
      </c>
      <c r="B68" s="61">
        <v>32036344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47130</v>
      </c>
      <c r="I68" s="192">
        <f t="shared" ref="I68:I131" si="3">$N$18+C68*$N$19+D68*$N$20+E68*$N$21+F68*$N$22+G68*$N$23</f>
        <v>35757702.318054616</v>
      </c>
      <c r="J68" s="36">
        <f t="shared" ref="J68:J131" si="4">I68-B68</f>
        <v>3721358.3180546165</v>
      </c>
      <c r="K68" s="5">
        <f t="shared" ref="K68:K131" si="5">J68/B68</f>
        <v>0.11616051813073977</v>
      </c>
    </row>
    <row r="69" spans="1:17" x14ac:dyDescent="0.3">
      <c r="A69" s="3">
        <v>39630</v>
      </c>
      <c r="B69" s="61">
        <v>36409972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47200</v>
      </c>
      <c r="I69" s="192">
        <f t="shared" si="3"/>
        <v>36628743.124264888</v>
      </c>
      <c r="J69" s="36">
        <f t="shared" si="4"/>
        <v>218771.12426488847</v>
      </c>
      <c r="K69" s="5">
        <f t="shared" si="5"/>
        <v>6.0085496430727402E-3</v>
      </c>
    </row>
    <row r="70" spans="1:17" x14ac:dyDescent="0.3">
      <c r="A70" s="3">
        <v>39661</v>
      </c>
      <c r="B70" s="61">
        <v>38939362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47242</v>
      </c>
      <c r="I70" s="192">
        <f t="shared" si="3"/>
        <v>35120696.630509339</v>
      </c>
      <c r="J70" s="36">
        <f t="shared" si="4"/>
        <v>-3818665.3694906607</v>
      </c>
      <c r="K70" s="5">
        <f t="shared" si="5"/>
        <v>-9.8066973195160737E-2</v>
      </c>
    </row>
    <row r="71" spans="1:17" x14ac:dyDescent="0.3">
      <c r="A71" s="3">
        <v>39692</v>
      </c>
      <c r="B71" s="61">
        <v>38252149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47313</v>
      </c>
      <c r="I71" s="192">
        <f t="shared" si="3"/>
        <v>36471626.162223145</v>
      </c>
      <c r="J71" s="36">
        <f t="shared" si="4"/>
        <v>-1780522.8377768546</v>
      </c>
      <c r="K71" s="5">
        <f t="shared" si="5"/>
        <v>-4.6547001523413879E-2</v>
      </c>
    </row>
    <row r="72" spans="1:17" x14ac:dyDescent="0.3">
      <c r="A72" s="3">
        <v>39722</v>
      </c>
      <c r="B72" s="61">
        <v>34259628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47351</v>
      </c>
      <c r="I72" s="192">
        <f t="shared" si="3"/>
        <v>37092579.561704494</v>
      </c>
      <c r="J72" s="36">
        <f t="shared" si="4"/>
        <v>2832951.5617044941</v>
      </c>
      <c r="K72" s="5">
        <f t="shared" si="5"/>
        <v>8.2690669078616205E-2</v>
      </c>
    </row>
    <row r="73" spans="1:17" x14ac:dyDescent="0.3">
      <c r="A73" s="3">
        <v>39753</v>
      </c>
      <c r="B73" s="61">
        <v>34344368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47409</v>
      </c>
      <c r="I73" s="192">
        <f t="shared" si="3"/>
        <v>38864495.690251574</v>
      </c>
      <c r="J73" s="36">
        <f t="shared" si="4"/>
        <v>4520127.6902515739</v>
      </c>
      <c r="K73" s="5">
        <f t="shared" si="5"/>
        <v>0.1316119047598015</v>
      </c>
    </row>
    <row r="74" spans="1:17" x14ac:dyDescent="0.3">
      <c r="A74" s="3">
        <v>39783</v>
      </c>
      <c r="B74" s="61">
        <v>37414757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47436</v>
      </c>
      <c r="I74" s="192">
        <f t="shared" si="3"/>
        <v>38776504.611730956</v>
      </c>
      <c r="J74" s="36">
        <f t="shared" si="4"/>
        <v>1361747.6117309555</v>
      </c>
      <c r="K74" s="5">
        <f t="shared" si="5"/>
        <v>3.6396003099283938E-2</v>
      </c>
    </row>
    <row r="75" spans="1:17" s="14" customFormat="1" x14ac:dyDescent="0.3">
      <c r="A75" s="3">
        <v>39814</v>
      </c>
      <c r="B75" s="61">
        <v>48145614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47452</v>
      </c>
      <c r="I75" s="192">
        <f t="shared" si="3"/>
        <v>43065751.824226111</v>
      </c>
      <c r="J75" s="36">
        <f t="shared" si="4"/>
        <v>-5079862.1757738888</v>
      </c>
      <c r="K75" s="5">
        <f t="shared" si="5"/>
        <v>-0.10551038305948053</v>
      </c>
      <c r="L75" s="11"/>
      <c r="M75" s="11"/>
      <c r="N75" s="11"/>
      <c r="O75" s="11"/>
      <c r="P75" s="11"/>
      <c r="Q75" s="11"/>
    </row>
    <row r="76" spans="1:17" x14ac:dyDescent="0.3">
      <c r="A76" s="3">
        <v>39845</v>
      </c>
      <c r="B76" s="61">
        <v>50342878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47472</v>
      </c>
      <c r="I76" s="192">
        <f t="shared" si="3"/>
        <v>44406192.084516488</v>
      </c>
      <c r="J76" s="36">
        <f t="shared" si="4"/>
        <v>-5936685.915483512</v>
      </c>
      <c r="K76" s="5">
        <f t="shared" si="5"/>
        <v>-0.11792504027051279</v>
      </c>
    </row>
    <row r="77" spans="1:17" x14ac:dyDescent="0.3">
      <c r="A77" s="3">
        <v>39873</v>
      </c>
      <c r="B77" s="61">
        <v>42873962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47485</v>
      </c>
      <c r="I77" s="192">
        <f t="shared" si="3"/>
        <v>40460600.179614663</v>
      </c>
      <c r="J77" s="36">
        <f t="shared" si="4"/>
        <v>-2413361.8203853369</v>
      </c>
      <c r="K77" s="5">
        <f t="shared" si="5"/>
        <v>-5.6289685109702177E-2</v>
      </c>
    </row>
    <row r="78" spans="1:17" x14ac:dyDescent="0.3">
      <c r="A78" s="3">
        <v>39904</v>
      </c>
      <c r="B78" s="61">
        <v>39483063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47489</v>
      </c>
      <c r="I78" s="192">
        <f t="shared" si="3"/>
        <v>39611813.417181641</v>
      </c>
      <c r="J78" s="36">
        <f t="shared" si="4"/>
        <v>128750.41718164086</v>
      </c>
      <c r="K78" s="5">
        <f t="shared" si="5"/>
        <v>3.2609024578878509E-3</v>
      </c>
    </row>
    <row r="79" spans="1:17" x14ac:dyDescent="0.3">
      <c r="A79" s="3">
        <v>39934</v>
      </c>
      <c r="B79" s="61">
        <v>37344261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47515</v>
      </c>
      <c r="I79" s="192">
        <f t="shared" si="3"/>
        <v>36756101.29500518</v>
      </c>
      <c r="J79" s="36">
        <f t="shared" si="4"/>
        <v>-588159.70499482006</v>
      </c>
      <c r="K79" s="5">
        <f t="shared" si="5"/>
        <v>-1.5749667800222907E-2</v>
      </c>
    </row>
    <row r="80" spans="1:17" x14ac:dyDescent="0.3">
      <c r="A80" s="3">
        <v>39965</v>
      </c>
      <c r="B80" s="61">
        <v>33870381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47525</v>
      </c>
      <c r="I80" s="192">
        <f t="shared" si="3"/>
        <v>36704937.348533586</v>
      </c>
      <c r="J80" s="36">
        <f t="shared" si="4"/>
        <v>2834556.3485335857</v>
      </c>
      <c r="K80" s="5">
        <f t="shared" si="5"/>
        <v>8.368835143996714E-2</v>
      </c>
    </row>
    <row r="81" spans="1:17" x14ac:dyDescent="0.3">
      <c r="A81" s="3">
        <v>39995</v>
      </c>
      <c r="B81" s="61">
        <v>34673490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47537</v>
      </c>
      <c r="I81" s="192">
        <f t="shared" si="3"/>
        <v>35344163.810396254</v>
      </c>
      <c r="J81" s="36">
        <f t="shared" si="4"/>
        <v>670673.81039625406</v>
      </c>
      <c r="K81" s="5">
        <f t="shared" si="5"/>
        <v>1.9342552780128395E-2</v>
      </c>
    </row>
    <row r="82" spans="1:17" x14ac:dyDescent="0.3">
      <c r="A82" s="3">
        <v>40026</v>
      </c>
      <c r="B82" s="61">
        <v>34583075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47595</v>
      </c>
      <c r="I82" s="192">
        <f t="shared" si="3"/>
        <v>38081178.377143458</v>
      </c>
      <c r="J82" s="36">
        <f t="shared" si="4"/>
        <v>3498103.3771434575</v>
      </c>
      <c r="K82" s="5">
        <f t="shared" si="5"/>
        <v>0.10115073275420007</v>
      </c>
    </row>
    <row r="83" spans="1:17" x14ac:dyDescent="0.3">
      <c r="A83" s="3">
        <v>40057</v>
      </c>
      <c r="B83" s="61">
        <v>36959314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47640</v>
      </c>
      <c r="I83" s="192">
        <f t="shared" si="3"/>
        <v>36740483.356492087</v>
      </c>
      <c r="J83" s="36">
        <f t="shared" si="4"/>
        <v>-218830.64350791276</v>
      </c>
      <c r="K83" s="5">
        <f t="shared" si="5"/>
        <v>-5.9208524137626785E-3</v>
      </c>
    </row>
    <row r="84" spans="1:17" x14ac:dyDescent="0.3">
      <c r="A84" s="3">
        <v>40087</v>
      </c>
      <c r="B84" s="61">
        <v>37604869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47669</v>
      </c>
      <c r="I84" s="192">
        <f t="shared" si="3"/>
        <v>38575987.353086919</v>
      </c>
      <c r="J84" s="36">
        <f t="shared" si="4"/>
        <v>971118.35308691859</v>
      </c>
      <c r="K84" s="5">
        <f t="shared" si="5"/>
        <v>2.5824271667770432E-2</v>
      </c>
    </row>
    <row r="85" spans="1:17" x14ac:dyDescent="0.3">
      <c r="A85" s="3">
        <v>40118</v>
      </c>
      <c r="B85" s="61">
        <v>35777422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47715</v>
      </c>
      <c r="I85" s="192">
        <f t="shared" si="3"/>
        <v>40261755.594960883</v>
      </c>
      <c r="J85" s="36">
        <f t="shared" si="4"/>
        <v>4484333.5949608833</v>
      </c>
      <c r="K85" s="5">
        <f t="shared" si="5"/>
        <v>0.12533976302040106</v>
      </c>
    </row>
    <row r="86" spans="1:17" s="31" customFormat="1" x14ac:dyDescent="0.3">
      <c r="A86" s="3">
        <v>40148</v>
      </c>
      <c r="B86" s="61">
        <v>36356282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47769</v>
      </c>
      <c r="I86" s="192">
        <f t="shared" si="3"/>
        <v>42419167.498113468</v>
      </c>
      <c r="J86" s="36">
        <f t="shared" si="4"/>
        <v>6062885.4981134683</v>
      </c>
      <c r="K86" s="5">
        <f t="shared" si="5"/>
        <v>0.16676307819687031</v>
      </c>
      <c r="L86" s="27"/>
      <c r="M86" s="27"/>
      <c r="N86" s="27"/>
      <c r="O86" s="27"/>
      <c r="P86" s="27"/>
      <c r="Q86" s="27"/>
    </row>
    <row r="87" spans="1:17" x14ac:dyDescent="0.3">
      <c r="A87" s="3">
        <v>40179</v>
      </c>
      <c r="B87" s="59">
        <v>46964801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47822</v>
      </c>
      <c r="I87" s="192">
        <f t="shared" si="3"/>
        <v>43587638.041773245</v>
      </c>
      <c r="J87" s="36">
        <f t="shared" si="4"/>
        <v>-3377162.9582267553</v>
      </c>
      <c r="K87" s="5">
        <f t="shared" si="5"/>
        <v>-7.1908384286068952E-2</v>
      </c>
    </row>
    <row r="88" spans="1:17" x14ac:dyDescent="0.3">
      <c r="A88" s="3">
        <v>40210</v>
      </c>
      <c r="B88" s="59">
        <v>48467266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47929</v>
      </c>
      <c r="I88" s="192">
        <f t="shared" si="3"/>
        <v>44551528.668379568</v>
      </c>
      <c r="J88" s="36">
        <f t="shared" si="4"/>
        <v>-3915737.3316204324</v>
      </c>
      <c r="K88" s="5">
        <f t="shared" si="5"/>
        <v>-8.0791380549924824E-2</v>
      </c>
    </row>
    <row r="89" spans="1:17" x14ac:dyDescent="0.3">
      <c r="A89" s="3">
        <v>40238</v>
      </c>
      <c r="B89" s="59">
        <v>44474145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47981</v>
      </c>
      <c r="I89" s="192">
        <f t="shared" si="3"/>
        <v>40332208.800984167</v>
      </c>
      <c r="J89" s="36">
        <f t="shared" si="4"/>
        <v>-4141936.1990158334</v>
      </c>
      <c r="K89" s="5">
        <f t="shared" si="5"/>
        <v>-9.3131328303575789E-2</v>
      </c>
    </row>
    <row r="90" spans="1:17" x14ac:dyDescent="0.3">
      <c r="A90" s="3">
        <v>40269</v>
      </c>
      <c r="B90" s="59">
        <v>38255952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48073</v>
      </c>
      <c r="I90" s="192">
        <f t="shared" si="3"/>
        <v>38809774.811439335</v>
      </c>
      <c r="J90" s="36">
        <f t="shared" si="4"/>
        <v>553822.81143933535</v>
      </c>
      <c r="K90" s="5">
        <f t="shared" si="5"/>
        <v>1.4476775050306822E-2</v>
      </c>
    </row>
    <row r="91" spans="1:17" x14ac:dyDescent="0.3">
      <c r="A91" s="3">
        <v>40299</v>
      </c>
      <c r="B91" s="59">
        <v>33452154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48165</v>
      </c>
      <c r="I91" s="192">
        <f t="shared" si="3"/>
        <v>37493090.72046914</v>
      </c>
      <c r="J91" s="36">
        <f t="shared" si="4"/>
        <v>4040936.7204691395</v>
      </c>
      <c r="K91" s="5">
        <f t="shared" si="5"/>
        <v>0.12079750441389034</v>
      </c>
    </row>
    <row r="92" spans="1:17" x14ac:dyDescent="0.3">
      <c r="A92" s="3">
        <v>40330</v>
      </c>
      <c r="B92" s="59">
        <v>31846018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48234</v>
      </c>
      <c r="I92" s="192">
        <f t="shared" si="3"/>
        <v>37424275.637018427</v>
      </c>
      <c r="J92" s="36">
        <f t="shared" si="4"/>
        <v>5578257.6370184273</v>
      </c>
      <c r="K92" s="5">
        <f t="shared" si="5"/>
        <v>0.1751634266179975</v>
      </c>
    </row>
    <row r="93" spans="1:17" x14ac:dyDescent="0.3">
      <c r="A93" s="3">
        <v>40360</v>
      </c>
      <c r="B93" s="59">
        <v>36254179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48264</v>
      </c>
      <c r="I93" s="192">
        <f t="shared" si="3"/>
        <v>40517331.890498325</v>
      </c>
      <c r="J93" s="36">
        <f t="shared" si="4"/>
        <v>4263152.8904983252</v>
      </c>
      <c r="K93" s="5">
        <f t="shared" si="5"/>
        <v>0.11759066149307436</v>
      </c>
    </row>
    <row r="94" spans="1:17" x14ac:dyDescent="0.3">
      <c r="A94" s="3">
        <v>40391</v>
      </c>
      <c r="B94" s="59">
        <v>44827045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48303</v>
      </c>
      <c r="I94" s="192">
        <f t="shared" si="3"/>
        <v>39057402.005909979</v>
      </c>
      <c r="J94" s="36">
        <f t="shared" si="4"/>
        <v>-5769642.9940900207</v>
      </c>
      <c r="K94" s="5">
        <f t="shared" si="5"/>
        <v>-0.1287089745507432</v>
      </c>
    </row>
    <row r="95" spans="1:17" x14ac:dyDescent="0.3">
      <c r="A95" s="3">
        <v>40422</v>
      </c>
      <c r="B95" s="59">
        <v>44782980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48348</v>
      </c>
      <c r="I95" s="192">
        <f t="shared" si="3"/>
        <v>37628090.335701451</v>
      </c>
      <c r="J95" s="36">
        <f t="shared" si="4"/>
        <v>-7154889.6642985493</v>
      </c>
      <c r="K95" s="5">
        <f t="shared" si="5"/>
        <v>-0.15976805617443388</v>
      </c>
    </row>
    <row r="96" spans="1:17" x14ac:dyDescent="0.3">
      <c r="A96" s="3">
        <v>40452</v>
      </c>
      <c r="B96" s="59">
        <v>38118288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48388</v>
      </c>
      <c r="I96" s="192">
        <f t="shared" si="3"/>
        <v>37912010.597210526</v>
      </c>
      <c r="J96" s="36">
        <f t="shared" si="4"/>
        <v>-206277.40278947353</v>
      </c>
      <c r="K96" s="5">
        <f t="shared" si="5"/>
        <v>-5.4115075364736618E-3</v>
      </c>
    </row>
    <row r="97" spans="1:11" x14ac:dyDescent="0.3">
      <c r="A97" s="3">
        <v>40483</v>
      </c>
      <c r="B97" s="59">
        <v>35289109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48425</v>
      </c>
      <c r="I97" s="192">
        <f t="shared" si="3"/>
        <v>40735764.632395357</v>
      </c>
      <c r="J97" s="36">
        <f t="shared" si="4"/>
        <v>5446655.6323953569</v>
      </c>
      <c r="K97" s="5">
        <f t="shared" si="5"/>
        <v>0.15434381277224532</v>
      </c>
    </row>
    <row r="98" spans="1:11" x14ac:dyDescent="0.3">
      <c r="A98" s="3">
        <v>40513</v>
      </c>
      <c r="B98" s="59">
        <v>34244910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48460</v>
      </c>
      <c r="I98" s="192">
        <f t="shared" si="3"/>
        <v>42445763.317665026</v>
      </c>
      <c r="J98" s="36">
        <f t="shared" si="4"/>
        <v>8200853.3176650256</v>
      </c>
      <c r="K98" s="5">
        <f t="shared" si="5"/>
        <v>0.2394765621420826</v>
      </c>
    </row>
    <row r="99" spans="1:11" x14ac:dyDescent="0.3">
      <c r="A99" s="3">
        <v>40544</v>
      </c>
      <c r="B99" s="188">
        <v>45548074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58">
        <v>48492</v>
      </c>
      <c r="I99" s="192">
        <f t="shared" si="3"/>
        <v>44206376.82395719</v>
      </c>
      <c r="J99" s="36">
        <f t="shared" si="4"/>
        <v>-1341697.1760428101</v>
      </c>
      <c r="K99" s="5">
        <f t="shared" si="5"/>
        <v>-2.945672688691096E-2</v>
      </c>
    </row>
    <row r="100" spans="1:11" x14ac:dyDescent="0.3">
      <c r="A100" s="3">
        <v>40575</v>
      </c>
      <c r="B100" s="105">
        <v>47320844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58">
        <v>48513</v>
      </c>
      <c r="I100" s="192">
        <f t="shared" si="3"/>
        <v>45022982.353993379</v>
      </c>
      <c r="J100" s="36">
        <f t="shared" si="4"/>
        <v>-2297861.6460066214</v>
      </c>
      <c r="K100" s="5">
        <f t="shared" si="5"/>
        <v>-4.8559185588630274E-2</v>
      </c>
    </row>
    <row r="101" spans="1:11" x14ac:dyDescent="0.3">
      <c r="A101" s="3">
        <v>40603</v>
      </c>
      <c r="B101" s="105">
        <v>49556102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58">
        <v>48584</v>
      </c>
      <c r="I101" s="192">
        <f t="shared" si="3"/>
        <v>42170912.817022741</v>
      </c>
      <c r="J101" s="36">
        <f t="shared" si="4"/>
        <v>-7385189.1829772592</v>
      </c>
      <c r="K101" s="5">
        <f t="shared" si="5"/>
        <v>-0.14902683796593322</v>
      </c>
    </row>
    <row r="102" spans="1:11" x14ac:dyDescent="0.3">
      <c r="A102" s="3">
        <v>40634</v>
      </c>
      <c r="B102" s="105">
        <v>43462201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58">
        <v>48612</v>
      </c>
      <c r="I102" s="192">
        <f t="shared" si="3"/>
        <v>40171690.825957224</v>
      </c>
      <c r="J102" s="36">
        <f t="shared" si="4"/>
        <v>-3290510.1740427762</v>
      </c>
      <c r="K102" s="5">
        <f t="shared" si="5"/>
        <v>-7.5709699424628227E-2</v>
      </c>
    </row>
    <row r="103" spans="1:11" x14ac:dyDescent="0.3">
      <c r="A103" s="3">
        <v>40664</v>
      </c>
      <c r="B103" s="105">
        <v>34986173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58">
        <v>48687</v>
      </c>
      <c r="I103" s="192">
        <f t="shared" si="3"/>
        <v>36779432.369617641</v>
      </c>
      <c r="J103" s="36">
        <f t="shared" si="4"/>
        <v>1793259.369617641</v>
      </c>
      <c r="K103" s="5">
        <f t="shared" si="5"/>
        <v>5.1256231129299022E-2</v>
      </c>
    </row>
    <row r="104" spans="1:11" x14ac:dyDescent="0.3">
      <c r="A104" s="3">
        <v>40695</v>
      </c>
      <c r="B104" s="105">
        <v>32871092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58">
        <v>48641</v>
      </c>
      <c r="I104" s="192">
        <f t="shared" si="3"/>
        <v>36884506.799775064</v>
      </c>
      <c r="J104" s="36">
        <f t="shared" si="4"/>
        <v>4013414.799775064</v>
      </c>
      <c r="K104" s="5">
        <f t="shared" si="5"/>
        <v>0.12209557260145371</v>
      </c>
    </row>
    <row r="105" spans="1:11" x14ac:dyDescent="0.3">
      <c r="A105" s="3">
        <v>40725</v>
      </c>
      <c r="B105" s="105">
        <v>35752252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58">
        <v>48672</v>
      </c>
      <c r="I105" s="192">
        <f t="shared" si="3"/>
        <v>40964856.183986634</v>
      </c>
      <c r="J105" s="36">
        <f t="shared" si="4"/>
        <v>5212604.183986634</v>
      </c>
      <c r="K105" s="5">
        <f t="shared" si="5"/>
        <v>0.14579792579182521</v>
      </c>
    </row>
    <row r="106" spans="1:11" x14ac:dyDescent="0.3">
      <c r="A106" s="3">
        <v>40756</v>
      </c>
      <c r="B106" s="105">
        <v>47336699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58">
        <v>48705</v>
      </c>
      <c r="I106" s="192">
        <f t="shared" si="3"/>
        <v>37764785.139522791</v>
      </c>
      <c r="J106" s="36">
        <f t="shared" si="4"/>
        <v>-9571913.8604772091</v>
      </c>
      <c r="K106" s="5">
        <f t="shared" si="5"/>
        <v>-0.20220915405354331</v>
      </c>
    </row>
    <row r="107" spans="1:11" x14ac:dyDescent="0.3">
      <c r="A107" s="3">
        <v>40787</v>
      </c>
      <c r="B107" s="105">
        <v>42985684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58">
        <v>48746</v>
      </c>
      <c r="I107" s="192">
        <f t="shared" si="3"/>
        <v>37554044.403600797</v>
      </c>
      <c r="J107" s="36">
        <f t="shared" si="4"/>
        <v>-5431639.5963992029</v>
      </c>
      <c r="K107" s="5">
        <f t="shared" si="5"/>
        <v>-0.12635926873698702</v>
      </c>
    </row>
    <row r="108" spans="1:11" x14ac:dyDescent="0.3">
      <c r="A108" s="3">
        <v>40817</v>
      </c>
      <c r="B108" s="105">
        <v>35399883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48780</v>
      </c>
      <c r="I108" s="192">
        <f t="shared" si="3"/>
        <v>37309506.469629563</v>
      </c>
      <c r="J108" s="36">
        <f t="shared" si="4"/>
        <v>1909623.4696295634</v>
      </c>
      <c r="K108" s="5">
        <f t="shared" si="5"/>
        <v>5.3944344099373528E-2</v>
      </c>
    </row>
    <row r="109" spans="1:11" x14ac:dyDescent="0.3">
      <c r="A109" s="3">
        <v>40848</v>
      </c>
      <c r="B109" s="105">
        <v>35056122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48812</v>
      </c>
      <c r="I109" s="192">
        <f t="shared" si="3"/>
        <v>39897048.55748491</v>
      </c>
      <c r="J109" s="36">
        <f t="shared" si="4"/>
        <v>4840926.5574849099</v>
      </c>
      <c r="K109" s="5">
        <f t="shared" si="5"/>
        <v>0.13809076079450289</v>
      </c>
    </row>
    <row r="110" spans="1:11" x14ac:dyDescent="0.3">
      <c r="A110" s="3">
        <v>40878</v>
      </c>
      <c r="B110" s="105">
        <v>34342708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48841</v>
      </c>
      <c r="I110" s="192">
        <f t="shared" si="3"/>
        <v>40801147.657748103</v>
      </c>
      <c r="J110" s="36">
        <f t="shared" si="4"/>
        <v>6458439.6577481031</v>
      </c>
      <c r="K110" s="5">
        <f t="shared" si="5"/>
        <v>0.18805854383259768</v>
      </c>
    </row>
    <row r="111" spans="1:11" x14ac:dyDescent="0.3">
      <c r="A111" s="3">
        <v>40909</v>
      </c>
      <c r="B111" s="105">
        <v>44507364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58">
        <v>48868</v>
      </c>
      <c r="I111" s="192">
        <f t="shared" si="3"/>
        <v>41986236.08285886</v>
      </c>
      <c r="J111" s="36">
        <f t="shared" si="4"/>
        <v>-2521127.9171411395</v>
      </c>
      <c r="K111" s="5">
        <f t="shared" si="5"/>
        <v>-5.6645186112148534E-2</v>
      </c>
    </row>
    <row r="112" spans="1:11" x14ac:dyDescent="0.3">
      <c r="A112" s="3">
        <v>40940</v>
      </c>
      <c r="B112" s="105">
        <v>46211417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58">
        <v>48878</v>
      </c>
      <c r="I112" s="192">
        <f t="shared" si="3"/>
        <v>42664956.367050722</v>
      </c>
      <c r="J112" s="36">
        <f t="shared" si="4"/>
        <v>-3546460.6329492778</v>
      </c>
      <c r="K112" s="5">
        <f t="shared" si="5"/>
        <v>-7.6744252030819082E-2</v>
      </c>
    </row>
    <row r="113" spans="1:11" x14ac:dyDescent="0.3">
      <c r="A113" s="3">
        <v>40969</v>
      </c>
      <c r="B113" s="105">
        <v>43295338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58">
        <v>48886</v>
      </c>
      <c r="I113" s="192">
        <f t="shared" si="3"/>
        <v>39804876.461397372</v>
      </c>
      <c r="J113" s="36">
        <f t="shared" si="4"/>
        <v>-3490461.5386026278</v>
      </c>
      <c r="K113" s="5">
        <f t="shared" si="5"/>
        <v>-8.0619801111210351E-2</v>
      </c>
    </row>
    <row r="114" spans="1:11" x14ac:dyDescent="0.3">
      <c r="A114" s="3">
        <v>41000</v>
      </c>
      <c r="B114" s="105">
        <v>36181165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48890</v>
      </c>
      <c r="I114" s="192">
        <f t="shared" si="3"/>
        <v>39871758.36537686</v>
      </c>
      <c r="J114" s="36">
        <f t="shared" si="4"/>
        <v>3690593.3653768599</v>
      </c>
      <c r="K114" s="5">
        <f t="shared" si="5"/>
        <v>0.10200316560776471</v>
      </c>
    </row>
    <row r="115" spans="1:11" x14ac:dyDescent="0.3">
      <c r="A115" s="3">
        <v>41030</v>
      </c>
      <c r="B115" s="105">
        <v>31564371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48930</v>
      </c>
      <c r="I115" s="192">
        <f t="shared" si="3"/>
        <v>37017020.785439253</v>
      </c>
      <c r="J115" s="36">
        <f t="shared" si="4"/>
        <v>5452649.7854392529</v>
      </c>
      <c r="K115" s="5">
        <f t="shared" si="5"/>
        <v>0.1727469806206261</v>
      </c>
    </row>
    <row r="116" spans="1:11" x14ac:dyDescent="0.3">
      <c r="A116" s="3">
        <v>41061</v>
      </c>
      <c r="B116" s="105">
        <v>33547925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48970</v>
      </c>
      <c r="I116" s="192">
        <f t="shared" si="3"/>
        <v>38265020.140517324</v>
      </c>
      <c r="J116" s="36">
        <f t="shared" si="4"/>
        <v>4717095.1405173242</v>
      </c>
      <c r="K116" s="5">
        <f t="shared" si="5"/>
        <v>0.14060765726993024</v>
      </c>
    </row>
    <row r="117" spans="1:11" x14ac:dyDescent="0.3">
      <c r="A117" s="3">
        <v>41091</v>
      </c>
      <c r="B117" s="105">
        <v>38898477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58">
        <v>48983</v>
      </c>
      <c r="I117" s="192">
        <f t="shared" si="3"/>
        <v>41960819.874746814</v>
      </c>
      <c r="J117" s="36">
        <f t="shared" si="4"/>
        <v>3062342.8747468144</v>
      </c>
      <c r="K117" s="5">
        <f t="shared" si="5"/>
        <v>7.8726549493102635E-2</v>
      </c>
    </row>
    <row r="118" spans="1:11" x14ac:dyDescent="0.3">
      <c r="A118" s="3">
        <v>41122</v>
      </c>
      <c r="B118" s="105">
        <v>48492174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58">
        <v>49027</v>
      </c>
      <c r="I118" s="192">
        <f t="shared" si="3"/>
        <v>39212123.425853498</v>
      </c>
      <c r="J118" s="36">
        <f t="shared" si="4"/>
        <v>-9280050.5741465017</v>
      </c>
      <c r="K118" s="5">
        <f t="shared" si="5"/>
        <v>-0.19137212891602884</v>
      </c>
    </row>
    <row r="119" spans="1:11" x14ac:dyDescent="0.3">
      <c r="A119" s="3">
        <v>41153</v>
      </c>
      <c r="B119" s="105">
        <v>45718998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58">
        <v>49040</v>
      </c>
      <c r="I119" s="192">
        <f t="shared" si="3"/>
        <v>37739943.676368892</v>
      </c>
      <c r="J119" s="36">
        <f t="shared" si="4"/>
        <v>-7979054.3236311078</v>
      </c>
      <c r="K119" s="5">
        <f t="shared" si="5"/>
        <v>-0.17452382319558071</v>
      </c>
    </row>
    <row r="120" spans="1:11" x14ac:dyDescent="0.3">
      <c r="A120" s="3">
        <v>41183</v>
      </c>
      <c r="B120" s="105">
        <v>36478878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58">
        <v>49081</v>
      </c>
      <c r="I120" s="192">
        <f t="shared" si="3"/>
        <v>37635531.622163922</v>
      </c>
      <c r="J120" s="36">
        <f t="shared" si="4"/>
        <v>1156653.6221639216</v>
      </c>
      <c r="K120" s="5">
        <f t="shared" si="5"/>
        <v>3.1707488979346395E-2</v>
      </c>
    </row>
    <row r="121" spans="1:11" x14ac:dyDescent="0.3">
      <c r="A121" s="3">
        <v>41214</v>
      </c>
      <c r="B121" s="105">
        <v>32177448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58">
        <v>49113</v>
      </c>
      <c r="I121" s="192">
        <f t="shared" si="3"/>
        <v>41258237.832139641</v>
      </c>
      <c r="J121" s="36">
        <f t="shared" si="4"/>
        <v>9080789.832139641</v>
      </c>
      <c r="K121" s="5">
        <f t="shared" si="5"/>
        <v>0.28220975859053959</v>
      </c>
    </row>
    <row r="122" spans="1:11" x14ac:dyDescent="0.3">
      <c r="A122" s="3">
        <v>41244</v>
      </c>
      <c r="B122" s="105">
        <v>36250725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58">
        <v>49201</v>
      </c>
      <c r="I122" s="192">
        <f t="shared" si="3"/>
        <v>39962786.858152442</v>
      </c>
      <c r="J122" s="36">
        <f t="shared" si="4"/>
        <v>3712061.8581524417</v>
      </c>
      <c r="K122" s="5">
        <f t="shared" si="5"/>
        <v>0.10239965843862273</v>
      </c>
    </row>
    <row r="123" spans="1:11" x14ac:dyDescent="0.3">
      <c r="A123" s="3">
        <v>41275</v>
      </c>
      <c r="B123" s="105">
        <v>43239727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58">
        <v>49228</v>
      </c>
      <c r="I123" s="192">
        <f t="shared" si="3"/>
        <v>42184680.45122546</v>
      </c>
      <c r="J123" s="36">
        <f t="shared" si="4"/>
        <v>-1055046.5487745404</v>
      </c>
      <c r="K123" s="5">
        <f t="shared" si="5"/>
        <v>-2.4399935475414553E-2</v>
      </c>
    </row>
    <row r="124" spans="1:11" x14ac:dyDescent="0.3">
      <c r="A124" s="3">
        <v>41306</v>
      </c>
      <c r="B124" s="105">
        <v>45208585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58">
        <v>49269</v>
      </c>
      <c r="I124" s="192">
        <f t="shared" si="3"/>
        <v>44707569.930206366</v>
      </c>
      <c r="J124" s="36">
        <f t="shared" si="4"/>
        <v>-501015.06979363412</v>
      </c>
      <c r="K124" s="5">
        <f t="shared" si="5"/>
        <v>-1.108229929765849E-2</v>
      </c>
    </row>
    <row r="125" spans="1:11" x14ac:dyDescent="0.3">
      <c r="A125" s="3">
        <v>41334</v>
      </c>
      <c r="B125" s="105">
        <v>47225367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58">
        <v>49337</v>
      </c>
      <c r="I125" s="192">
        <f t="shared" si="3"/>
        <v>41965269.474641785</v>
      </c>
      <c r="J125" s="36">
        <f t="shared" si="4"/>
        <v>-5260097.525358215</v>
      </c>
      <c r="K125" s="5">
        <f t="shared" si="5"/>
        <v>-0.11138288296114703</v>
      </c>
    </row>
    <row r="126" spans="1:11" x14ac:dyDescent="0.3">
      <c r="A126" s="3">
        <v>41365</v>
      </c>
      <c r="B126" s="105">
        <v>41850195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58">
        <v>49429</v>
      </c>
      <c r="I126" s="192">
        <f t="shared" si="3"/>
        <v>40130481.540728152</v>
      </c>
      <c r="J126" s="36">
        <f t="shared" si="4"/>
        <v>-1719713.4592718482</v>
      </c>
      <c r="K126" s="5">
        <f t="shared" si="5"/>
        <v>-4.1092125359794576E-2</v>
      </c>
    </row>
    <row r="127" spans="1:11" x14ac:dyDescent="0.3">
      <c r="A127" s="3">
        <v>41395</v>
      </c>
      <c r="B127" s="105">
        <v>37731544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58">
        <v>49493</v>
      </c>
      <c r="I127" s="192">
        <f t="shared" si="3"/>
        <v>36193134.395366699</v>
      </c>
      <c r="J127" s="36">
        <f t="shared" si="4"/>
        <v>-1538409.6046333015</v>
      </c>
      <c r="K127" s="5">
        <f t="shared" si="5"/>
        <v>-4.0772506013358516E-2</v>
      </c>
    </row>
    <row r="128" spans="1:11" x14ac:dyDescent="0.3">
      <c r="A128" s="3">
        <v>41426</v>
      </c>
      <c r="B128" s="105">
        <v>32044592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58">
        <v>49529</v>
      </c>
      <c r="I128" s="192">
        <f t="shared" si="3"/>
        <v>36598697.911498442</v>
      </c>
      <c r="J128" s="36">
        <f t="shared" si="4"/>
        <v>4554105.9114984423</v>
      </c>
      <c r="K128" s="5">
        <f t="shared" si="5"/>
        <v>0.14211776862374914</v>
      </c>
    </row>
    <row r="129" spans="1:11" x14ac:dyDescent="0.3">
      <c r="A129" s="3">
        <v>41456</v>
      </c>
      <c r="B129" s="105">
        <v>35192077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58">
        <v>49593</v>
      </c>
      <c r="I129" s="192">
        <f t="shared" si="3"/>
        <v>39185550.566507488</v>
      </c>
      <c r="J129" s="36">
        <f t="shared" si="4"/>
        <v>3993473.5665074885</v>
      </c>
      <c r="K129" s="5">
        <f t="shared" si="5"/>
        <v>0.11347649547673723</v>
      </c>
    </row>
    <row r="130" spans="1:11" x14ac:dyDescent="0.3">
      <c r="A130" s="3">
        <v>41487</v>
      </c>
      <c r="B130" s="105">
        <v>45217149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58">
        <v>49640</v>
      </c>
      <c r="I130" s="192">
        <f t="shared" si="3"/>
        <v>36488830.979010619</v>
      </c>
      <c r="J130" s="36">
        <f t="shared" si="4"/>
        <v>-8728318.0209893808</v>
      </c>
      <c r="K130" s="5">
        <f t="shared" si="5"/>
        <v>-0.19303114446665756</v>
      </c>
    </row>
    <row r="131" spans="1:11" x14ac:dyDescent="0.3">
      <c r="A131" s="3">
        <v>41518</v>
      </c>
      <c r="B131" s="105">
        <v>40545830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58">
        <v>49706</v>
      </c>
      <c r="I131" s="192">
        <f t="shared" si="3"/>
        <v>37037467.360650241</v>
      </c>
      <c r="J131" s="36">
        <f t="shared" si="4"/>
        <v>-3508362.6393497586</v>
      </c>
      <c r="K131" s="5">
        <f t="shared" si="5"/>
        <v>-8.6528322132011073E-2</v>
      </c>
    </row>
    <row r="132" spans="1:11" x14ac:dyDescent="0.3">
      <c r="A132" s="3">
        <v>41548</v>
      </c>
      <c r="B132" s="105">
        <v>37147018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58">
        <v>49770</v>
      </c>
      <c r="I132" s="192">
        <f t="shared" ref="I132:I195" si="6">$N$18+C132*$N$19+D132*$N$20+E132*$N$21+F132*$N$22+G132*$N$23</f>
        <v>37440833.367017202</v>
      </c>
      <c r="J132" s="36">
        <f t="shared" ref="J132:J133" si="7">I132-B132</f>
        <v>293815.36701720208</v>
      </c>
      <c r="K132" s="5">
        <f t="shared" ref="K132:K133" si="8">J132/B132</f>
        <v>7.9095276777587393E-3</v>
      </c>
    </row>
    <row r="133" spans="1:11" x14ac:dyDescent="0.3">
      <c r="A133" s="3">
        <v>41579</v>
      </c>
      <c r="B133" s="105">
        <v>30731580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58">
        <v>49821</v>
      </c>
      <c r="I133" s="192">
        <f t="shared" si="6"/>
        <v>41440707.204318821</v>
      </c>
      <c r="J133" s="36">
        <f t="shared" si="7"/>
        <v>10709127.204318821</v>
      </c>
      <c r="K133" s="5">
        <f t="shared" si="8"/>
        <v>0.3484730431796485</v>
      </c>
    </row>
    <row r="134" spans="1:11" x14ac:dyDescent="0.3">
      <c r="A134" s="3">
        <v>41609</v>
      </c>
      <c r="B134" s="105">
        <v>39184597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339">
        <v>49831</v>
      </c>
      <c r="I134" s="192">
        <f t="shared" ca="1" si="6"/>
        <v>40020202.846451312</v>
      </c>
      <c r="J134" s="36">
        <f t="shared" ref="J134" ca="1" si="9">I134-B134</f>
        <v>835605.8464513123</v>
      </c>
      <c r="K134" s="5">
        <f t="shared" ref="K134" ca="1" si="10">J134/B134</f>
        <v>2.1324854928361579E-2</v>
      </c>
    </row>
    <row r="135" spans="1:11" x14ac:dyDescent="0.3">
      <c r="A135" s="3">
        <v>41640</v>
      </c>
      <c r="B135" s="6">
        <v>48055145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0">
        <v>49844</v>
      </c>
      <c r="I135" s="192">
        <f t="shared" si="6"/>
        <v>44183063.096089423</v>
      </c>
      <c r="J135" s="36"/>
      <c r="K135" s="5"/>
    </row>
    <row r="136" spans="1:11" x14ac:dyDescent="0.3">
      <c r="A136" s="3">
        <v>41671</v>
      </c>
      <c r="B136" s="6">
        <v>52458603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0">
        <v>49876</v>
      </c>
      <c r="I136" s="192">
        <f t="shared" si="6"/>
        <v>45642304.071066119</v>
      </c>
      <c r="J136" s="36"/>
      <c r="K136" s="5"/>
    </row>
    <row r="137" spans="1:11" x14ac:dyDescent="0.3">
      <c r="A137" s="3">
        <v>41699</v>
      </c>
      <c r="B137" s="6">
        <v>49417345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0">
        <v>49940</v>
      </c>
      <c r="I137" s="192">
        <f t="shared" si="6"/>
        <v>43644765.990610942</v>
      </c>
      <c r="J137" s="36"/>
      <c r="K137" s="5"/>
    </row>
    <row r="138" spans="1:11" x14ac:dyDescent="0.3">
      <c r="A138" s="3">
        <v>41730</v>
      </c>
      <c r="B138" s="6">
        <v>42883964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0">
        <v>49961</v>
      </c>
      <c r="I138" s="192">
        <f t="shared" si="6"/>
        <v>40090382.222210214</v>
      </c>
      <c r="J138" s="36"/>
      <c r="K138" s="5"/>
    </row>
    <row r="139" spans="1:11" x14ac:dyDescent="0.3">
      <c r="A139" s="3">
        <v>41760</v>
      </c>
      <c r="B139" s="6">
        <v>38466864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0">
        <v>50032</v>
      </c>
      <c r="I139" s="192">
        <f t="shared" si="6"/>
        <v>36371904.482559629</v>
      </c>
      <c r="J139" s="36"/>
      <c r="K139" s="5"/>
    </row>
    <row r="140" spans="1:11" x14ac:dyDescent="0.3">
      <c r="A140" s="3">
        <v>41791</v>
      </c>
      <c r="B140" s="6">
        <v>31891061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0">
        <v>50102</v>
      </c>
      <c r="I140" s="192">
        <f t="shared" si="6"/>
        <v>36692399.392859221</v>
      </c>
      <c r="J140" s="36"/>
      <c r="K140" s="5"/>
    </row>
    <row r="141" spans="1:11" x14ac:dyDescent="0.3">
      <c r="A141" s="3">
        <v>41821</v>
      </c>
      <c r="B141" s="6">
        <v>35262229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0">
        <v>50183</v>
      </c>
      <c r="I141" s="192">
        <f t="shared" si="6"/>
        <v>36506349.027886495</v>
      </c>
      <c r="J141" s="36"/>
      <c r="K141" s="5"/>
    </row>
    <row r="142" spans="1:11" x14ac:dyDescent="0.3">
      <c r="A142" s="3">
        <v>41852</v>
      </c>
      <c r="B142" s="6">
        <v>39782614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0">
        <v>50251</v>
      </c>
      <c r="I142" s="192">
        <f t="shared" si="6"/>
        <v>36731393.151030429</v>
      </c>
      <c r="J142" s="36"/>
      <c r="K142" s="5"/>
    </row>
    <row r="143" spans="1:11" x14ac:dyDescent="0.3">
      <c r="A143" s="3">
        <v>41883</v>
      </c>
      <c r="B143" s="6">
        <v>39248944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0">
        <v>50320</v>
      </c>
      <c r="I143" s="192">
        <f t="shared" si="6"/>
        <v>37348216.081161857</v>
      </c>
      <c r="J143" s="36"/>
      <c r="K143" s="5"/>
    </row>
    <row r="144" spans="1:11" x14ac:dyDescent="0.3">
      <c r="A144" s="3">
        <v>41913</v>
      </c>
      <c r="B144" s="6">
        <v>36539755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0">
        <v>50423</v>
      </c>
      <c r="I144" s="192">
        <f t="shared" si="6"/>
        <v>37134931.65160384</v>
      </c>
      <c r="J144" s="36"/>
      <c r="K144" s="5"/>
    </row>
    <row r="145" spans="1:11" x14ac:dyDescent="0.3">
      <c r="A145" s="3">
        <v>41944</v>
      </c>
      <c r="B145" s="6">
        <v>32699721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0">
        <v>50530</v>
      </c>
      <c r="I145" s="192">
        <f t="shared" si="6"/>
        <v>40621108.459613591</v>
      </c>
      <c r="J145" s="36"/>
      <c r="K145" s="5"/>
    </row>
    <row r="146" spans="1:11" x14ac:dyDescent="0.3">
      <c r="A146" s="3">
        <v>41974</v>
      </c>
      <c r="B146" s="6">
        <v>38833074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0">
        <v>50574</v>
      </c>
      <c r="I146" s="192">
        <f t="shared" si="6"/>
        <v>41011099.203924403</v>
      </c>
      <c r="J146" s="36"/>
      <c r="K146" s="5"/>
    </row>
    <row r="147" spans="1:11" x14ac:dyDescent="0.3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0"/>
      <c r="I147" s="192">
        <f t="shared" ca="1" si="6"/>
        <v>42679671.499413222</v>
      </c>
      <c r="J147" s="36"/>
      <c r="K147" s="5"/>
    </row>
    <row r="148" spans="1:11" x14ac:dyDescent="0.3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0"/>
      <c r="I148" s="192">
        <f t="shared" ca="1" si="6"/>
        <v>44292540.048002817</v>
      </c>
      <c r="J148" s="36"/>
      <c r="K148" s="5"/>
    </row>
    <row r="149" spans="1:11" x14ac:dyDescent="0.3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0"/>
      <c r="I149" s="192">
        <f t="shared" ca="1" si="6"/>
        <v>42319635.848213986</v>
      </c>
      <c r="J149" s="36"/>
      <c r="K149" s="5"/>
    </row>
    <row r="150" spans="1:11" x14ac:dyDescent="0.3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0"/>
      <c r="I150" s="192">
        <f t="shared" ca="1" si="6"/>
        <v>39488137.366776556</v>
      </c>
      <c r="J150" s="36"/>
      <c r="K150" s="5"/>
    </row>
    <row r="151" spans="1:11" x14ac:dyDescent="0.3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0"/>
      <c r="I151" s="192">
        <f t="shared" ca="1" si="6"/>
        <v>36201415.28285189</v>
      </c>
      <c r="J151" s="36"/>
      <c r="K151" s="5"/>
    </row>
    <row r="152" spans="1:11" x14ac:dyDescent="0.3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0"/>
      <c r="I152" s="192">
        <f t="shared" ca="1" si="6"/>
        <v>37648878.462256968</v>
      </c>
      <c r="J152" s="36"/>
      <c r="K152" s="5"/>
    </row>
    <row r="153" spans="1:11" x14ac:dyDescent="0.3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0"/>
      <c r="I153" s="192">
        <f t="shared" ca="1" si="6"/>
        <v>37684383.325099565</v>
      </c>
      <c r="J153" s="36"/>
      <c r="K153" s="5"/>
    </row>
    <row r="154" spans="1:11" x14ac:dyDescent="0.3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0"/>
      <c r="I154" s="192">
        <f t="shared" ca="1" si="6"/>
        <v>37979906.4923627</v>
      </c>
      <c r="J154" s="36"/>
      <c r="K154" s="5"/>
    </row>
    <row r="155" spans="1:11" x14ac:dyDescent="0.3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0"/>
      <c r="I155" s="192">
        <f t="shared" ca="1" si="6"/>
        <v>37675484.600544751</v>
      </c>
      <c r="J155" s="36"/>
      <c r="K155" s="5"/>
    </row>
    <row r="156" spans="1:11" x14ac:dyDescent="0.3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0"/>
      <c r="I156" s="192">
        <f t="shared" ca="1" si="6"/>
        <v>36885680.220127359</v>
      </c>
      <c r="J156" s="36"/>
      <c r="K156" s="5"/>
    </row>
    <row r="157" spans="1:11" x14ac:dyDescent="0.3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0"/>
      <c r="I157" s="192">
        <f t="shared" ca="1" si="6"/>
        <v>39995887.706333235</v>
      </c>
      <c r="J157" s="36"/>
      <c r="K157" s="5"/>
    </row>
    <row r="158" spans="1:11" x14ac:dyDescent="0.3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0"/>
      <c r="I158" s="192">
        <f t="shared" ca="1" si="6"/>
        <v>40109940.795118049</v>
      </c>
      <c r="J158" s="36"/>
      <c r="K158" s="5"/>
    </row>
    <row r="159" spans="1:11" x14ac:dyDescent="0.3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0"/>
      <c r="I159" s="192">
        <f t="shared" ca="1" si="6"/>
        <v>42614084.249496564</v>
      </c>
      <c r="J159" s="36"/>
      <c r="K159" s="5"/>
    </row>
    <row r="160" spans="1:11" x14ac:dyDescent="0.3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0"/>
      <c r="I160" s="192">
        <f t="shared" ca="1" si="6"/>
        <v>43370263.382743686</v>
      </c>
      <c r="J160" s="36"/>
      <c r="K160" s="5"/>
    </row>
    <row r="161" spans="1:11" x14ac:dyDescent="0.3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0"/>
      <c r="I161" s="192">
        <f t="shared" ca="1" si="6"/>
        <v>42256760.344294727</v>
      </c>
      <c r="J161" s="36"/>
      <c r="K161" s="5"/>
    </row>
    <row r="162" spans="1:11" x14ac:dyDescent="0.3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0"/>
      <c r="I162" s="192">
        <f t="shared" ca="1" si="6"/>
        <v>39438494.528276131</v>
      </c>
      <c r="J162" s="36"/>
      <c r="K162" s="5"/>
    </row>
    <row r="163" spans="1:11" x14ac:dyDescent="0.3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0"/>
      <c r="I163" s="192">
        <f t="shared" ca="1" si="6"/>
        <v>36158870.912222624</v>
      </c>
      <c r="J163" s="36"/>
      <c r="K163" s="5"/>
    </row>
    <row r="164" spans="1:11" x14ac:dyDescent="0.3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0"/>
      <c r="I164" s="192">
        <f t="shared" ca="1" si="6"/>
        <v>37639311.766402215</v>
      </c>
      <c r="J164" s="36"/>
      <c r="K164" s="5"/>
    </row>
    <row r="165" spans="1:11" x14ac:dyDescent="0.3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0"/>
      <c r="I165" s="192">
        <f t="shared" ca="1" si="6"/>
        <v>37673813.028130479</v>
      </c>
      <c r="J165" s="36"/>
      <c r="K165" s="5"/>
    </row>
    <row r="166" spans="1:11" x14ac:dyDescent="0.3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0"/>
      <c r="I166" s="192">
        <f t="shared" ca="1" si="6"/>
        <v>37971795.853339337</v>
      </c>
      <c r="J166" s="36"/>
      <c r="K166" s="5"/>
    </row>
    <row r="167" spans="1:11" x14ac:dyDescent="0.3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0"/>
      <c r="I167" s="192">
        <f t="shared" ca="1" si="6"/>
        <v>37638872.49805592</v>
      </c>
      <c r="J167" s="36"/>
      <c r="K167" s="5"/>
    </row>
    <row r="168" spans="1:11" x14ac:dyDescent="0.3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0"/>
      <c r="I168" s="192">
        <f t="shared" ca="1" si="6"/>
        <v>36738443.248227894</v>
      </c>
      <c r="J168" s="36"/>
      <c r="K168" s="5"/>
    </row>
    <row r="169" spans="1:11" x14ac:dyDescent="0.3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0"/>
      <c r="I169" s="192">
        <f t="shared" ca="1" si="6"/>
        <v>39842727.373295665</v>
      </c>
      <c r="J169" s="36"/>
      <c r="K169" s="5"/>
    </row>
    <row r="170" spans="1:11" x14ac:dyDescent="0.3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0"/>
      <c r="I170" s="192">
        <f t="shared" ca="1" si="6"/>
        <v>39952582.847762071</v>
      </c>
      <c r="J170" s="36"/>
      <c r="K170" s="5"/>
    </row>
    <row r="171" spans="1:11" x14ac:dyDescent="0.3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0"/>
      <c r="I171" s="192">
        <f t="shared" ca="1" si="6"/>
        <v>42530924.429438964</v>
      </c>
      <c r="J171" s="36"/>
      <c r="K171" s="5"/>
    </row>
    <row r="172" spans="1:11" x14ac:dyDescent="0.3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0"/>
      <c r="I172" s="192">
        <f t="shared" ca="1" si="6"/>
        <v>44148466.999785177</v>
      </c>
      <c r="J172" s="36"/>
      <c r="K172" s="5"/>
    </row>
    <row r="173" spans="1:11" x14ac:dyDescent="0.3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0"/>
      <c r="I173" s="192">
        <f t="shared" ca="1" si="6"/>
        <v>42176312.27023451</v>
      </c>
      <c r="J173" s="36"/>
      <c r="K173" s="5"/>
    </row>
    <row r="174" spans="1:11" x14ac:dyDescent="0.3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0"/>
      <c r="I174" s="192">
        <f t="shared" ca="1" si="6"/>
        <v>39364542.220186219</v>
      </c>
      <c r="J174" s="36"/>
      <c r="K174" s="5"/>
    </row>
    <row r="175" spans="1:11" x14ac:dyDescent="0.3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0"/>
      <c r="I175" s="192">
        <f t="shared" ca="1" si="6"/>
        <v>36092017.072003864</v>
      </c>
      <c r="J175" s="36"/>
      <c r="K175" s="5"/>
    </row>
    <row r="176" spans="1:11" x14ac:dyDescent="0.3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0"/>
      <c r="I176" s="192">
        <f t="shared" ca="1" si="6"/>
        <v>37605435.60095796</v>
      </c>
      <c r="J176" s="36"/>
      <c r="K176" s="5"/>
    </row>
    <row r="177" spans="1:11" x14ac:dyDescent="0.3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0"/>
      <c r="I177" s="192">
        <f t="shared" ca="1" si="6"/>
        <v>37652245.495712563</v>
      </c>
      <c r="J177" s="36"/>
      <c r="K177" s="5"/>
    </row>
    <row r="178" spans="1:11" x14ac:dyDescent="0.3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0"/>
      <c r="I178" s="192">
        <f t="shared" ca="1" si="6"/>
        <v>37952687.978867158</v>
      </c>
      <c r="J178" s="36"/>
      <c r="K178" s="5"/>
    </row>
    <row r="179" spans="1:11" x14ac:dyDescent="0.3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0"/>
      <c r="I179" s="192">
        <f t="shared" ca="1" si="6"/>
        <v>37591263.160118237</v>
      </c>
      <c r="J179" s="36"/>
      <c r="K179" s="5"/>
    </row>
    <row r="180" spans="1:11" x14ac:dyDescent="0.3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0"/>
      <c r="I180" s="192">
        <f t="shared" ca="1" si="6"/>
        <v>36674582.691911861</v>
      </c>
      <c r="J180" s="36"/>
      <c r="K180" s="5"/>
    </row>
    <row r="181" spans="1:11" x14ac:dyDescent="0.3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0"/>
      <c r="I181" s="192">
        <f t="shared" ca="1" si="6"/>
        <v>39772943.455841526</v>
      </c>
      <c r="J181" s="36"/>
      <c r="K181" s="5"/>
    </row>
    <row r="182" spans="1:11" x14ac:dyDescent="0.3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0"/>
      <c r="I182" s="192">
        <f t="shared" ca="1" si="6"/>
        <v>39878601.315989524</v>
      </c>
      <c r="J182" s="36"/>
      <c r="K182" s="5"/>
    </row>
    <row r="183" spans="1:11" x14ac:dyDescent="0.3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0"/>
      <c r="I183" s="192">
        <f t="shared" ca="1" si="6"/>
        <v>42478490.747613147</v>
      </c>
      <c r="J183" s="36"/>
      <c r="K183" s="5"/>
    </row>
    <row r="184" spans="1:11" x14ac:dyDescent="0.3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0"/>
      <c r="I184" s="192">
        <f t="shared" ca="1" si="6"/>
        <v>44098370.328837685</v>
      </c>
      <c r="J184" s="36"/>
      <c r="K184" s="5"/>
    </row>
    <row r="185" spans="1:11" x14ac:dyDescent="0.3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0"/>
      <c r="I185" s="192">
        <f t="shared" ca="1" si="6"/>
        <v>42126590.334406093</v>
      </c>
      <c r="J185" s="36"/>
      <c r="K185" s="5"/>
    </row>
    <row r="186" spans="1:11" x14ac:dyDescent="0.3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0"/>
      <c r="I186" s="192">
        <f t="shared" ca="1" si="6"/>
        <v>39326577.660640657</v>
      </c>
      <c r="J186" s="36"/>
      <c r="K186" s="5"/>
    </row>
    <row r="187" spans="1:11" x14ac:dyDescent="0.3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0"/>
      <c r="I187" s="192">
        <f t="shared" ca="1" si="6"/>
        <v>36061150.980329454</v>
      </c>
      <c r="J187" s="36"/>
      <c r="K187" s="5"/>
    </row>
    <row r="188" spans="1:11" x14ac:dyDescent="0.3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0"/>
      <c r="I188" s="192">
        <f t="shared" ca="1" si="6"/>
        <v>37607547.184058055</v>
      </c>
      <c r="J188" s="36"/>
      <c r="K188" s="5"/>
    </row>
    <row r="189" spans="1:11" x14ac:dyDescent="0.3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0"/>
      <c r="I189" s="192">
        <f t="shared" ca="1" si="6"/>
        <v>37663827.725436926</v>
      </c>
      <c r="J189" s="36"/>
      <c r="K189" s="5"/>
    </row>
    <row r="190" spans="1:11" x14ac:dyDescent="0.3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0"/>
      <c r="I190" s="192">
        <f t="shared" ca="1" si="6"/>
        <v>37966729.866537236</v>
      </c>
      <c r="J190" s="36"/>
      <c r="K190" s="5"/>
    </row>
    <row r="191" spans="1:11" x14ac:dyDescent="0.3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0"/>
      <c r="I191" s="192">
        <f t="shared" ca="1" si="6"/>
        <v>37576803.584322855</v>
      </c>
      <c r="J191" s="36"/>
      <c r="K191" s="5"/>
    </row>
    <row r="192" spans="1:11" x14ac:dyDescent="0.3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0"/>
      <c r="I192" s="192">
        <f t="shared" ca="1" si="6"/>
        <v>36632911.735222049</v>
      </c>
      <c r="J192" s="36"/>
      <c r="K192" s="5"/>
    </row>
    <row r="193" spans="1:11" x14ac:dyDescent="0.3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0"/>
      <c r="I193" s="192">
        <f t="shared" ca="1" si="6"/>
        <v>39725349.138013616</v>
      </c>
      <c r="J193" s="36"/>
      <c r="K193" s="5"/>
    </row>
    <row r="194" spans="1:11" x14ac:dyDescent="0.3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0"/>
      <c r="I194" s="192">
        <f t="shared" ca="1" si="6"/>
        <v>39826809.383843206</v>
      </c>
      <c r="J194" s="36"/>
      <c r="K194" s="5"/>
    </row>
    <row r="195" spans="1:11" x14ac:dyDescent="0.3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0"/>
      <c r="I195" s="192">
        <f t="shared" ca="1" si="6"/>
        <v>42396963.814796761</v>
      </c>
      <c r="J195" s="36"/>
      <c r="K195" s="5"/>
    </row>
    <row r="196" spans="1:11" x14ac:dyDescent="0.3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0"/>
      <c r="I196" s="192">
        <f t="shared" ref="I196:I206" ca="1" si="11">$N$18+C196*$N$19+D196*$N$20+E196*$N$21+F196*$N$22+G196*$N$23</f>
        <v>44019180.406899609</v>
      </c>
      <c r="J196" s="36"/>
      <c r="K196" s="5"/>
    </row>
    <row r="197" spans="1:11" x14ac:dyDescent="0.3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0"/>
      <c r="I197" s="192">
        <f t="shared" ca="1" si="11"/>
        <v>42047775.147587106</v>
      </c>
      <c r="J197" s="36"/>
      <c r="K197" s="5"/>
    </row>
    <row r="198" spans="1:11" x14ac:dyDescent="0.3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0"/>
      <c r="I198" s="192">
        <f t="shared" ca="1" si="11"/>
        <v>39245235.786408916</v>
      </c>
      <c r="J198" s="36"/>
      <c r="K198" s="5"/>
    </row>
    <row r="199" spans="1:11" x14ac:dyDescent="0.3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0"/>
      <c r="I199" s="192">
        <f t="shared" ca="1" si="11"/>
        <v>35986907.57396888</v>
      </c>
      <c r="J199" s="36"/>
      <c r="K199" s="5"/>
    </row>
    <row r="200" spans="1:11" x14ac:dyDescent="0.3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0"/>
      <c r="I200" s="192">
        <f t="shared" ca="1" si="11"/>
        <v>37566281.452471986</v>
      </c>
      <c r="J200" s="36"/>
      <c r="K200" s="5"/>
    </row>
    <row r="201" spans="1:11" x14ac:dyDescent="0.3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0"/>
      <c r="I201" s="192">
        <f t="shared" ca="1" si="11"/>
        <v>37622491.318596594</v>
      </c>
      <c r="J201" s="36"/>
      <c r="K201" s="5"/>
    </row>
    <row r="202" spans="1:11" x14ac:dyDescent="0.3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0"/>
      <c r="I202" s="192">
        <f t="shared" ca="1" si="11"/>
        <v>37927853.117642626</v>
      </c>
      <c r="J202" s="36"/>
      <c r="K202" s="5"/>
    </row>
    <row r="203" spans="1:11" x14ac:dyDescent="0.3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0"/>
      <c r="I203" s="192">
        <f t="shared" ca="1" si="11"/>
        <v>37509425.371962771</v>
      </c>
      <c r="J203" s="36"/>
      <c r="K203" s="5"/>
    </row>
    <row r="204" spans="1:11" x14ac:dyDescent="0.3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0"/>
      <c r="I204" s="192">
        <f t="shared" ca="1" si="11"/>
        <v>36533558.651513211</v>
      </c>
      <c r="J204" s="36"/>
      <c r="K204" s="5"/>
    </row>
    <row r="205" spans="1:11" x14ac:dyDescent="0.3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0"/>
      <c r="I205" s="192">
        <f t="shared" ca="1" si="11"/>
        <v>39620072.693166688</v>
      </c>
      <c r="J205" s="36"/>
      <c r="K205" s="5"/>
    </row>
    <row r="206" spans="1:11" x14ac:dyDescent="0.3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0"/>
      <c r="I206" s="192">
        <f t="shared" ca="1" si="11"/>
        <v>39717335.324677855</v>
      </c>
      <c r="J206" s="36"/>
      <c r="K206" s="5"/>
    </row>
    <row r="207" spans="1:11" x14ac:dyDescent="0.3">
      <c r="A207" s="3"/>
      <c r="I207" s="11"/>
      <c r="J207" s="11"/>
      <c r="K207" s="11"/>
    </row>
    <row r="208" spans="1:11" x14ac:dyDescent="0.3">
      <c r="A208" s="3"/>
      <c r="C208" s="18"/>
      <c r="D208" s="63" t="s">
        <v>60</v>
      </c>
      <c r="I208" s="47">
        <f ca="1">SUM(I3:I206)</f>
        <v>8022873429.6993484</v>
      </c>
    </row>
    <row r="209" spans="1:11" x14ac:dyDescent="0.3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3">
      <c r="A210" s="16">
        <v>2003</v>
      </c>
      <c r="B210" s="6">
        <f>SUM(B3:B14)</f>
        <v>457662445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474184070.9287616</v>
      </c>
      <c r="J210" s="36">
        <f>I210-B210</f>
        <v>16521625.928761601</v>
      </c>
      <c r="K210" s="5">
        <f>J210/B210</f>
        <v>3.6100025486604216E-2</v>
      </c>
    </row>
    <row r="211" spans="1:11" x14ac:dyDescent="0.3">
      <c r="A211">
        <v>2004</v>
      </c>
      <c r="B211" s="6">
        <f>SUM(B15:B26)</f>
        <v>448166680</v>
      </c>
      <c r="C211" s="107">
        <f>+B211-B210</f>
        <v>-9495765</v>
      </c>
      <c r="D211" s="109">
        <f>+C211/B210</f>
        <v>-2.0748403334689171E-2</v>
      </c>
      <c r="E211" s="109">
        <f>RATE(1,0,-B$210,B211)</f>
        <v>-2.0748403334689181E-2</v>
      </c>
      <c r="F211" s="179"/>
      <c r="G211" s="179"/>
      <c r="H211"/>
      <c r="I211" s="6">
        <f>SUM(I15:I26)</f>
        <v>469221857.20797461</v>
      </c>
      <c r="J211" s="36">
        <f t="shared" ref="J211:J226" si="12">I211-B211</f>
        <v>21055177.207974613</v>
      </c>
      <c r="K211" s="5">
        <f t="shared" ref="K211:K226" si="13">J211/B211</f>
        <v>4.6980684079357737E-2</v>
      </c>
    </row>
    <row r="212" spans="1:11" x14ac:dyDescent="0.3">
      <c r="A212" s="16">
        <v>2005</v>
      </c>
      <c r="B212" s="6">
        <f>SUM(B27:B38)</f>
        <v>486004701</v>
      </c>
      <c r="C212" s="107">
        <f t="shared" ref="C212:C226" si="14">+B212-B211</f>
        <v>37838021</v>
      </c>
      <c r="D212" s="109">
        <f t="shared" ref="D212:D226" si="15">+C212/B211</f>
        <v>8.4428456394839521E-2</v>
      </c>
      <c r="E212" s="109">
        <f>RATE(2,0,-B$210,B212)</f>
        <v>3.0499052592453797E-2</v>
      </c>
      <c r="F212" s="179"/>
      <c r="G212" s="179"/>
      <c r="H212"/>
      <c r="I212" s="6">
        <f>SUM(I27:I38)</f>
        <v>482886950.76667362</v>
      </c>
      <c r="J212" s="36">
        <f t="shared" si="12"/>
        <v>-3117750.2333263755</v>
      </c>
      <c r="K212" s="5">
        <f t="shared" si="13"/>
        <v>-6.4150618850215106E-3</v>
      </c>
    </row>
    <row r="213" spans="1:11" x14ac:dyDescent="0.3">
      <c r="A213">
        <v>2006</v>
      </c>
      <c r="B213" s="6">
        <f>SUM(B39:B50)</f>
        <v>466443961</v>
      </c>
      <c r="C213" s="107">
        <f t="shared" si="14"/>
        <v>-19560740</v>
      </c>
      <c r="D213" s="109">
        <f t="shared" si="15"/>
        <v>-4.0248046901093661E-2</v>
      </c>
      <c r="E213" s="109">
        <f>RATE(3,0,-B$210,B213)</f>
        <v>6.3554419470238047E-3</v>
      </c>
      <c r="F213" s="179"/>
      <c r="G213" s="179"/>
      <c r="H213"/>
      <c r="I213" s="6">
        <f>SUM(I39:I50)</f>
        <v>470530590.00698006</v>
      </c>
      <c r="J213" s="36">
        <f t="shared" si="12"/>
        <v>4086629.0069800615</v>
      </c>
      <c r="K213" s="5">
        <f t="shared" si="13"/>
        <v>8.7612432546426769E-3</v>
      </c>
    </row>
    <row r="214" spans="1:11" x14ac:dyDescent="0.3">
      <c r="A214" s="16">
        <v>2007</v>
      </c>
      <c r="B214" s="6">
        <f>SUM(B51:B62)</f>
        <v>473064563</v>
      </c>
      <c r="C214" s="107">
        <f t="shared" si="14"/>
        <v>6620602</v>
      </c>
      <c r="D214" s="109">
        <f t="shared" si="15"/>
        <v>1.419377793166455E-2</v>
      </c>
      <c r="E214" s="109">
        <f>RATE(4,0,-B$210,B214)</f>
        <v>8.3093282314549311E-3</v>
      </c>
      <c r="F214" s="179"/>
      <c r="G214" s="179"/>
      <c r="H214"/>
      <c r="I214" s="6">
        <f>SUM(I51:I62)</f>
        <v>459057682.45818281</v>
      </c>
      <c r="J214" s="36">
        <f t="shared" si="12"/>
        <v>-14006880.541817188</v>
      </c>
      <c r="K214" s="5">
        <f t="shared" si="13"/>
        <v>-2.9608813758931228E-2</v>
      </c>
    </row>
    <row r="215" spans="1:11" x14ac:dyDescent="0.3">
      <c r="A215">
        <v>2008</v>
      </c>
      <c r="B215" s="6">
        <f>SUM(B63:B74)</f>
        <v>470758084</v>
      </c>
      <c r="C215" s="107">
        <f t="shared" si="14"/>
        <v>-2306479</v>
      </c>
      <c r="D215" s="109">
        <f t="shared" si="15"/>
        <v>-4.8756114501013678E-3</v>
      </c>
      <c r="E215" s="109">
        <f>RATE(5,0,-B$210,B215)</f>
        <v>5.6584382776635215E-3</v>
      </c>
      <c r="F215" s="179"/>
      <c r="G215" s="179"/>
      <c r="H215"/>
      <c r="I215" s="6">
        <f>SUM(I63:I74)</f>
        <v>450809478.28011125</v>
      </c>
      <c r="J215" s="36">
        <f t="shared" si="12"/>
        <v>-19948605.719888747</v>
      </c>
      <c r="K215" s="5">
        <f t="shared" si="13"/>
        <v>-4.237549263177124E-2</v>
      </c>
    </row>
    <row r="216" spans="1:11" x14ac:dyDescent="0.3">
      <c r="A216" s="16">
        <v>2009</v>
      </c>
      <c r="B216" s="6">
        <f>SUM(B75:B86)</f>
        <v>468014611</v>
      </c>
      <c r="C216" s="107">
        <f t="shared" si="14"/>
        <v>-2743473</v>
      </c>
      <c r="D216" s="109">
        <f t="shared" si="15"/>
        <v>-5.8277767142921755E-3</v>
      </c>
      <c r="E216" s="109">
        <f>RATE(6,0,-B$210,B216)</f>
        <v>3.734894531315652E-3</v>
      </c>
      <c r="F216" s="179"/>
      <c r="G216" s="179"/>
      <c r="H216"/>
      <c r="I216" s="6">
        <f>SUM(I75:I86)</f>
        <v>472428132.13927066</v>
      </c>
      <c r="J216" s="36">
        <f t="shared" si="12"/>
        <v>4413521.1392706633</v>
      </c>
      <c r="K216" s="5">
        <f t="shared" si="13"/>
        <v>9.4303063099683091E-3</v>
      </c>
    </row>
    <row r="217" spans="1:11" x14ac:dyDescent="0.3">
      <c r="A217">
        <v>2010</v>
      </c>
      <c r="B217" s="6">
        <f>SUM(B87:B98)</f>
        <v>476976847</v>
      </c>
      <c r="C217" s="107">
        <f t="shared" si="14"/>
        <v>8962236</v>
      </c>
      <c r="D217" s="109">
        <f t="shared" si="15"/>
        <v>1.9149479074703504E-2</v>
      </c>
      <c r="E217" s="109">
        <f>RATE(7,0,-B$210,B217)</f>
        <v>5.9226209462114668E-3</v>
      </c>
      <c r="F217" s="179"/>
      <c r="G217" s="179"/>
      <c r="H217"/>
      <c r="I217" s="6">
        <f>SUM(I87:I98)</f>
        <v>480494879.45944458</v>
      </c>
      <c r="J217" s="36">
        <f t="shared" si="12"/>
        <v>3518032.4594445825</v>
      </c>
      <c r="K217" s="5">
        <f t="shared" si="13"/>
        <v>7.3756881105899513E-3</v>
      </c>
    </row>
    <row r="218" spans="1:11" x14ac:dyDescent="0.3">
      <c r="A218">
        <v>2011</v>
      </c>
      <c r="B218" s="6">
        <f>SUM(B99:B110)</f>
        <v>484617834</v>
      </c>
      <c r="C218" s="107">
        <f t="shared" si="14"/>
        <v>7640987</v>
      </c>
      <c r="D218" s="109">
        <f t="shared" si="15"/>
        <v>1.6019618243650304E-2</v>
      </c>
      <c r="E218" s="109">
        <f>RATE(8,0,-B$210,B218)</f>
        <v>7.1792376013294331E-3</v>
      </c>
      <c r="F218" s="179"/>
      <c r="G218" s="179"/>
      <c r="H218"/>
      <c r="I218" s="6">
        <f>SUM(I99:I110)</f>
        <v>479527290.40229607</v>
      </c>
      <c r="J218" s="36">
        <f t="shared" si="12"/>
        <v>-5090543.5977039337</v>
      </c>
      <c r="K218" s="5">
        <f t="shared" si="13"/>
        <v>-1.0504243221275951E-2</v>
      </c>
    </row>
    <row r="219" spans="1:11" x14ac:dyDescent="0.3">
      <c r="A219">
        <v>2012</v>
      </c>
      <c r="B219" s="6">
        <f>SUM(B111:B122)</f>
        <v>473324280</v>
      </c>
      <c r="C219" s="107">
        <f t="shared" si="14"/>
        <v>-11293554</v>
      </c>
      <c r="D219" s="109">
        <f t="shared" si="15"/>
        <v>-2.3304041262336209E-2</v>
      </c>
      <c r="E219" s="109">
        <f>RATE(9,0,-B$210,B219)</f>
        <v>3.7457581328207484E-3</v>
      </c>
      <c r="F219" s="179"/>
      <c r="G219" s="179"/>
      <c r="H219"/>
      <c r="I219" s="6">
        <f>SUM(I111:I122)</f>
        <v>477379311.49206561</v>
      </c>
      <c r="J219" s="36">
        <f t="shared" si="12"/>
        <v>4055031.4920656085</v>
      </c>
      <c r="K219" s="5">
        <f t="shared" si="13"/>
        <v>8.5671318024623799E-3</v>
      </c>
    </row>
    <row r="220" spans="1:11" x14ac:dyDescent="0.3">
      <c r="A220">
        <v>2013</v>
      </c>
      <c r="B220" s="6">
        <f>SUM(B123:B134)</f>
        <v>475318261</v>
      </c>
      <c r="C220" s="107">
        <f t="shared" si="14"/>
        <v>1993981</v>
      </c>
      <c r="D220" s="109">
        <f t="shared" si="15"/>
        <v>4.2127164911126046E-3</v>
      </c>
      <c r="E220" s="109">
        <f>RATE(10,0,-B$210,B220)</f>
        <v>3.7924441958913282E-3</v>
      </c>
      <c r="F220" s="179"/>
      <c r="G220" s="179"/>
      <c r="H220"/>
      <c r="I220" s="6">
        <f ca="1">SUM(I123:I134)</f>
        <v>473393426.02762258</v>
      </c>
      <c r="J220" s="36">
        <f t="shared" ca="1" si="12"/>
        <v>-1924834.9723774195</v>
      </c>
      <c r="K220" s="5">
        <f t="shared" ca="1" si="13"/>
        <v>-4.0495708461270744E-3</v>
      </c>
    </row>
    <row r="221" spans="1:11" x14ac:dyDescent="0.3">
      <c r="A221">
        <v>2014</v>
      </c>
      <c r="B221" s="6">
        <f>SUM(B135:B146)</f>
        <v>485539319</v>
      </c>
      <c r="C221" s="107">
        <f t="shared" ref="C221" si="16">+B221-B220</f>
        <v>10221058</v>
      </c>
      <c r="D221" s="109">
        <f t="shared" ref="D221" si="17">+C221/B220</f>
        <v>2.1503608926146434E-2</v>
      </c>
      <c r="E221" s="109">
        <f>RATE(10,0,-B$210,B221)</f>
        <v>5.9303531636595332E-3</v>
      </c>
      <c r="F221" s="103"/>
      <c r="G221" s="179"/>
      <c r="H221"/>
      <c r="I221" s="6">
        <f>SUM(I135:I146)</f>
        <v>475977916.83061612</v>
      </c>
      <c r="J221" s="36">
        <f t="shared" si="12"/>
        <v>-9561402.1693838835</v>
      </c>
      <c r="K221" s="5">
        <f t="shared" si="13"/>
        <v>-1.9692333442894422E-2</v>
      </c>
    </row>
    <row r="222" spans="1:11" x14ac:dyDescent="0.3">
      <c r="A222">
        <v>2015</v>
      </c>
      <c r="B222" s="6">
        <f t="shared" ref="B222:B226" ca="1" si="18">+I222</f>
        <v>472961561.64710104</v>
      </c>
      <c r="C222" s="107">
        <f t="shared" ca="1" si="14"/>
        <v>-12577757.352898955</v>
      </c>
      <c r="D222" s="109">
        <f t="shared" ca="1" si="15"/>
        <v>-2.5904714326336474E-2</v>
      </c>
      <c r="E222" s="109">
        <f ca="1">RATE(12,0,-B$210,B222)</f>
        <v>2.7439433603034841E-3</v>
      </c>
      <c r="F222" s="103"/>
      <c r="G222" s="179"/>
      <c r="H222"/>
      <c r="I222" s="6">
        <f ca="1">SUM(I147:I158)</f>
        <v>472961561.64710104</v>
      </c>
      <c r="J222" s="36">
        <f t="shared" ca="1" si="12"/>
        <v>0</v>
      </c>
      <c r="K222" s="5">
        <f t="shared" ca="1" si="13"/>
        <v>0</v>
      </c>
    </row>
    <row r="223" spans="1:11" x14ac:dyDescent="0.3">
      <c r="A223">
        <v>2016</v>
      </c>
      <c r="B223" s="6">
        <f t="shared" ca="1" si="18"/>
        <v>471296020.0322473</v>
      </c>
      <c r="C223" s="107">
        <f t="shared" ca="1" si="14"/>
        <v>-1665541.6148537397</v>
      </c>
      <c r="D223" s="109">
        <f t="shared" ca="1" si="15"/>
        <v>-3.5215158057526862E-3</v>
      </c>
      <c r="E223" s="109">
        <f ca="1">RATE(13,0,-B$210,B223)</f>
        <v>2.2605894808016228E-3</v>
      </c>
      <c r="F223" s="103"/>
      <c r="G223" s="179"/>
      <c r="H223"/>
      <c r="I223" s="6">
        <f ca="1">SUM(I159:I170)</f>
        <v>471296020.0322473</v>
      </c>
      <c r="J223" s="36">
        <f t="shared" ca="1" si="12"/>
        <v>0</v>
      </c>
      <c r="K223" s="5">
        <f t="shared" ca="1" si="13"/>
        <v>0</v>
      </c>
    </row>
    <row r="224" spans="1:11" x14ac:dyDescent="0.3">
      <c r="A224">
        <v>2017</v>
      </c>
      <c r="B224" s="6">
        <f t="shared" ca="1" si="18"/>
        <v>471440022.69104755</v>
      </c>
      <c r="C224" s="107">
        <f t="shared" ca="1" si="14"/>
        <v>144002.65880024433</v>
      </c>
      <c r="D224" s="109">
        <f t="shared" ca="1" si="15"/>
        <v>3.0554609561606586E-4</v>
      </c>
      <c r="E224" s="109">
        <f ca="1">RATE(14,0,-B$210,B224)</f>
        <v>2.1208168953417137E-3</v>
      </c>
      <c r="F224" s="103"/>
      <c r="G224" s="179"/>
      <c r="H224"/>
      <c r="I224" s="6">
        <f ca="1">SUM(I171:I182)</f>
        <v>471440022.69104755</v>
      </c>
      <c r="J224" s="36">
        <f t="shared" ca="1" si="12"/>
        <v>0</v>
      </c>
      <c r="K224" s="5">
        <f t="shared" ca="1" si="13"/>
        <v>0</v>
      </c>
    </row>
    <row r="225" spans="1:11" x14ac:dyDescent="0.3">
      <c r="A225">
        <v>2018</v>
      </c>
      <c r="B225" s="6">
        <f t="shared" ca="1" si="18"/>
        <v>471091158.66926092</v>
      </c>
      <c r="C225" s="107">
        <f t="shared" ca="1" si="14"/>
        <v>-348864.02178663015</v>
      </c>
      <c r="D225" s="109">
        <f t="shared" ca="1" si="15"/>
        <v>-7.3999661673878269E-4</v>
      </c>
      <c r="E225" s="109">
        <f ca="1">RATE(15,0,-B$210,B225)</f>
        <v>1.929841443740045E-3</v>
      </c>
      <c r="F225" s="103"/>
      <c r="G225" s="179"/>
      <c r="H225"/>
      <c r="I225" s="6">
        <f ca="1">SUM(I183:I194)</f>
        <v>471091158.66926092</v>
      </c>
      <c r="J225" s="36">
        <f t="shared" ca="1" si="12"/>
        <v>0</v>
      </c>
      <c r="K225" s="5">
        <f t="shared" ca="1" si="13"/>
        <v>0</v>
      </c>
    </row>
    <row r="226" spans="1:11" x14ac:dyDescent="0.3">
      <c r="A226">
        <v>2019</v>
      </c>
      <c r="B226" s="6">
        <f t="shared" ca="1" si="18"/>
        <v>470193080.659693</v>
      </c>
      <c r="C226" s="107">
        <f t="shared" ca="1" si="14"/>
        <v>-898078.00956791639</v>
      </c>
      <c r="D226" s="109">
        <f t="shared" ca="1" si="15"/>
        <v>-1.9063784005303955E-3</v>
      </c>
      <c r="E226" s="109">
        <f ca="1">RATE(16,0,-B$210,B226)</f>
        <v>1.6896463169486387E-3</v>
      </c>
      <c r="F226" s="103"/>
      <c r="G226" s="179"/>
      <c r="H226"/>
      <c r="I226" s="6">
        <f ca="1">SUM(I195:I206)</f>
        <v>470193080.659693</v>
      </c>
      <c r="J226" s="36">
        <f t="shared" ca="1" si="12"/>
        <v>0</v>
      </c>
      <c r="K226" s="5">
        <f t="shared" ca="1" si="13"/>
        <v>0</v>
      </c>
    </row>
    <row r="227" spans="1:11" x14ac:dyDescent="0.3">
      <c r="C227" s="101"/>
      <c r="D227" s="179"/>
      <c r="F227" s="179"/>
      <c r="G227" s="179"/>
      <c r="H227"/>
      <c r="J227" s="179"/>
      <c r="K227" s="179"/>
    </row>
    <row r="228" spans="1:11" x14ac:dyDescent="0.3">
      <c r="A228" t="s">
        <v>9</v>
      </c>
      <c r="B228" s="6">
        <f ca="1">SUM(B210:B226)</f>
        <v>8022873429.6993504</v>
      </c>
      <c r="C228" s="101"/>
      <c r="D228" s="179"/>
      <c r="F228" s="179"/>
      <c r="G228" s="179"/>
      <c r="H228"/>
      <c r="I228" s="6">
        <f ca="1">SUM(I210:I226)</f>
        <v>8022873429.6993494</v>
      </c>
      <c r="J228" s="183">
        <f ca="1">I228-B228</f>
        <v>0</v>
      </c>
      <c r="K228" s="179"/>
    </row>
    <row r="229" spans="1:11" x14ac:dyDescent="0.3">
      <c r="C229" s="179"/>
      <c r="D229" s="179"/>
      <c r="F229" s="179"/>
      <c r="G229" s="179"/>
      <c r="H229"/>
      <c r="I229" s="179"/>
      <c r="J229" s="62"/>
      <c r="K229" s="179"/>
    </row>
    <row r="230" spans="1:11" x14ac:dyDescent="0.3">
      <c r="C230" s="179"/>
      <c r="D230" s="179"/>
      <c r="F230" s="179"/>
      <c r="G230" s="179"/>
      <c r="H230"/>
      <c r="I230" s="6">
        <f ca="1">SUM(I210:I226)</f>
        <v>8022873429.6993494</v>
      </c>
      <c r="J230" s="183">
        <f ca="1">I208-I230</f>
        <v>0</v>
      </c>
      <c r="K230" s="179"/>
    </row>
    <row r="231" spans="1:11" x14ac:dyDescent="0.3">
      <c r="C231" s="179"/>
      <c r="D231" s="179"/>
      <c r="F231" s="179"/>
      <c r="G231" s="179"/>
      <c r="H231"/>
      <c r="I231" s="23"/>
      <c r="J231" s="184" t="s">
        <v>69</v>
      </c>
      <c r="K231" s="18"/>
    </row>
    <row r="233" spans="1:11" x14ac:dyDescent="0.3">
      <c r="I233" s="11"/>
      <c r="J233" s="11"/>
      <c r="K233" s="11"/>
    </row>
    <row r="245" spans="9:11" x14ac:dyDescent="0.3">
      <c r="I245" s="11"/>
      <c r="J245" s="11"/>
      <c r="K245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>
      <selection activeCell="G39" sqref="G39"/>
    </sheetView>
  </sheetViews>
  <sheetFormatPr defaultRowHeight="12.45" x14ac:dyDescent="0.3"/>
  <cols>
    <col min="1" max="1" width="11.84375" customWidth="1"/>
    <col min="2" max="2" width="18" style="6" customWidth="1"/>
    <col min="3" max="3" width="12.3046875" style="1" bestFit="1" customWidth="1"/>
    <col min="4" max="4" width="13.3828125" style="1" customWidth="1"/>
    <col min="5" max="5" width="14.3828125" style="34" customWidth="1"/>
    <col min="6" max="6" width="10.15234375" style="1" customWidth="1"/>
    <col min="7" max="8" width="12.3828125" style="1" customWidth="1"/>
    <col min="9" max="9" width="14" style="6" bestFit="1" customWidth="1"/>
    <col min="10" max="10" width="18.15234375" style="6" customWidth="1"/>
    <col min="11" max="11" width="11.53515625" style="6" customWidth="1"/>
    <col min="12" max="12" width="9.3046875" style="6" customWidth="1"/>
    <col min="13" max="13" width="27.3046875" style="6" bestFit="1" customWidth="1"/>
    <col min="14" max="14" width="14.15234375" style="6" bestFit="1" customWidth="1"/>
    <col min="15" max="15" width="22.69140625" style="6" bestFit="1" customWidth="1"/>
    <col min="16" max="16" width="20.53515625" style="6" bestFit="1" customWidth="1"/>
    <col min="17" max="17" width="9.53515625" style="6" bestFit="1" customWidth="1"/>
    <col min="18" max="18" width="14.53515625" bestFit="1" customWidth="1"/>
    <col min="19" max="19" width="14.15234375" bestFit="1" customWidth="1"/>
    <col min="20" max="20" width="14.53515625" bestFit="1" customWidth="1"/>
    <col min="21" max="21" width="14.15234375" bestFit="1" customWidth="1"/>
  </cols>
  <sheetData>
    <row r="2" spans="1:18" ht="42" customHeight="1" x14ac:dyDescent="0.3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2.9" thickBot="1" x14ac:dyDescent="0.35">
      <c r="A3" s="3">
        <v>37622</v>
      </c>
      <c r="B3" s="59">
        <v>11396944.435770413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3723.4166666666665</v>
      </c>
      <c r="I3" s="192">
        <f>$N$18+C3*$N$19+D3*$N$20+E3*$N$21+F3*$N$22+G3*$N$23</f>
        <v>11722391.32037247</v>
      </c>
      <c r="J3" s="36">
        <f>I3-B3</f>
        <v>325446.88460205682</v>
      </c>
      <c r="K3" s="5">
        <f>J3/B3</f>
        <v>2.8555626153674161E-2</v>
      </c>
      <c r="M3"/>
      <c r="N3"/>
      <c r="O3"/>
      <c r="P3"/>
      <c r="Q3"/>
    </row>
    <row r="4" spans="1:18" ht="12.9" x14ac:dyDescent="0.35">
      <c r="A4" s="3">
        <v>37653</v>
      </c>
      <c r="B4" s="59">
        <v>11214225.542405957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3745.833333333333</v>
      </c>
      <c r="I4" s="192">
        <f t="shared" ref="I4:I67" si="0">$N$18+C4*$N$19+D4*$N$20+E4*$N$21+F4*$N$22+G4*$N$23</f>
        <v>12412409.144680301</v>
      </c>
      <c r="J4" s="36">
        <f t="shared" ref="J4:J67" si="1">I4-B4</f>
        <v>1198183.6022743434</v>
      </c>
      <c r="K4" s="5">
        <f t="shared" ref="K4:K67" si="2">J4/B4</f>
        <v>0.10684497094725624</v>
      </c>
      <c r="M4" s="53" t="s">
        <v>19</v>
      </c>
      <c r="N4" s="53"/>
      <c r="O4"/>
      <c r="P4"/>
      <c r="Q4"/>
    </row>
    <row r="5" spans="1:18" x14ac:dyDescent="0.3">
      <c r="A5" s="3">
        <v>37681</v>
      </c>
      <c r="B5" s="59">
        <v>11886519.02182363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3768.2499999999995</v>
      </c>
      <c r="I5" s="192">
        <f t="shared" si="0"/>
        <v>11365798.196953595</v>
      </c>
      <c r="J5" s="36">
        <f t="shared" si="1"/>
        <v>-520720.82487003505</v>
      </c>
      <c r="K5" s="5">
        <f t="shared" si="2"/>
        <v>-4.3807680273256829E-2</v>
      </c>
      <c r="M5" s="35" t="s">
        <v>20</v>
      </c>
      <c r="N5" s="95">
        <v>0.34022610989940472</v>
      </c>
      <c r="O5"/>
      <c r="P5"/>
      <c r="Q5"/>
    </row>
    <row r="6" spans="1:18" x14ac:dyDescent="0.3">
      <c r="A6" s="3">
        <v>37712</v>
      </c>
      <c r="B6" s="59">
        <v>9634741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3790.6666666666661</v>
      </c>
      <c r="I6" s="192">
        <f t="shared" si="0"/>
        <v>11309295.92800712</v>
      </c>
      <c r="J6" s="36">
        <f t="shared" si="1"/>
        <v>1674554.9280071203</v>
      </c>
      <c r="K6" s="5">
        <f t="shared" si="2"/>
        <v>0.17380383427090779</v>
      </c>
      <c r="M6" s="35" t="s">
        <v>21</v>
      </c>
      <c r="N6" s="95">
        <v>0.1157538058572818</v>
      </c>
      <c r="O6"/>
      <c r="P6"/>
      <c r="Q6"/>
    </row>
    <row r="7" spans="1:18" x14ac:dyDescent="0.3">
      <c r="A7" s="3">
        <v>37742</v>
      </c>
      <c r="B7" s="59">
        <v>11917377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3813.0833333333326</v>
      </c>
      <c r="I7" s="192">
        <f t="shared" si="0"/>
        <v>10573189.814344592</v>
      </c>
      <c r="J7" s="36">
        <f t="shared" si="1"/>
        <v>-1344187.1856554076</v>
      </c>
      <c r="K7" s="5">
        <f t="shared" si="2"/>
        <v>-0.11279220130867787</v>
      </c>
      <c r="M7" s="35" t="s">
        <v>22</v>
      </c>
      <c r="N7" s="95">
        <v>8.3715900272400695E-2</v>
      </c>
      <c r="O7"/>
      <c r="P7"/>
      <c r="Q7"/>
    </row>
    <row r="8" spans="1:18" x14ac:dyDescent="0.3">
      <c r="A8" s="3">
        <v>37773</v>
      </c>
      <c r="B8" s="59">
        <v>9459075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3835.4999999999991</v>
      </c>
      <c r="I8" s="192">
        <f t="shared" si="0"/>
        <v>10738878.082057832</v>
      </c>
      <c r="J8" s="36">
        <f t="shared" si="1"/>
        <v>1279803.0820578318</v>
      </c>
      <c r="K8" s="5">
        <f t="shared" si="2"/>
        <v>0.13529896761129728</v>
      </c>
      <c r="M8" s="35" t="s">
        <v>23</v>
      </c>
      <c r="N8" s="67">
        <v>1329369.2981808754</v>
      </c>
      <c r="O8"/>
      <c r="P8"/>
      <c r="Q8"/>
    </row>
    <row r="9" spans="1:18" ht="12.9" thickBot="1" x14ac:dyDescent="0.35">
      <c r="A9" s="3">
        <v>37803</v>
      </c>
      <c r="B9" s="59">
        <v>10609374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3857.9166666666656</v>
      </c>
      <c r="I9" s="192">
        <f t="shared" si="0"/>
        <v>10559194.654329982</v>
      </c>
      <c r="J9" s="36">
        <f t="shared" si="1"/>
        <v>-50179.345670018345</v>
      </c>
      <c r="K9" s="5">
        <f t="shared" si="2"/>
        <v>-4.729717858001645E-3</v>
      </c>
      <c r="M9" s="51" t="s">
        <v>24</v>
      </c>
      <c r="N9" s="68">
        <v>144</v>
      </c>
      <c r="O9"/>
      <c r="P9"/>
      <c r="Q9"/>
    </row>
    <row r="10" spans="1:18" x14ac:dyDescent="0.3">
      <c r="A10" s="3">
        <v>37834</v>
      </c>
      <c r="B10" s="59">
        <v>8646885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3880.3333333333321</v>
      </c>
      <c r="I10" s="192">
        <f t="shared" si="0"/>
        <v>10927037.821716905</v>
      </c>
      <c r="J10" s="36">
        <f t="shared" si="1"/>
        <v>2280152.8217169046</v>
      </c>
      <c r="K10" s="5">
        <f t="shared" si="2"/>
        <v>0.26369644348420324</v>
      </c>
      <c r="M10"/>
      <c r="N10"/>
      <c r="O10"/>
      <c r="P10"/>
      <c r="Q10"/>
    </row>
    <row r="11" spans="1:18" ht="12.9" thickBot="1" x14ac:dyDescent="0.35">
      <c r="A11" s="3">
        <v>37865</v>
      </c>
      <c r="B11" s="59">
        <v>10960006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3902.7499999999986</v>
      </c>
      <c r="I11" s="192">
        <f t="shared" si="0"/>
        <v>10689122.269672068</v>
      </c>
      <c r="J11" s="36">
        <f t="shared" si="1"/>
        <v>-270883.73032793216</v>
      </c>
      <c r="K11" s="5">
        <f t="shared" si="2"/>
        <v>-2.4715655295073028E-2</v>
      </c>
      <c r="M11" t="s">
        <v>25</v>
      </c>
      <c r="N11"/>
      <c r="O11"/>
      <c r="P11"/>
      <c r="Q11"/>
    </row>
    <row r="12" spans="1:18" ht="12.9" x14ac:dyDescent="0.35">
      <c r="A12" s="3">
        <v>37895</v>
      </c>
      <c r="B12" s="59">
        <v>9502699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3925.1666666666652</v>
      </c>
      <c r="I12" s="192">
        <f t="shared" si="0"/>
        <v>10788590.566622335</v>
      </c>
      <c r="J12" s="36">
        <f t="shared" si="1"/>
        <v>1285891.5666223355</v>
      </c>
      <c r="K12" s="5">
        <f t="shared" si="2"/>
        <v>0.13531856229712586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3">
      <c r="A13" s="3">
        <v>37926</v>
      </c>
      <c r="B13" s="59">
        <v>9788409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3947.5833333333317</v>
      </c>
      <c r="I13" s="192">
        <f t="shared" si="0"/>
        <v>11289269.23346564</v>
      </c>
      <c r="J13" s="36">
        <f t="shared" si="1"/>
        <v>1500860.2334656399</v>
      </c>
      <c r="K13" s="5">
        <f t="shared" si="2"/>
        <v>0.15333035567533396</v>
      </c>
      <c r="M13" s="35" t="s">
        <v>26</v>
      </c>
      <c r="N13" s="67">
        <v>5</v>
      </c>
      <c r="O13" s="67">
        <v>31925113887754.125</v>
      </c>
      <c r="P13" s="67">
        <v>6385022777550.8252</v>
      </c>
      <c r="Q13" s="67">
        <v>3.6130266240595583</v>
      </c>
      <c r="R13" s="67">
        <v>4.208637984956071E-3</v>
      </c>
    </row>
    <row r="14" spans="1:18" x14ac:dyDescent="0.3">
      <c r="A14" s="3">
        <v>37956</v>
      </c>
      <c r="B14" s="59">
        <v>9128398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3970</v>
      </c>
      <c r="I14" s="192">
        <f t="shared" si="0"/>
        <v>11238115.576943535</v>
      </c>
      <c r="J14" s="36">
        <f t="shared" si="1"/>
        <v>2109717.5769435354</v>
      </c>
      <c r="K14" s="5">
        <f t="shared" si="2"/>
        <v>0.23111586249236016</v>
      </c>
      <c r="M14" s="35" t="s">
        <v>27</v>
      </c>
      <c r="N14" s="67">
        <v>138</v>
      </c>
      <c r="O14" s="67">
        <v>243876736870536</v>
      </c>
      <c r="P14" s="67">
        <v>1767222730945.9131</v>
      </c>
      <c r="Q14" s="67"/>
      <c r="R14" s="67"/>
    </row>
    <row r="15" spans="1:18" ht="12.9" thickBot="1" x14ac:dyDescent="0.35">
      <c r="A15" s="3">
        <v>37987</v>
      </c>
      <c r="B15" s="59">
        <v>12389595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3951</v>
      </c>
      <c r="I15" s="192">
        <f t="shared" si="0"/>
        <v>11812484.283087738</v>
      </c>
      <c r="J15" s="36">
        <f t="shared" si="1"/>
        <v>-577110.71691226214</v>
      </c>
      <c r="K15" s="5">
        <f t="shared" si="2"/>
        <v>-4.6580272955836097E-2</v>
      </c>
      <c r="M15" s="51" t="s">
        <v>9</v>
      </c>
      <c r="N15" s="68">
        <v>143</v>
      </c>
      <c r="O15" s="68">
        <v>275801850758290.12</v>
      </c>
      <c r="P15" s="68"/>
      <c r="Q15" s="68"/>
      <c r="R15" s="68"/>
    </row>
    <row r="16" spans="1:18" ht="12.9" thickBot="1" x14ac:dyDescent="0.35">
      <c r="A16" s="3">
        <v>38018</v>
      </c>
      <c r="B16" s="59">
        <v>11165538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3985</v>
      </c>
      <c r="I16" s="192">
        <f t="shared" si="0"/>
        <v>11969194.022484338</v>
      </c>
      <c r="J16" s="36">
        <f t="shared" si="1"/>
        <v>803656.02248433791</v>
      </c>
      <c r="K16" s="5">
        <f t="shared" si="2"/>
        <v>7.1976471038326856E-2</v>
      </c>
      <c r="M16"/>
      <c r="N16"/>
      <c r="O16"/>
      <c r="P16"/>
      <c r="Q16"/>
    </row>
    <row r="17" spans="1:21" ht="12.9" x14ac:dyDescent="0.35">
      <c r="A17" s="3">
        <v>38047</v>
      </c>
      <c r="B17" s="59">
        <v>14473788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3981</v>
      </c>
      <c r="I17" s="192">
        <f t="shared" si="0"/>
        <v>11191138.539649352</v>
      </c>
      <c r="J17" s="36">
        <f t="shared" si="1"/>
        <v>-3282649.4603506476</v>
      </c>
      <c r="K17" s="5">
        <f t="shared" si="2"/>
        <v>-0.22679960908302979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3">
      <c r="A18" s="3">
        <v>38078</v>
      </c>
      <c r="B18" s="59">
        <v>10779015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3975</v>
      </c>
      <c r="I18" s="192">
        <f t="shared" si="0"/>
        <v>11192771.651335033</v>
      </c>
      <c r="J18" s="36">
        <f t="shared" si="1"/>
        <v>413756.65133503266</v>
      </c>
      <c r="K18" s="5">
        <f t="shared" si="2"/>
        <v>3.8385385987034309E-2</v>
      </c>
      <c r="M18" s="35" t="s">
        <v>28</v>
      </c>
      <c r="N18" s="67">
        <v>19441316.18359999</v>
      </c>
      <c r="O18" s="67">
        <v>4342058.7112645432</v>
      </c>
      <c r="P18" s="67">
        <v>4.4774420330069811</v>
      </c>
      <c r="Q18" s="67">
        <v>1.5691185479331251E-5</v>
      </c>
      <c r="R18" s="67">
        <v>10855748.114124576</v>
      </c>
      <c r="S18" s="67">
        <v>28026884.253075406</v>
      </c>
      <c r="T18" s="67">
        <v>10855748.114124576</v>
      </c>
      <c r="U18" s="67">
        <v>28026884.253075406</v>
      </c>
    </row>
    <row r="19" spans="1:21" x14ac:dyDescent="0.3">
      <c r="A19" s="3">
        <v>38108</v>
      </c>
      <c r="B19" s="59">
        <v>12200717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3967</v>
      </c>
      <c r="I19" s="192">
        <f t="shared" si="0"/>
        <v>10548358.332749467</v>
      </c>
      <c r="J19" s="36">
        <f t="shared" si="1"/>
        <v>-1652358.6672505327</v>
      </c>
      <c r="K19" s="5">
        <f t="shared" si="2"/>
        <v>-0.13543127565785951</v>
      </c>
      <c r="M19" s="35" t="s">
        <v>3</v>
      </c>
      <c r="N19" s="67">
        <v>2065.153042273872</v>
      </c>
      <c r="O19" s="67">
        <v>677.56188260012163</v>
      </c>
      <c r="P19" s="67">
        <v>3.0479179766561164</v>
      </c>
      <c r="Q19" s="67">
        <v>2.762354848888527E-3</v>
      </c>
      <c r="R19" s="67">
        <v>725.40753186572556</v>
      </c>
      <c r="S19" s="67">
        <v>3404.8985526820184</v>
      </c>
      <c r="T19" s="67">
        <v>725.40753186572556</v>
      </c>
      <c r="U19" s="67">
        <v>3404.8985526820184</v>
      </c>
    </row>
    <row r="20" spans="1:21" x14ac:dyDescent="0.3">
      <c r="A20" s="3">
        <v>38139</v>
      </c>
      <c r="B20" s="59">
        <v>9552121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3927</v>
      </c>
      <c r="I20" s="192">
        <f t="shared" si="0"/>
        <v>10665013.859671237</v>
      </c>
      <c r="J20" s="36">
        <f t="shared" si="1"/>
        <v>1112892.8596712369</v>
      </c>
      <c r="K20" s="5">
        <f t="shared" si="2"/>
        <v>0.11650740811085171</v>
      </c>
      <c r="M20" s="35" t="s">
        <v>4</v>
      </c>
      <c r="N20" s="67">
        <v>7555.6318162075249</v>
      </c>
      <c r="O20" s="67">
        <v>5241.6306318460283</v>
      </c>
      <c r="P20" s="67">
        <v>1.4414659000011487</v>
      </c>
      <c r="Q20" s="67">
        <v>0.15171848205882016</v>
      </c>
      <c r="R20" s="67">
        <v>-2808.6629981422802</v>
      </c>
      <c r="S20" s="67">
        <v>17919.926630557329</v>
      </c>
      <c r="T20" s="67">
        <v>-2808.6629981422802</v>
      </c>
      <c r="U20" s="67">
        <v>17919.926630557329</v>
      </c>
    </row>
    <row r="21" spans="1:21" x14ac:dyDescent="0.3">
      <c r="A21" s="3">
        <v>38169</v>
      </c>
      <c r="B21" s="59">
        <v>12682460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3932</v>
      </c>
      <c r="I21" s="192">
        <f t="shared" si="0"/>
        <v>10625212.207586989</v>
      </c>
      <c r="J21" s="36">
        <f t="shared" si="1"/>
        <v>-2057247.7924130112</v>
      </c>
      <c r="K21" s="5">
        <f t="shared" si="2"/>
        <v>-0.16221204659135618</v>
      </c>
      <c r="M21" s="35" t="s">
        <v>218</v>
      </c>
      <c r="N21" s="67">
        <v>-1704412.5059477116</v>
      </c>
      <c r="O21" s="67">
        <v>7441056.494137858</v>
      </c>
      <c r="P21" s="67">
        <v>-0.22905517614205262</v>
      </c>
      <c r="Q21" s="67">
        <v>0.81916514416978359</v>
      </c>
      <c r="R21" s="67">
        <v>-16417639.868234379</v>
      </c>
      <c r="S21" s="67">
        <v>13008814.856338957</v>
      </c>
      <c r="T21" s="67">
        <v>-16417639.868234379</v>
      </c>
      <c r="U21" s="67">
        <v>13008814.856338957</v>
      </c>
    </row>
    <row r="22" spans="1:21" x14ac:dyDescent="0.3">
      <c r="A22" s="3">
        <v>38200</v>
      </c>
      <c r="B22" s="59">
        <v>15254194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3969</v>
      </c>
      <c r="I22" s="192">
        <f t="shared" si="0"/>
        <v>10542935.481616549</v>
      </c>
      <c r="J22" s="36">
        <f t="shared" si="1"/>
        <v>-4711258.5183834508</v>
      </c>
      <c r="K22" s="5">
        <f t="shared" si="2"/>
        <v>-0.30885004598626781</v>
      </c>
      <c r="M22" s="35" t="s">
        <v>5</v>
      </c>
      <c r="N22" s="67">
        <v>-298500.18400469364</v>
      </c>
      <c r="O22" s="67">
        <v>142024.61270066764</v>
      </c>
      <c r="P22" s="67">
        <v>-2.1017496779506475</v>
      </c>
      <c r="Q22" s="67">
        <v>3.739256771419746E-2</v>
      </c>
      <c r="R22" s="67">
        <v>-579325.95375282958</v>
      </c>
      <c r="S22" s="67">
        <v>-17674.414256557706</v>
      </c>
      <c r="T22" s="67">
        <v>-579325.95375282958</v>
      </c>
      <c r="U22" s="67">
        <v>-17674.414256557706</v>
      </c>
    </row>
    <row r="23" spans="1:21" ht="12.9" thickBot="1" x14ac:dyDescent="0.35">
      <c r="A23" s="3">
        <v>38231</v>
      </c>
      <c r="B23" s="59">
        <v>10882228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3988</v>
      </c>
      <c r="I23" s="192">
        <f t="shared" si="0"/>
        <v>10768146.103106106</v>
      </c>
      <c r="J23" s="36">
        <f t="shared" si="1"/>
        <v>-114081.8968938943</v>
      </c>
      <c r="K23" s="5">
        <f t="shared" si="2"/>
        <v>-1.0483321696062083E-2</v>
      </c>
      <c r="M23" s="51" t="s">
        <v>17</v>
      </c>
      <c r="N23" s="68">
        <v>84317.051106594954</v>
      </c>
      <c r="O23" s="68">
        <v>286402.61017777986</v>
      </c>
      <c r="P23" s="68">
        <v>0.2944004283140314</v>
      </c>
      <c r="Q23" s="68">
        <v>0.76889431743978287</v>
      </c>
      <c r="R23" s="68">
        <v>-481987.84444389469</v>
      </c>
      <c r="S23" s="68">
        <v>650621.94665708463</v>
      </c>
      <c r="T23" s="68">
        <v>-481987.84444389469</v>
      </c>
      <c r="U23" s="68">
        <v>650621.94665708463</v>
      </c>
    </row>
    <row r="24" spans="1:21" x14ac:dyDescent="0.3">
      <c r="A24" s="3">
        <v>38261</v>
      </c>
      <c r="B24" s="59">
        <v>2042443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3861</v>
      </c>
      <c r="I24" s="192">
        <f t="shared" si="0"/>
        <v>10658582.570150476</v>
      </c>
      <c r="J24" s="36">
        <f t="shared" si="1"/>
        <v>8616139.5701504759</v>
      </c>
      <c r="K24" s="5">
        <f t="shared" si="2"/>
        <v>4.2185459129828722</v>
      </c>
      <c r="M24"/>
      <c r="N24"/>
      <c r="O24"/>
      <c r="P24"/>
      <c r="Q24"/>
    </row>
    <row r="25" spans="1:21" x14ac:dyDescent="0.3">
      <c r="A25" s="3">
        <v>38292</v>
      </c>
      <c r="B25" s="59">
        <v>11145860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3869</v>
      </c>
      <c r="I25" s="192">
        <f t="shared" si="0"/>
        <v>11268301.317625841</v>
      </c>
      <c r="J25" s="36">
        <f t="shared" si="1"/>
        <v>122441.31762584113</v>
      </c>
      <c r="K25" s="5">
        <f t="shared" si="2"/>
        <v>1.0985362962197725E-2</v>
      </c>
      <c r="M25"/>
      <c r="N25"/>
      <c r="O25"/>
      <c r="P25"/>
      <c r="Q25"/>
    </row>
    <row r="26" spans="1:21" x14ac:dyDescent="0.3">
      <c r="A26" s="3">
        <v>38322</v>
      </c>
      <c r="B26" s="59">
        <v>10370531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3871</v>
      </c>
      <c r="I26" s="192">
        <f t="shared" si="0"/>
        <v>11384838.088136375</v>
      </c>
      <c r="J26" s="36">
        <f t="shared" si="1"/>
        <v>1014307.088136375</v>
      </c>
      <c r="K26" s="5">
        <f t="shared" si="2"/>
        <v>9.7806668543430897E-2</v>
      </c>
      <c r="M26"/>
      <c r="N26"/>
      <c r="O26"/>
      <c r="P26"/>
      <c r="Q26"/>
    </row>
    <row r="27" spans="1:21" x14ac:dyDescent="0.3">
      <c r="A27" s="3">
        <v>38353</v>
      </c>
      <c r="B27" s="59">
        <v>12101539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3872</v>
      </c>
      <c r="I27" s="192">
        <f t="shared" si="0"/>
        <v>11604664.372041423</v>
      </c>
      <c r="J27" s="36">
        <f t="shared" si="1"/>
        <v>-496874.62795857713</v>
      </c>
      <c r="K27" s="5">
        <f t="shared" si="2"/>
        <v>-4.1058796567823075E-2</v>
      </c>
      <c r="M27"/>
      <c r="N27"/>
      <c r="O27"/>
      <c r="P27"/>
      <c r="Q27"/>
    </row>
    <row r="28" spans="1:21" x14ac:dyDescent="0.3">
      <c r="A28" s="3">
        <v>38384</v>
      </c>
      <c r="B28" s="59">
        <v>12785626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3870</v>
      </c>
      <c r="I28" s="192">
        <f t="shared" si="0"/>
        <v>12178001.049460778</v>
      </c>
      <c r="J28" s="36">
        <f t="shared" si="1"/>
        <v>-607624.95053922199</v>
      </c>
      <c r="K28" s="5">
        <f t="shared" si="2"/>
        <v>-4.7524067303331252E-2</v>
      </c>
    </row>
    <row r="29" spans="1:21" x14ac:dyDescent="0.3">
      <c r="A29" s="3">
        <v>38412</v>
      </c>
      <c r="B29" s="59">
        <v>11521059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3876</v>
      </c>
      <c r="I29" s="192">
        <f t="shared" si="0"/>
        <v>11343687.834479827</v>
      </c>
      <c r="J29" s="36">
        <f t="shared" si="1"/>
        <v>-177371.16552017257</v>
      </c>
      <c r="K29" s="5">
        <f t="shared" si="2"/>
        <v>-1.5395387309462834E-2</v>
      </c>
    </row>
    <row r="30" spans="1:21" x14ac:dyDescent="0.3">
      <c r="A30" s="3">
        <v>38443</v>
      </c>
      <c r="B30" s="59">
        <v>12681822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3888</v>
      </c>
      <c r="I30" s="192">
        <f t="shared" si="0"/>
        <v>11135044.011342758</v>
      </c>
      <c r="J30" s="36">
        <f t="shared" si="1"/>
        <v>-1546777.9886572417</v>
      </c>
      <c r="K30" s="5">
        <f t="shared" si="2"/>
        <v>-0.1219681200900976</v>
      </c>
    </row>
    <row r="31" spans="1:21" x14ac:dyDescent="0.3">
      <c r="A31" s="3">
        <v>38473</v>
      </c>
      <c r="B31" s="59">
        <v>11659837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3892</v>
      </c>
      <c r="I31" s="192">
        <f t="shared" si="0"/>
        <v>10613295.804666623</v>
      </c>
      <c r="J31" s="36">
        <f t="shared" si="1"/>
        <v>-1046541.1953333765</v>
      </c>
      <c r="K31" s="5">
        <f t="shared" si="2"/>
        <v>-8.9756074234431965E-2</v>
      </c>
    </row>
    <row r="32" spans="1:21" x14ac:dyDescent="0.3">
      <c r="A32" s="3">
        <v>38504</v>
      </c>
      <c r="B32" s="59">
        <v>10976310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3882</v>
      </c>
      <c r="I32" s="192">
        <f t="shared" si="0"/>
        <v>11086476.572540684</v>
      </c>
      <c r="J32" s="36">
        <f t="shared" si="1"/>
        <v>110166.57254068367</v>
      </c>
      <c r="K32" s="5">
        <f t="shared" si="2"/>
        <v>1.0036758486293087E-2</v>
      </c>
    </row>
    <row r="33" spans="1:11" x14ac:dyDescent="0.3">
      <c r="A33" s="3">
        <v>38534</v>
      </c>
      <c r="B33" s="59">
        <v>9734431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3992</v>
      </c>
      <c r="I33" s="192">
        <f t="shared" si="0"/>
        <v>11251213.971188225</v>
      </c>
      <c r="J33" s="36">
        <f t="shared" si="1"/>
        <v>1516782.9711882249</v>
      </c>
      <c r="K33" s="5">
        <f t="shared" si="2"/>
        <v>0.15581629488032991</v>
      </c>
    </row>
    <row r="34" spans="1:11" x14ac:dyDescent="0.3">
      <c r="A34" s="3">
        <v>38565</v>
      </c>
      <c r="B34" s="59">
        <v>13811424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4008</v>
      </c>
      <c r="I34" s="192">
        <f t="shared" si="0"/>
        <v>10906667.202765882</v>
      </c>
      <c r="J34" s="36">
        <f t="shared" si="1"/>
        <v>-2904756.797234118</v>
      </c>
      <c r="K34" s="5">
        <f t="shared" si="2"/>
        <v>-0.21031551831542628</v>
      </c>
    </row>
    <row r="35" spans="1:11" x14ac:dyDescent="0.3">
      <c r="A35" s="3">
        <v>38596</v>
      </c>
      <c r="B35" s="59">
        <v>10621632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4013</v>
      </c>
      <c r="I35" s="192">
        <f t="shared" si="0"/>
        <v>10797092.04194981</v>
      </c>
      <c r="J35" s="36">
        <f t="shared" si="1"/>
        <v>175460.04194981046</v>
      </c>
      <c r="K35" s="5">
        <f t="shared" si="2"/>
        <v>1.651912266870199E-2</v>
      </c>
    </row>
    <row r="36" spans="1:11" x14ac:dyDescent="0.3">
      <c r="A36" s="3">
        <v>38626</v>
      </c>
      <c r="B36" s="59">
        <v>11684632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4013</v>
      </c>
      <c r="I36" s="192">
        <f t="shared" si="0"/>
        <v>10623890.959431581</v>
      </c>
      <c r="J36" s="36">
        <f t="shared" si="1"/>
        <v>-1060741.0405684188</v>
      </c>
      <c r="K36" s="5">
        <f t="shared" si="2"/>
        <v>-9.0780868457681754E-2</v>
      </c>
    </row>
    <row r="37" spans="1:11" x14ac:dyDescent="0.3">
      <c r="A37" s="3">
        <v>38657</v>
      </c>
      <c r="B37" s="59">
        <v>10256317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4031</v>
      </c>
      <c r="I37" s="192">
        <f t="shared" si="0"/>
        <v>11279395.564013416</v>
      </c>
      <c r="J37" s="36">
        <f t="shared" si="1"/>
        <v>1023078.5640134159</v>
      </c>
      <c r="K37" s="5">
        <f t="shared" si="2"/>
        <v>9.975106697788455E-2</v>
      </c>
    </row>
    <row r="38" spans="1:11" x14ac:dyDescent="0.3">
      <c r="A38" s="3">
        <v>38687</v>
      </c>
      <c r="B38" s="59">
        <v>11024399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4043</v>
      </c>
      <c r="I38" s="192">
        <f t="shared" si="0"/>
        <v>11397584.456957769</v>
      </c>
      <c r="J38" s="36">
        <f t="shared" si="1"/>
        <v>373185.45695776865</v>
      </c>
      <c r="K38" s="5">
        <f t="shared" si="2"/>
        <v>3.3850866333644911E-2</v>
      </c>
    </row>
    <row r="39" spans="1:11" x14ac:dyDescent="0.3">
      <c r="A39" s="3">
        <v>38718</v>
      </c>
      <c r="B39" s="60">
        <v>12471130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4045</v>
      </c>
      <c r="I39" s="192">
        <f t="shared" si="0"/>
        <v>11226383.269753266</v>
      </c>
      <c r="J39" s="36">
        <f t="shared" si="1"/>
        <v>-1244746.7302467339</v>
      </c>
      <c r="K39" s="5">
        <f t="shared" si="2"/>
        <v>-9.9810260196688982E-2</v>
      </c>
    </row>
    <row r="40" spans="1:11" x14ac:dyDescent="0.3">
      <c r="A40" s="3">
        <v>38749</v>
      </c>
      <c r="B40" s="60">
        <v>12378052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4052</v>
      </c>
      <c r="I40" s="192">
        <f t="shared" si="0"/>
        <v>12226380.565706404</v>
      </c>
      <c r="J40" s="36">
        <f t="shared" si="1"/>
        <v>-151671.43429359607</v>
      </c>
      <c r="K40" s="5">
        <f t="shared" si="2"/>
        <v>-1.2253255544054596E-2</v>
      </c>
    </row>
    <row r="41" spans="1:11" x14ac:dyDescent="0.3">
      <c r="A41" s="3">
        <v>38777</v>
      </c>
      <c r="B41" s="60">
        <v>12610185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4064</v>
      </c>
      <c r="I41" s="192">
        <f t="shared" si="0"/>
        <v>11260723.617236834</v>
      </c>
      <c r="J41" s="36">
        <f t="shared" si="1"/>
        <v>-1349461.382763166</v>
      </c>
      <c r="K41" s="5">
        <f t="shared" si="2"/>
        <v>-0.10701360707738752</v>
      </c>
    </row>
    <row r="42" spans="1:11" x14ac:dyDescent="0.3">
      <c r="A42" s="3">
        <v>38808</v>
      </c>
      <c r="B42" s="60">
        <v>11451939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4088</v>
      </c>
      <c r="I42" s="192">
        <f t="shared" si="0"/>
        <v>11131533.251170894</v>
      </c>
      <c r="J42" s="36">
        <f t="shared" si="1"/>
        <v>-320405.74882910587</v>
      </c>
      <c r="K42" s="5">
        <f t="shared" si="2"/>
        <v>-2.7978296848167446E-2</v>
      </c>
    </row>
    <row r="43" spans="1:11" x14ac:dyDescent="0.3">
      <c r="A43" s="3">
        <v>38838</v>
      </c>
      <c r="B43" s="60">
        <v>10909292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3783</v>
      </c>
      <c r="I43" s="192">
        <f t="shared" si="0"/>
        <v>10617907.045030303</v>
      </c>
      <c r="J43" s="36">
        <f t="shared" si="1"/>
        <v>-291384.9549696967</v>
      </c>
      <c r="K43" s="5">
        <f t="shared" si="2"/>
        <v>-2.6709795188330894E-2</v>
      </c>
    </row>
    <row r="44" spans="1:11" x14ac:dyDescent="0.3">
      <c r="A44" s="3">
        <v>38869</v>
      </c>
      <c r="B44" s="60">
        <v>10327669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3797</v>
      </c>
      <c r="I44" s="192">
        <f t="shared" si="0"/>
        <v>10699119.006086575</v>
      </c>
      <c r="J44" s="36">
        <f t="shared" si="1"/>
        <v>371450.00608657487</v>
      </c>
      <c r="K44" s="5">
        <f t="shared" si="2"/>
        <v>3.5966490220259273E-2</v>
      </c>
    </row>
    <row r="45" spans="1:11" x14ac:dyDescent="0.3">
      <c r="A45" s="3">
        <v>38899</v>
      </c>
      <c r="B45" s="60">
        <v>10443940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3809</v>
      </c>
      <c r="I45" s="192">
        <f t="shared" si="0"/>
        <v>10891815.997657731</v>
      </c>
      <c r="J45" s="36">
        <f t="shared" si="1"/>
        <v>447875.99765773118</v>
      </c>
      <c r="K45" s="5">
        <f t="shared" si="2"/>
        <v>4.2883815653645192E-2</v>
      </c>
    </row>
    <row r="46" spans="1:11" x14ac:dyDescent="0.3">
      <c r="A46" s="3">
        <v>38930</v>
      </c>
      <c r="B46" s="60">
        <v>12084297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3824</v>
      </c>
      <c r="I46" s="192">
        <f t="shared" si="0"/>
        <v>10704723.29955858</v>
      </c>
      <c r="J46" s="36">
        <f t="shared" si="1"/>
        <v>-1379573.7004414201</v>
      </c>
      <c r="K46" s="5">
        <f t="shared" si="2"/>
        <v>-0.11416251193109703</v>
      </c>
    </row>
    <row r="47" spans="1:11" x14ac:dyDescent="0.3">
      <c r="A47" s="3">
        <v>38961</v>
      </c>
      <c r="B47" s="60">
        <v>10707914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3724</v>
      </c>
      <c r="I47" s="192">
        <f t="shared" si="0"/>
        <v>10642676.531524645</v>
      </c>
      <c r="J47" s="36">
        <f t="shared" si="1"/>
        <v>-65237.468475354835</v>
      </c>
      <c r="K47" s="5">
        <f t="shared" si="2"/>
        <v>-6.0924535325325583E-3</v>
      </c>
    </row>
    <row r="48" spans="1:11" x14ac:dyDescent="0.3">
      <c r="A48" s="3">
        <v>38991</v>
      </c>
      <c r="B48" s="60">
        <v>10422734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3725</v>
      </c>
      <c r="I48" s="192">
        <f t="shared" si="0"/>
        <v>10725022.918070991</v>
      </c>
      <c r="J48" s="36">
        <f t="shared" si="1"/>
        <v>302288.91807099059</v>
      </c>
      <c r="K48" s="5">
        <f t="shared" si="2"/>
        <v>2.900284302285663E-2</v>
      </c>
    </row>
    <row r="49" spans="1:11" x14ac:dyDescent="0.3">
      <c r="A49" s="3">
        <v>39022</v>
      </c>
      <c r="B49" s="60">
        <v>9945698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3729</v>
      </c>
      <c r="I49" s="192">
        <f t="shared" si="0"/>
        <v>11215375.819702925</v>
      </c>
      <c r="J49" s="36">
        <f t="shared" si="1"/>
        <v>1269677.8197029252</v>
      </c>
      <c r="K49" s="5">
        <f t="shared" si="2"/>
        <v>0.12766100676925091</v>
      </c>
    </row>
    <row r="50" spans="1:11" x14ac:dyDescent="0.3">
      <c r="A50" s="3">
        <v>39052</v>
      </c>
      <c r="B50" s="60">
        <v>10402920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3733</v>
      </c>
      <c r="I50" s="192">
        <f t="shared" si="0"/>
        <v>11047334.500988122</v>
      </c>
      <c r="J50" s="36">
        <f t="shared" si="1"/>
        <v>644414.50098812208</v>
      </c>
      <c r="K50" s="5">
        <f t="shared" si="2"/>
        <v>6.1945540385595785E-2</v>
      </c>
    </row>
    <row r="51" spans="1:11" x14ac:dyDescent="0.3">
      <c r="A51" s="3">
        <v>39083</v>
      </c>
      <c r="B51" s="60">
        <v>11259988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3744</v>
      </c>
      <c r="I51" s="192">
        <f t="shared" si="0"/>
        <v>11265676.112612884</v>
      </c>
      <c r="J51" s="36">
        <f t="shared" si="1"/>
        <v>5688.1126128844917</v>
      </c>
      <c r="K51" s="5">
        <f t="shared" si="2"/>
        <v>5.0516151641409309E-4</v>
      </c>
    </row>
    <row r="52" spans="1:11" x14ac:dyDescent="0.3">
      <c r="A52" s="3">
        <v>39114</v>
      </c>
      <c r="B52" s="60">
        <v>11970135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3741</v>
      </c>
      <c r="I52" s="192">
        <f t="shared" si="0"/>
        <v>12409821.09091674</v>
      </c>
      <c r="J52" s="36">
        <f t="shared" si="1"/>
        <v>439686.09091673978</v>
      </c>
      <c r="K52" s="5">
        <f t="shared" si="2"/>
        <v>3.6731924152629838E-2</v>
      </c>
    </row>
    <row r="53" spans="1:11" x14ac:dyDescent="0.3">
      <c r="A53" s="3">
        <v>39142</v>
      </c>
      <c r="B53" s="60">
        <v>11917401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3739</v>
      </c>
      <c r="I53" s="192">
        <f t="shared" si="0"/>
        <v>11153390.594095007</v>
      </c>
      <c r="J53" s="36">
        <f t="shared" si="1"/>
        <v>-764010.40590499341</v>
      </c>
      <c r="K53" s="5">
        <f t="shared" si="2"/>
        <v>-6.4108810797336893E-2</v>
      </c>
    </row>
    <row r="54" spans="1:11" x14ac:dyDescent="0.3">
      <c r="A54" s="3">
        <v>39173</v>
      </c>
      <c r="B54" s="60">
        <v>11639751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3743</v>
      </c>
      <c r="I54" s="192">
        <f t="shared" si="0"/>
        <v>11049136.289768456</v>
      </c>
      <c r="J54" s="36">
        <f t="shared" si="1"/>
        <v>-590614.71023154445</v>
      </c>
      <c r="K54" s="5">
        <f t="shared" si="2"/>
        <v>-5.0741180823502534E-2</v>
      </c>
    </row>
    <row r="55" spans="1:11" x14ac:dyDescent="0.3">
      <c r="A55" s="3">
        <v>39203</v>
      </c>
      <c r="B55" s="60">
        <v>10763742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3747</v>
      </c>
      <c r="I55" s="192">
        <f t="shared" si="0"/>
        <v>10355910.677360639</v>
      </c>
      <c r="J55" s="36">
        <f t="shared" si="1"/>
        <v>-407831.32263936102</v>
      </c>
      <c r="K55" s="5">
        <f t="shared" si="2"/>
        <v>-3.7889362513460562E-2</v>
      </c>
    </row>
    <row r="56" spans="1:11" x14ac:dyDescent="0.3">
      <c r="A56" s="3">
        <v>39234</v>
      </c>
      <c r="B56" s="60">
        <v>10679632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3744</v>
      </c>
      <c r="I56" s="192">
        <f t="shared" si="0"/>
        <v>10646378.998041971</v>
      </c>
      <c r="J56" s="36">
        <f t="shared" si="1"/>
        <v>-33253.001958029345</v>
      </c>
      <c r="K56" s="5">
        <f t="shared" si="2"/>
        <v>-3.11368425035894E-3</v>
      </c>
    </row>
    <row r="57" spans="1:11" x14ac:dyDescent="0.3">
      <c r="A57" s="3">
        <v>39264</v>
      </c>
      <c r="B57" s="60">
        <v>10131980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3770</v>
      </c>
      <c r="I57" s="192">
        <f t="shared" si="0"/>
        <v>10411009.19409585</v>
      </c>
      <c r="J57" s="36">
        <f t="shared" si="1"/>
        <v>279029.19409584999</v>
      </c>
      <c r="K57" s="5">
        <f t="shared" si="2"/>
        <v>2.7539453699656928E-2</v>
      </c>
    </row>
    <row r="58" spans="1:11" x14ac:dyDescent="0.3">
      <c r="A58" s="3">
        <v>39295</v>
      </c>
      <c r="B58" s="60">
        <v>11308818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3770</v>
      </c>
      <c r="I58" s="192">
        <f t="shared" si="0"/>
        <v>10750373.164705951</v>
      </c>
      <c r="J58" s="36">
        <f t="shared" si="1"/>
        <v>-558444.83529404923</v>
      </c>
      <c r="K58" s="5">
        <f t="shared" si="2"/>
        <v>-4.9381361986199551E-2</v>
      </c>
    </row>
    <row r="59" spans="1:11" x14ac:dyDescent="0.3">
      <c r="A59" s="3">
        <v>39326</v>
      </c>
      <c r="B59" s="60">
        <v>11270208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3768</v>
      </c>
      <c r="I59" s="192">
        <f t="shared" si="0"/>
        <v>10595989.161674181</v>
      </c>
      <c r="J59" s="36">
        <f t="shared" si="1"/>
        <v>-674218.838325819</v>
      </c>
      <c r="K59" s="5">
        <f t="shared" si="2"/>
        <v>-5.9823105157049361E-2</v>
      </c>
    </row>
    <row r="60" spans="1:11" x14ac:dyDescent="0.3">
      <c r="A60" s="3">
        <v>39356</v>
      </c>
      <c r="B60" s="60">
        <v>10530867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3770</v>
      </c>
      <c r="I60" s="192">
        <f t="shared" si="0"/>
        <v>10377771.401489068</v>
      </c>
      <c r="J60" s="36">
        <f t="shared" si="1"/>
        <v>-153095.59851093218</v>
      </c>
      <c r="K60" s="5">
        <f t="shared" si="2"/>
        <v>-1.4537796224274049E-2</v>
      </c>
    </row>
    <row r="61" spans="1:11" x14ac:dyDescent="0.3">
      <c r="A61" s="3">
        <v>39387</v>
      </c>
      <c r="B61" s="60">
        <v>10602579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3774</v>
      </c>
      <c r="I61" s="192">
        <f t="shared" si="0"/>
        <v>11115323.122281188</v>
      </c>
      <c r="J61" s="36">
        <f t="shared" si="1"/>
        <v>512744.12228118815</v>
      </c>
      <c r="K61" s="5">
        <f t="shared" si="2"/>
        <v>4.8360320850350483E-2</v>
      </c>
    </row>
    <row r="62" spans="1:11" x14ac:dyDescent="0.3">
      <c r="A62" s="3">
        <v>39417</v>
      </c>
      <c r="B62" s="60">
        <v>10270903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3765</v>
      </c>
      <c r="I62" s="192">
        <f t="shared" si="0"/>
        <v>10781450.014271792</v>
      </c>
      <c r="J62" s="36">
        <f t="shared" si="1"/>
        <v>510547.01427179202</v>
      </c>
      <c r="K62" s="5">
        <f t="shared" si="2"/>
        <v>4.9708094241742135E-2</v>
      </c>
    </row>
    <row r="63" spans="1:11" x14ac:dyDescent="0.3">
      <c r="A63" s="3">
        <v>39448</v>
      </c>
      <c r="B63" s="61">
        <v>11697786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3768</v>
      </c>
      <c r="I63" s="192">
        <f t="shared" si="0"/>
        <v>10969117.490758069</v>
      </c>
      <c r="J63" s="36">
        <f t="shared" si="1"/>
        <v>-728668.50924193114</v>
      </c>
      <c r="K63" s="5">
        <f t="shared" si="2"/>
        <v>-6.2291147165962103E-2</v>
      </c>
    </row>
    <row r="64" spans="1:11" x14ac:dyDescent="0.3">
      <c r="A64" s="3">
        <v>39479</v>
      </c>
      <c r="B64" s="61">
        <v>13146769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3766</v>
      </c>
      <c r="I64" s="192">
        <f t="shared" si="0"/>
        <v>11328212.228297507</v>
      </c>
      <c r="J64" s="36">
        <f t="shared" si="1"/>
        <v>-1818556.7717024926</v>
      </c>
      <c r="K64" s="5">
        <f t="shared" si="2"/>
        <v>-0.13832727810935846</v>
      </c>
    </row>
    <row r="65" spans="1:17" x14ac:dyDescent="0.3">
      <c r="A65" s="3">
        <v>39508</v>
      </c>
      <c r="B65" s="61">
        <v>12431779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3772</v>
      </c>
      <c r="I65" s="192">
        <f t="shared" si="0"/>
        <v>11047652.113346297</v>
      </c>
      <c r="J65" s="36">
        <f t="shared" si="1"/>
        <v>-1384126.8866537027</v>
      </c>
      <c r="K65" s="5">
        <f t="shared" si="2"/>
        <v>-0.11133779700022842</v>
      </c>
    </row>
    <row r="66" spans="1:17" x14ac:dyDescent="0.3">
      <c r="A66" s="3">
        <v>39539</v>
      </c>
      <c r="B66" s="61">
        <v>11604575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3774</v>
      </c>
      <c r="I66" s="192">
        <f t="shared" si="0"/>
        <v>10743122.319038445</v>
      </c>
      <c r="J66" s="36">
        <f t="shared" si="1"/>
        <v>-861452.68096155487</v>
      </c>
      <c r="K66" s="5">
        <f t="shared" si="2"/>
        <v>-7.4233884563765146E-2</v>
      </c>
    </row>
    <row r="67" spans="1:17" x14ac:dyDescent="0.3">
      <c r="A67" s="3">
        <v>39569</v>
      </c>
      <c r="B67" s="61">
        <v>10354473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3773</v>
      </c>
      <c r="I67" s="192">
        <f t="shared" si="0"/>
        <v>10457839.114504308</v>
      </c>
      <c r="J67" s="36">
        <f t="shared" si="1"/>
        <v>103366.11450430751</v>
      </c>
      <c r="K67" s="5">
        <f t="shared" si="2"/>
        <v>9.982749919219212E-3</v>
      </c>
    </row>
    <row r="68" spans="1:17" x14ac:dyDescent="0.3">
      <c r="A68" s="3">
        <v>39600</v>
      </c>
      <c r="B68" s="61">
        <v>10341099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3775</v>
      </c>
      <c r="I68" s="192">
        <f t="shared" ref="I68:I131" si="3">$N$18+C68*$N$19+D68*$N$20+E68*$N$21+F68*$N$22+G68*$N$23</f>
        <v>10570506.921036793</v>
      </c>
      <c r="J68" s="36">
        <f t="shared" ref="J68:J131" si="4">I68-B68</f>
        <v>229407.92103679292</v>
      </c>
      <c r="K68" s="5">
        <f t="shared" ref="K68:K131" si="5">J68/B68</f>
        <v>2.2184094846862304E-2</v>
      </c>
    </row>
    <row r="69" spans="1:17" x14ac:dyDescent="0.3">
      <c r="A69" s="3">
        <v>39630</v>
      </c>
      <c r="B69" s="61">
        <v>10150312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3784</v>
      </c>
      <c r="I69" s="192">
        <f t="shared" si="3"/>
        <v>10537891.375607461</v>
      </c>
      <c r="J69" s="36">
        <f t="shared" si="4"/>
        <v>387579.37560746074</v>
      </c>
      <c r="K69" s="5">
        <f t="shared" si="5"/>
        <v>3.8183986424009504E-2</v>
      </c>
    </row>
    <row r="70" spans="1:17" x14ac:dyDescent="0.3">
      <c r="A70" s="3">
        <v>39661</v>
      </c>
      <c r="B70" s="61">
        <v>10885564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3802</v>
      </c>
      <c r="I70" s="192">
        <f t="shared" si="3"/>
        <v>10326322.932338029</v>
      </c>
      <c r="J70" s="36">
        <f t="shared" si="4"/>
        <v>-559241.06766197085</v>
      </c>
      <c r="K70" s="5">
        <f t="shared" si="5"/>
        <v>-5.1374560625611208E-2</v>
      </c>
    </row>
    <row r="71" spans="1:17" x14ac:dyDescent="0.3">
      <c r="A71" s="3">
        <v>39692</v>
      </c>
      <c r="B71" s="61">
        <v>10839209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3808</v>
      </c>
      <c r="I71" s="192">
        <f t="shared" si="3"/>
        <v>10675379.601567397</v>
      </c>
      <c r="J71" s="36">
        <f t="shared" si="4"/>
        <v>-163829.39843260311</v>
      </c>
      <c r="K71" s="5">
        <f t="shared" si="5"/>
        <v>-1.5114516053025927E-2</v>
      </c>
    </row>
    <row r="72" spans="1:17" x14ac:dyDescent="0.3">
      <c r="A72" s="3">
        <v>39722</v>
      </c>
      <c r="B72" s="61">
        <v>10352355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3817</v>
      </c>
      <c r="I72" s="192">
        <f t="shared" si="3"/>
        <v>10555207.11297109</v>
      </c>
      <c r="J72" s="36">
        <f t="shared" si="4"/>
        <v>202852.11297108978</v>
      </c>
      <c r="K72" s="5">
        <f t="shared" si="5"/>
        <v>1.9594779445941506E-2</v>
      </c>
    </row>
    <row r="73" spans="1:17" x14ac:dyDescent="0.3">
      <c r="A73" s="3">
        <v>39753</v>
      </c>
      <c r="B73" s="61">
        <v>9669055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3823</v>
      </c>
      <c r="I73" s="192">
        <f t="shared" si="3"/>
        <v>10989387.851853175</v>
      </c>
      <c r="J73" s="36">
        <f t="shared" si="4"/>
        <v>1320332.8518531751</v>
      </c>
      <c r="K73" s="5">
        <f t="shared" si="5"/>
        <v>0.13655241922330311</v>
      </c>
    </row>
    <row r="74" spans="1:17" x14ac:dyDescent="0.3">
      <c r="A74" s="3">
        <v>39783</v>
      </c>
      <c r="B74" s="61">
        <v>10395041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3822</v>
      </c>
      <c r="I74" s="192">
        <f t="shared" si="3"/>
        <v>10833943.96669624</v>
      </c>
      <c r="J74" s="36">
        <f t="shared" si="4"/>
        <v>438902.96669624001</v>
      </c>
      <c r="K74" s="5">
        <f t="shared" si="5"/>
        <v>4.2222341085161666E-2</v>
      </c>
    </row>
    <row r="75" spans="1:17" s="14" customFormat="1" x14ac:dyDescent="0.3">
      <c r="A75" s="3">
        <v>39814</v>
      </c>
      <c r="B75" s="61">
        <v>12106349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3820</v>
      </c>
      <c r="I75" s="192">
        <f t="shared" si="3"/>
        <v>11459528.468288835</v>
      </c>
      <c r="J75" s="36">
        <f t="shared" si="4"/>
        <v>-646820.53171116486</v>
      </c>
      <c r="K75" s="5">
        <f t="shared" si="5"/>
        <v>-5.3428207935453116E-2</v>
      </c>
      <c r="L75" s="11"/>
      <c r="M75" s="11"/>
      <c r="N75" s="11"/>
      <c r="O75" s="11"/>
      <c r="P75" s="11"/>
      <c r="Q75" s="11"/>
    </row>
    <row r="76" spans="1:17" x14ac:dyDescent="0.3">
      <c r="A76" s="3">
        <v>39845</v>
      </c>
      <c r="B76" s="61">
        <v>12482450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3826</v>
      </c>
      <c r="I76" s="192">
        <f t="shared" si="3"/>
        <v>12171230.399540542</v>
      </c>
      <c r="J76" s="36">
        <f t="shared" si="4"/>
        <v>-311219.60045945831</v>
      </c>
      <c r="K76" s="5">
        <f t="shared" si="5"/>
        <v>-2.493257336976782E-2</v>
      </c>
    </row>
    <row r="77" spans="1:17" x14ac:dyDescent="0.3">
      <c r="A77" s="3">
        <v>39873</v>
      </c>
      <c r="B77" s="61">
        <v>10503063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3825</v>
      </c>
      <c r="I77" s="192">
        <f t="shared" si="3"/>
        <v>11043871.967860926</v>
      </c>
      <c r="J77" s="36">
        <f t="shared" si="4"/>
        <v>540808.96786092594</v>
      </c>
      <c r="K77" s="5">
        <f t="shared" si="5"/>
        <v>5.1490595444483762E-2</v>
      </c>
    </row>
    <row r="78" spans="1:17" x14ac:dyDescent="0.3">
      <c r="A78" s="3">
        <v>39904</v>
      </c>
      <c r="B78" s="61">
        <v>10918955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3828</v>
      </c>
      <c r="I78" s="192">
        <f t="shared" si="3"/>
        <v>11068684.438707916</v>
      </c>
      <c r="J78" s="36">
        <f t="shared" si="4"/>
        <v>149729.43870791607</v>
      </c>
      <c r="K78" s="5">
        <f t="shared" si="5"/>
        <v>1.3712799320806438E-2</v>
      </c>
    </row>
    <row r="79" spans="1:17" x14ac:dyDescent="0.3">
      <c r="A79" s="3">
        <v>39934</v>
      </c>
      <c r="B79" s="61">
        <v>10667089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3829</v>
      </c>
      <c r="I79" s="192">
        <f t="shared" si="3"/>
        <v>10473421.762528468</v>
      </c>
      <c r="J79" s="36">
        <f t="shared" si="4"/>
        <v>-193667.23747153208</v>
      </c>
      <c r="K79" s="5">
        <f t="shared" si="5"/>
        <v>-1.8155584665275792E-2</v>
      </c>
    </row>
    <row r="80" spans="1:17" x14ac:dyDescent="0.3">
      <c r="A80" s="3">
        <v>39965</v>
      </c>
      <c r="B80" s="61">
        <v>10147486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3832</v>
      </c>
      <c r="I80" s="192">
        <f t="shared" si="3"/>
        <v>10654607.840849696</v>
      </c>
      <c r="J80" s="36">
        <f t="shared" si="4"/>
        <v>507121.84084969573</v>
      </c>
      <c r="K80" s="5">
        <f t="shared" si="5"/>
        <v>4.9975121015165304E-2</v>
      </c>
    </row>
    <row r="81" spans="1:17" x14ac:dyDescent="0.3">
      <c r="A81" s="3">
        <v>39995</v>
      </c>
      <c r="B81" s="61">
        <v>9831147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3834</v>
      </c>
      <c r="I81" s="192">
        <f t="shared" si="3"/>
        <v>10254010.036994565</v>
      </c>
      <c r="J81" s="36">
        <f t="shared" si="4"/>
        <v>422863.03699456528</v>
      </c>
      <c r="K81" s="5">
        <f t="shared" si="5"/>
        <v>4.3012584085515684E-2</v>
      </c>
    </row>
    <row r="82" spans="1:17" x14ac:dyDescent="0.3">
      <c r="A82" s="3">
        <v>40026</v>
      </c>
      <c r="B82" s="61">
        <v>10245990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3838</v>
      </c>
      <c r="I82" s="192">
        <f t="shared" si="3"/>
        <v>10640017.388362568</v>
      </c>
      <c r="J82" s="36">
        <f t="shared" si="4"/>
        <v>394027.38836256787</v>
      </c>
      <c r="K82" s="5">
        <f t="shared" si="5"/>
        <v>3.845674145324833E-2</v>
      </c>
    </row>
    <row r="83" spans="1:17" x14ac:dyDescent="0.3">
      <c r="A83" s="3">
        <v>40057</v>
      </c>
      <c r="B83" s="61">
        <v>10416446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3848</v>
      </c>
      <c r="I83" s="192">
        <f t="shared" si="3"/>
        <v>10610531.129985956</v>
      </c>
      <c r="J83" s="36">
        <f t="shared" si="4"/>
        <v>194085.12998595648</v>
      </c>
      <c r="K83" s="5">
        <f t="shared" si="5"/>
        <v>1.8632567190955195E-2</v>
      </c>
    </row>
    <row r="84" spans="1:17" x14ac:dyDescent="0.3">
      <c r="A84" s="3">
        <v>40087</v>
      </c>
      <c r="B84" s="61">
        <v>10039694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3853</v>
      </c>
      <c r="I84" s="192">
        <f t="shared" si="3"/>
        <v>10696243.840836957</v>
      </c>
      <c r="J84" s="36">
        <f t="shared" si="4"/>
        <v>656549.8408369571</v>
      </c>
      <c r="K84" s="5">
        <f t="shared" si="5"/>
        <v>6.5395403568769842E-2</v>
      </c>
    </row>
    <row r="85" spans="1:17" x14ac:dyDescent="0.3">
      <c r="A85" s="3">
        <v>40118</v>
      </c>
      <c r="B85" s="61">
        <v>10212467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3877</v>
      </c>
      <c r="I85" s="192">
        <f t="shared" si="3"/>
        <v>11117620.630856944</v>
      </c>
      <c r="J85" s="36">
        <f t="shared" si="4"/>
        <v>905153.63085694425</v>
      </c>
      <c r="K85" s="5">
        <f t="shared" si="5"/>
        <v>8.8632220878358217E-2</v>
      </c>
    </row>
    <row r="86" spans="1:17" s="31" customFormat="1" x14ac:dyDescent="0.3">
      <c r="A86" s="3">
        <v>40148</v>
      </c>
      <c r="B86" s="61">
        <v>10448369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3897</v>
      </c>
      <c r="I86" s="192">
        <f t="shared" si="3"/>
        <v>11295905.477331471</v>
      </c>
      <c r="J86" s="36">
        <f t="shared" si="4"/>
        <v>847536.4773314707</v>
      </c>
      <c r="K86" s="5">
        <f t="shared" si="5"/>
        <v>8.1116629526720455E-2</v>
      </c>
      <c r="L86" s="27"/>
      <c r="M86" s="27"/>
      <c r="N86" s="27"/>
      <c r="O86" s="27"/>
      <c r="P86" s="27"/>
      <c r="Q86" s="27"/>
    </row>
    <row r="87" spans="1:17" x14ac:dyDescent="0.3">
      <c r="A87" s="3">
        <v>40179</v>
      </c>
      <c r="B87" s="59">
        <v>11522598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3899</v>
      </c>
      <c r="I87" s="192">
        <f t="shared" si="3"/>
        <v>11457656.605629358</v>
      </c>
      <c r="J87" s="36">
        <f t="shared" si="4"/>
        <v>-64941.394370641559</v>
      </c>
      <c r="K87" s="5">
        <f t="shared" si="5"/>
        <v>-5.6360027808521618E-3</v>
      </c>
    </row>
    <row r="88" spans="1:17" x14ac:dyDescent="0.3">
      <c r="A88" s="3">
        <v>40210</v>
      </c>
      <c r="B88" s="59">
        <v>13123101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3902</v>
      </c>
      <c r="I88" s="192">
        <f t="shared" si="3"/>
        <v>12113392.889435442</v>
      </c>
      <c r="J88" s="36">
        <f t="shared" si="4"/>
        <v>-1009708.1105645578</v>
      </c>
      <c r="K88" s="5">
        <f t="shared" si="5"/>
        <v>-7.6941274060495141E-2</v>
      </c>
    </row>
    <row r="89" spans="1:17" x14ac:dyDescent="0.3">
      <c r="A89" s="3">
        <v>40238</v>
      </c>
      <c r="B89" s="59">
        <v>11365818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3904</v>
      </c>
      <c r="I89" s="192">
        <f t="shared" si="3"/>
        <v>10945350.94282303</v>
      </c>
      <c r="J89" s="36">
        <f t="shared" si="4"/>
        <v>-420467.05717696995</v>
      </c>
      <c r="K89" s="5">
        <f t="shared" si="5"/>
        <v>-3.6993998775712397E-2</v>
      </c>
    </row>
    <row r="90" spans="1:17" x14ac:dyDescent="0.3">
      <c r="A90" s="3">
        <v>40269</v>
      </c>
      <c r="B90" s="59">
        <v>10954550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3905</v>
      </c>
      <c r="I90" s="192">
        <f t="shared" si="3"/>
        <v>10905788.218791777</v>
      </c>
      <c r="J90" s="36">
        <f t="shared" si="4"/>
        <v>-48761.781208222732</v>
      </c>
      <c r="K90" s="5">
        <f t="shared" si="5"/>
        <v>-4.4512810848663549E-3</v>
      </c>
    </row>
    <row r="91" spans="1:17" x14ac:dyDescent="0.3">
      <c r="A91" s="3">
        <v>40299</v>
      </c>
      <c r="B91" s="59">
        <v>10190240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3919</v>
      </c>
      <c r="I91" s="192">
        <f t="shared" si="3"/>
        <v>10530010.475853004</v>
      </c>
      <c r="J91" s="36">
        <f t="shared" si="4"/>
        <v>339770.47585300356</v>
      </c>
      <c r="K91" s="5">
        <f t="shared" si="5"/>
        <v>3.3342735387292502E-2</v>
      </c>
    </row>
    <row r="92" spans="1:17" x14ac:dyDescent="0.3">
      <c r="A92" s="3">
        <v>40330</v>
      </c>
      <c r="B92" s="59">
        <v>9777540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3923</v>
      </c>
      <c r="I92" s="192">
        <f t="shared" si="3"/>
        <v>10709730.237025743</v>
      </c>
      <c r="J92" s="36">
        <f t="shared" si="4"/>
        <v>932190.23702574335</v>
      </c>
      <c r="K92" s="5">
        <f t="shared" si="5"/>
        <v>9.5339956372026441E-2</v>
      </c>
    </row>
    <row r="93" spans="1:17" x14ac:dyDescent="0.3">
      <c r="A93" s="3">
        <v>40360</v>
      </c>
      <c r="B93" s="59">
        <v>10570916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3928</v>
      </c>
      <c r="I93" s="192">
        <f t="shared" si="3"/>
        <v>10959791.197211459</v>
      </c>
      <c r="J93" s="36">
        <f t="shared" si="4"/>
        <v>388875.19721145928</v>
      </c>
      <c r="K93" s="5">
        <f t="shared" si="5"/>
        <v>3.6787275313838394E-2</v>
      </c>
    </row>
    <row r="94" spans="1:17" x14ac:dyDescent="0.3">
      <c r="A94" s="3">
        <v>40391</v>
      </c>
      <c r="B94" s="59">
        <v>11251146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3927</v>
      </c>
      <c r="I94" s="192">
        <f t="shared" si="3"/>
        <v>10753658.465897933</v>
      </c>
      <c r="J94" s="36">
        <f t="shared" si="4"/>
        <v>-497487.53410206735</v>
      </c>
      <c r="K94" s="5">
        <f t="shared" si="5"/>
        <v>-4.4216609943739715E-2</v>
      </c>
    </row>
    <row r="95" spans="1:17" x14ac:dyDescent="0.3">
      <c r="A95" s="3">
        <v>40422</v>
      </c>
      <c r="B95" s="59">
        <v>11729543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3943</v>
      </c>
      <c r="I95" s="192">
        <f t="shared" si="3"/>
        <v>10714831.825179311</v>
      </c>
      <c r="J95" s="36">
        <f t="shared" si="4"/>
        <v>-1014711.1748206895</v>
      </c>
      <c r="K95" s="5">
        <f t="shared" si="5"/>
        <v>-8.6509011887393183E-2</v>
      </c>
    </row>
    <row r="96" spans="1:17" x14ac:dyDescent="0.3">
      <c r="A96" s="3">
        <v>40452</v>
      </c>
      <c r="B96" s="59">
        <v>10513628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3951</v>
      </c>
      <c r="I96" s="192">
        <f t="shared" si="3"/>
        <v>10625362.091383412</v>
      </c>
      <c r="J96" s="36">
        <f t="shared" si="4"/>
        <v>111734.09138341248</v>
      </c>
      <c r="K96" s="5">
        <f t="shared" si="5"/>
        <v>1.0627548490721993E-2</v>
      </c>
    </row>
    <row r="97" spans="1:11" x14ac:dyDescent="0.3">
      <c r="A97" s="3">
        <v>40483</v>
      </c>
      <c r="B97" s="59">
        <v>10081406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3954</v>
      </c>
      <c r="I97" s="192">
        <f t="shared" si="3"/>
        <v>11215874.91556563</v>
      </c>
      <c r="J97" s="36">
        <f t="shared" si="4"/>
        <v>1134468.9155656304</v>
      </c>
      <c r="K97" s="5">
        <f t="shared" si="5"/>
        <v>0.11253082313772805</v>
      </c>
    </row>
    <row r="98" spans="1:11" x14ac:dyDescent="0.3">
      <c r="A98" s="3">
        <v>40513</v>
      </c>
      <c r="B98" s="59">
        <v>10201617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3961</v>
      </c>
      <c r="I98" s="192">
        <f t="shared" si="3"/>
        <v>11327661.834078934</v>
      </c>
      <c r="J98" s="36">
        <f t="shared" si="4"/>
        <v>1126044.834078934</v>
      </c>
      <c r="K98" s="5">
        <f t="shared" si="5"/>
        <v>0.11037905403417263</v>
      </c>
    </row>
    <row r="99" spans="1:11" x14ac:dyDescent="0.3">
      <c r="A99" s="3">
        <v>40544</v>
      </c>
      <c r="B99" s="105">
        <v>11108115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58">
        <v>3962</v>
      </c>
      <c r="I99" s="192">
        <f t="shared" si="3"/>
        <v>11609197.128797278</v>
      </c>
      <c r="J99" s="36">
        <f t="shared" si="4"/>
        <v>501082.12879727781</v>
      </c>
      <c r="K99" s="5">
        <f t="shared" si="5"/>
        <v>4.5109555383364128E-2</v>
      </c>
    </row>
    <row r="100" spans="1:11" x14ac:dyDescent="0.3">
      <c r="A100" s="3">
        <v>40575</v>
      </c>
      <c r="B100" s="105">
        <v>13519418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58">
        <v>3963</v>
      </c>
      <c r="I100" s="192">
        <f t="shared" si="3"/>
        <v>12243042.790355256</v>
      </c>
      <c r="J100" s="36">
        <f t="shared" si="4"/>
        <v>-1276375.2096447442</v>
      </c>
      <c r="K100" s="5">
        <f t="shared" si="5"/>
        <v>-9.4410514538772611E-2</v>
      </c>
    </row>
    <row r="101" spans="1:11" x14ac:dyDescent="0.3">
      <c r="A101" s="3">
        <v>40603</v>
      </c>
      <c r="B101" s="105">
        <v>13897258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58">
        <v>3966</v>
      </c>
      <c r="I101" s="192">
        <f t="shared" si="3"/>
        <v>11278211.903102595</v>
      </c>
      <c r="J101" s="36">
        <f t="shared" si="4"/>
        <v>-2619046.0968974046</v>
      </c>
      <c r="K101" s="5">
        <f t="shared" si="5"/>
        <v>-0.18845775885411387</v>
      </c>
    </row>
    <row r="102" spans="1:11" x14ac:dyDescent="0.3">
      <c r="A102" s="3">
        <v>40634</v>
      </c>
      <c r="B102" s="105">
        <v>11362813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58">
        <v>3969</v>
      </c>
      <c r="I102" s="192">
        <f t="shared" si="3"/>
        <v>11139981.863754207</v>
      </c>
      <c r="J102" s="36">
        <f t="shared" si="4"/>
        <v>-222831.13624579273</v>
      </c>
      <c r="K102" s="5">
        <f t="shared" si="5"/>
        <v>-1.9610560892429782E-2</v>
      </c>
    </row>
    <row r="103" spans="1:11" x14ac:dyDescent="0.3">
      <c r="A103" s="3">
        <v>40664</v>
      </c>
      <c r="B103" s="105">
        <v>10258796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58">
        <v>3974</v>
      </c>
      <c r="I103" s="192">
        <f t="shared" si="3"/>
        <v>10463856.396371812</v>
      </c>
      <c r="J103" s="36">
        <f t="shared" si="4"/>
        <v>205060.39637181163</v>
      </c>
      <c r="K103" s="5">
        <f t="shared" si="5"/>
        <v>1.9988739065657572E-2</v>
      </c>
    </row>
    <row r="104" spans="1:11" x14ac:dyDescent="0.3">
      <c r="A104" s="3">
        <v>40695</v>
      </c>
      <c r="B104" s="105">
        <v>10532456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58">
        <v>3812</v>
      </c>
      <c r="I104" s="192">
        <f t="shared" si="3"/>
        <v>10665151.525664711</v>
      </c>
      <c r="J104" s="36">
        <f t="shared" si="4"/>
        <v>132695.52566471137</v>
      </c>
      <c r="K104" s="5">
        <f t="shared" si="5"/>
        <v>1.2598725849385118E-2</v>
      </c>
    </row>
    <row r="105" spans="1:11" x14ac:dyDescent="0.3">
      <c r="A105" s="3">
        <v>40725</v>
      </c>
      <c r="B105" s="105">
        <v>11071076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58">
        <v>3811</v>
      </c>
      <c r="I105" s="192">
        <f t="shared" si="3"/>
        <v>11130656.609577265</v>
      </c>
      <c r="J105" s="36">
        <f t="shared" si="4"/>
        <v>59580.609577264637</v>
      </c>
      <c r="K105" s="5">
        <f t="shared" si="5"/>
        <v>5.3816457928086339E-3</v>
      </c>
    </row>
    <row r="106" spans="1:11" x14ac:dyDescent="0.3">
      <c r="A106" s="3">
        <v>40756</v>
      </c>
      <c r="B106" s="105">
        <v>10992419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58">
        <v>3810</v>
      </c>
      <c r="I106" s="192">
        <f t="shared" si="3"/>
        <v>10679257.793981425</v>
      </c>
      <c r="J106" s="36">
        <f t="shared" si="4"/>
        <v>-313161.20601857454</v>
      </c>
      <c r="K106" s="5">
        <f t="shared" si="5"/>
        <v>-2.848883453392511E-2</v>
      </c>
    </row>
    <row r="107" spans="1:11" x14ac:dyDescent="0.3">
      <c r="A107" s="3">
        <v>40787</v>
      </c>
      <c r="B107" s="105">
        <v>12046598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58">
        <v>3807</v>
      </c>
      <c r="I107" s="192">
        <f t="shared" si="3"/>
        <v>10808616.446239563</v>
      </c>
      <c r="J107" s="36">
        <f t="shared" si="4"/>
        <v>-1237981.5537604373</v>
      </c>
      <c r="K107" s="5">
        <f t="shared" si="5"/>
        <v>-0.1027660716959624</v>
      </c>
    </row>
    <row r="108" spans="1:11" x14ac:dyDescent="0.3">
      <c r="A108" s="3">
        <v>40817</v>
      </c>
      <c r="B108" s="105">
        <v>10380233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3810</v>
      </c>
      <c r="I108" s="192">
        <f t="shared" si="3"/>
        <v>10611279.985545255</v>
      </c>
      <c r="J108" s="36">
        <f t="shared" si="4"/>
        <v>231046.98554525524</v>
      </c>
      <c r="K108" s="5">
        <f t="shared" si="5"/>
        <v>2.2258362172145389E-2</v>
      </c>
    </row>
    <row r="109" spans="1:11" x14ac:dyDescent="0.3">
      <c r="A109" s="3">
        <v>40848</v>
      </c>
      <c r="B109" s="105">
        <v>9987001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3811</v>
      </c>
      <c r="I109" s="192">
        <f t="shared" si="3"/>
        <v>11166685.208008816</v>
      </c>
      <c r="J109" s="36">
        <f t="shared" si="4"/>
        <v>1179684.2080088165</v>
      </c>
      <c r="K109" s="5">
        <f t="shared" si="5"/>
        <v>0.11812196754649533</v>
      </c>
    </row>
    <row r="110" spans="1:11" x14ac:dyDescent="0.3">
      <c r="A110" s="3">
        <v>40878</v>
      </c>
      <c r="B110" s="105">
        <v>10539695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3816</v>
      </c>
      <c r="I110" s="192">
        <f t="shared" si="3"/>
        <v>11158693.250070237</v>
      </c>
      <c r="J110" s="36">
        <f t="shared" si="4"/>
        <v>618998.25007023662</v>
      </c>
      <c r="K110" s="5">
        <f t="shared" si="5"/>
        <v>5.8730186221730006E-2</v>
      </c>
    </row>
    <row r="111" spans="1:11" x14ac:dyDescent="0.3">
      <c r="A111" s="3">
        <v>40909</v>
      </c>
      <c r="B111" s="105">
        <v>9452959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58">
        <v>3819</v>
      </c>
      <c r="I111" s="192">
        <f t="shared" si="3"/>
        <v>11314970.400313955</v>
      </c>
      <c r="J111" s="36">
        <f t="shared" si="4"/>
        <v>1862011.4003139548</v>
      </c>
      <c r="K111" s="5">
        <f t="shared" si="5"/>
        <v>0.19697656578368264</v>
      </c>
    </row>
    <row r="112" spans="1:11" x14ac:dyDescent="0.3">
      <c r="A112" s="3">
        <v>40940</v>
      </c>
      <c r="B112" s="105">
        <v>14357372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58">
        <v>3835</v>
      </c>
      <c r="I112" s="192">
        <f t="shared" si="3"/>
        <v>11757497.320761254</v>
      </c>
      <c r="J112" s="36">
        <f t="shared" si="4"/>
        <v>-2599874.6792387459</v>
      </c>
      <c r="K112" s="5">
        <f t="shared" si="5"/>
        <v>-0.1810829084346875</v>
      </c>
    </row>
    <row r="113" spans="1:11" x14ac:dyDescent="0.3">
      <c r="A113" s="3">
        <v>40969</v>
      </c>
      <c r="B113" s="105">
        <v>10772984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58">
        <v>3838</v>
      </c>
      <c r="I113" s="192">
        <f t="shared" si="3"/>
        <v>10962301.067675397</v>
      </c>
      <c r="J113" s="36">
        <f t="shared" si="4"/>
        <v>189317.0676753968</v>
      </c>
      <c r="K113" s="5">
        <f t="shared" si="5"/>
        <v>1.7573317446252294E-2</v>
      </c>
    </row>
    <row r="114" spans="1:11" x14ac:dyDescent="0.3">
      <c r="A114" s="3">
        <v>41000</v>
      </c>
      <c r="B114" s="105">
        <v>11133490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3845</v>
      </c>
      <c r="I114" s="192">
        <f t="shared" si="3"/>
        <v>11123207.124008233</v>
      </c>
      <c r="J114" s="36">
        <f t="shared" si="4"/>
        <v>-10282.875991767272</v>
      </c>
      <c r="K114" s="5">
        <f t="shared" si="5"/>
        <v>-9.2359861927996279E-4</v>
      </c>
    </row>
    <row r="115" spans="1:11" x14ac:dyDescent="0.3">
      <c r="A115" s="3">
        <v>41030</v>
      </c>
      <c r="B115" s="105">
        <v>8931520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3864</v>
      </c>
      <c r="I115" s="192">
        <f t="shared" si="3"/>
        <v>10519390.881175332</v>
      </c>
      <c r="J115" s="36">
        <f t="shared" si="4"/>
        <v>1587870.8811753318</v>
      </c>
      <c r="K115" s="5">
        <f t="shared" si="5"/>
        <v>0.17778282769062062</v>
      </c>
    </row>
    <row r="116" spans="1:11" x14ac:dyDescent="0.3">
      <c r="A116" s="3">
        <v>41061</v>
      </c>
      <c r="B116" s="105">
        <v>8356542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3865</v>
      </c>
      <c r="I116" s="192">
        <f t="shared" si="3"/>
        <v>10887204.45453384</v>
      </c>
      <c r="J116" s="36">
        <f t="shared" si="4"/>
        <v>2530662.4545338396</v>
      </c>
      <c r="K116" s="5">
        <f t="shared" si="5"/>
        <v>0.30283608393685324</v>
      </c>
    </row>
    <row r="117" spans="1:11" x14ac:dyDescent="0.3">
      <c r="A117" s="3">
        <v>41091</v>
      </c>
      <c r="B117" s="105">
        <v>9843844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58">
        <v>3864</v>
      </c>
      <c r="I117" s="192">
        <f t="shared" si="3"/>
        <v>11209507.38748217</v>
      </c>
      <c r="J117" s="36">
        <f t="shared" si="4"/>
        <v>1365663.38748217</v>
      </c>
      <c r="K117" s="5">
        <f t="shared" si="5"/>
        <v>0.13873273362338637</v>
      </c>
    </row>
    <row r="118" spans="1:11" x14ac:dyDescent="0.3">
      <c r="A118" s="3">
        <v>41122</v>
      </c>
      <c r="B118" s="105">
        <v>12271242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58">
        <v>3866</v>
      </c>
      <c r="I118" s="192">
        <f t="shared" si="3"/>
        <v>10821923.390517276</v>
      </c>
      <c r="J118" s="36">
        <f t="shared" si="4"/>
        <v>-1449318.6094827242</v>
      </c>
      <c r="K118" s="5">
        <f t="shared" si="5"/>
        <v>-0.11810692100137249</v>
      </c>
    </row>
    <row r="119" spans="1:11" x14ac:dyDescent="0.3">
      <c r="A119" s="3">
        <v>41153</v>
      </c>
      <c r="B119" s="105">
        <v>12813803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58">
        <v>3868</v>
      </c>
      <c r="I119" s="192">
        <f t="shared" si="3"/>
        <v>10776765.273402894</v>
      </c>
      <c r="J119" s="36">
        <f t="shared" si="4"/>
        <v>-2037037.7265971061</v>
      </c>
      <c r="K119" s="5">
        <f t="shared" si="5"/>
        <v>-0.15897214328931902</v>
      </c>
    </row>
    <row r="120" spans="1:11" x14ac:dyDescent="0.3">
      <c r="A120" s="3">
        <v>41183</v>
      </c>
      <c r="B120" s="105">
        <v>11998690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58">
        <v>3870</v>
      </c>
      <c r="I120" s="192">
        <f t="shared" si="3"/>
        <v>10588241.626694608</v>
      </c>
      <c r="J120" s="36">
        <f t="shared" si="4"/>
        <v>-1410448.3733053915</v>
      </c>
      <c r="K120" s="5">
        <f t="shared" si="5"/>
        <v>-0.11755019700528904</v>
      </c>
    </row>
    <row r="121" spans="1:11" x14ac:dyDescent="0.3">
      <c r="A121" s="3">
        <v>41214</v>
      </c>
      <c r="B121" s="105">
        <v>10009126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58">
        <v>3876</v>
      </c>
      <c r="I121" s="192">
        <f t="shared" si="3"/>
        <v>11297500.750807574</v>
      </c>
      <c r="J121" s="36">
        <f t="shared" si="4"/>
        <v>1288374.750807574</v>
      </c>
      <c r="K121" s="5">
        <f t="shared" si="5"/>
        <v>0.12872000520400823</v>
      </c>
    </row>
    <row r="122" spans="1:11" x14ac:dyDescent="0.3">
      <c r="A122" s="3">
        <v>41244</v>
      </c>
      <c r="B122" s="105">
        <v>11649229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58">
        <v>3885</v>
      </c>
      <c r="I122" s="192">
        <f t="shared" si="3"/>
        <v>10962595.066277042</v>
      </c>
      <c r="J122" s="36">
        <f t="shared" si="4"/>
        <v>-686633.93372295797</v>
      </c>
      <c r="K122" s="5">
        <f t="shared" si="5"/>
        <v>-5.8942435909102482E-2</v>
      </c>
    </row>
    <row r="123" spans="1:11" x14ac:dyDescent="0.3">
      <c r="A123" s="3">
        <v>41275</v>
      </c>
      <c r="B123" s="105">
        <v>11710408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58">
        <v>3896</v>
      </c>
      <c r="I123" s="192">
        <f t="shared" si="3"/>
        <v>11308717.361146428</v>
      </c>
      <c r="J123" s="36">
        <f t="shared" si="4"/>
        <v>-401690.63885357231</v>
      </c>
      <c r="K123" s="5">
        <f t="shared" si="5"/>
        <v>-3.4302019097333956E-2</v>
      </c>
    </row>
    <row r="124" spans="1:11" x14ac:dyDescent="0.3">
      <c r="A124" s="3">
        <v>41306</v>
      </c>
      <c r="B124" s="105">
        <v>11135515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58">
        <v>3895</v>
      </c>
      <c r="I124" s="192">
        <f t="shared" si="3"/>
        <v>12196163.816295641</v>
      </c>
      <c r="J124" s="36">
        <f t="shared" si="4"/>
        <v>1060648.8162956405</v>
      </c>
      <c r="K124" s="5">
        <f t="shared" si="5"/>
        <v>9.5249192901777829E-2</v>
      </c>
    </row>
    <row r="125" spans="1:11" x14ac:dyDescent="0.3">
      <c r="A125" s="3">
        <v>41334</v>
      </c>
      <c r="B125" s="105">
        <v>12239097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58">
        <v>3902</v>
      </c>
      <c r="I125" s="192">
        <f t="shared" si="3"/>
        <v>11247647.638076942</v>
      </c>
      <c r="J125" s="36">
        <f t="shared" si="4"/>
        <v>-991449.36192305759</v>
      </c>
      <c r="K125" s="5">
        <f t="shared" si="5"/>
        <v>-8.1006741095610041E-2</v>
      </c>
    </row>
    <row r="126" spans="1:11" x14ac:dyDescent="0.3">
      <c r="A126" s="3">
        <v>41365</v>
      </c>
      <c r="B126" s="105">
        <v>11909221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58">
        <v>3913</v>
      </c>
      <c r="I126" s="192">
        <f t="shared" si="3"/>
        <v>11201379.779119017</v>
      </c>
      <c r="J126" s="36">
        <f t="shared" si="4"/>
        <v>-707841.2208809834</v>
      </c>
      <c r="K126" s="5">
        <f t="shared" si="5"/>
        <v>-5.9436399818341049E-2</v>
      </c>
    </row>
    <row r="127" spans="1:11" x14ac:dyDescent="0.3">
      <c r="A127" s="3">
        <v>41395</v>
      </c>
      <c r="B127" s="105">
        <v>10706718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58">
        <v>3916</v>
      </c>
      <c r="I127" s="192">
        <f t="shared" si="3"/>
        <v>10444159.316408906</v>
      </c>
      <c r="J127" s="36">
        <f t="shared" si="4"/>
        <v>-262558.68359109387</v>
      </c>
      <c r="K127" s="5">
        <f t="shared" si="5"/>
        <v>-2.4522798077907148E-2</v>
      </c>
    </row>
    <row r="128" spans="1:11" x14ac:dyDescent="0.3">
      <c r="A128" s="3">
        <v>41426</v>
      </c>
      <c r="B128" s="105">
        <v>10139279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58">
        <v>3914</v>
      </c>
      <c r="I128" s="192">
        <f t="shared" si="3"/>
        <v>10692070.548014479</v>
      </c>
      <c r="J128" s="36">
        <f t="shared" si="4"/>
        <v>552791.54801447876</v>
      </c>
      <c r="K128" s="5">
        <f t="shared" si="5"/>
        <v>5.4519808362555044E-2</v>
      </c>
    </row>
    <row r="129" spans="1:11" x14ac:dyDescent="0.3">
      <c r="A129" s="3">
        <v>41456</v>
      </c>
      <c r="B129" s="105">
        <v>10246768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58">
        <v>3908</v>
      </c>
      <c r="I129" s="192">
        <f t="shared" si="3"/>
        <v>10922343.07725456</v>
      </c>
      <c r="J129" s="36">
        <f t="shared" si="4"/>
        <v>675575.07725455984</v>
      </c>
      <c r="K129" s="5">
        <f t="shared" si="5"/>
        <v>6.5930552663489586E-2</v>
      </c>
    </row>
    <row r="130" spans="1:11" x14ac:dyDescent="0.3">
      <c r="A130" s="3">
        <v>41487</v>
      </c>
      <c r="B130" s="105">
        <v>11967647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58">
        <v>3911</v>
      </c>
      <c r="I130" s="192">
        <f t="shared" si="3"/>
        <v>10542324.669709157</v>
      </c>
      <c r="J130" s="36">
        <f t="shared" si="4"/>
        <v>-1425322.3302908428</v>
      </c>
      <c r="K130" s="5">
        <f t="shared" si="5"/>
        <v>-0.11909795887953938</v>
      </c>
    </row>
    <row r="131" spans="1:11" x14ac:dyDescent="0.3">
      <c r="A131" s="3">
        <v>41518</v>
      </c>
      <c r="B131" s="105">
        <v>11151803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58">
        <v>3914</v>
      </c>
      <c r="I131" s="192">
        <f t="shared" si="3"/>
        <v>10783071.342595132</v>
      </c>
      <c r="J131" s="36">
        <f t="shared" si="4"/>
        <v>-368731.65740486793</v>
      </c>
      <c r="K131" s="5">
        <f t="shared" si="5"/>
        <v>-3.3064757098459137E-2</v>
      </c>
    </row>
    <row r="132" spans="1:11" x14ac:dyDescent="0.3">
      <c r="A132" s="3">
        <v>41548</v>
      </c>
      <c r="B132" s="105">
        <v>10054279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58">
        <v>3914</v>
      </c>
      <c r="I132" s="192">
        <f t="shared" ref="I132:I195" si="6">$N$18+C132*$N$19+D132*$N$20+E132*$N$21+F132*$N$22+G132*$N$23</f>
        <v>10621657.897900205</v>
      </c>
      <c r="J132" s="36">
        <f t="shared" ref="J132:J133" si="7">I132-B132</f>
        <v>567378.89790020511</v>
      </c>
      <c r="K132" s="5">
        <f t="shared" ref="K132:K133" si="8">J132/B132</f>
        <v>5.6431584790933798E-2</v>
      </c>
    </row>
    <row r="133" spans="1:11" x14ac:dyDescent="0.3">
      <c r="A133" s="3">
        <v>41579</v>
      </c>
      <c r="B133" s="105">
        <v>10066610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58">
        <v>3919</v>
      </c>
      <c r="I133" s="192">
        <f t="shared" si="6"/>
        <v>11388171.54930055</v>
      </c>
      <c r="J133" s="36">
        <f t="shared" si="7"/>
        <v>1321561.5493005496</v>
      </c>
      <c r="K133" s="5">
        <f t="shared" si="8"/>
        <v>0.13128168760889211</v>
      </c>
    </row>
    <row r="134" spans="1:11" x14ac:dyDescent="0.3">
      <c r="A134" s="3">
        <v>41609</v>
      </c>
      <c r="B134" s="105">
        <v>11054783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58">
        <v>3924</v>
      </c>
      <c r="I134" s="192">
        <f t="shared" ca="1" si="6"/>
        <v>11034679.48738955</v>
      </c>
      <c r="J134" s="36">
        <f t="shared" ref="J134" ca="1" si="9">I134-B134</f>
        <v>-20103.512610450387</v>
      </c>
      <c r="K134" s="5">
        <f t="shared" ref="K134" ca="1" si="10">J134/B134</f>
        <v>-1.8185352539665761E-3</v>
      </c>
    </row>
    <row r="135" spans="1:11" x14ac:dyDescent="0.3">
      <c r="A135" s="3">
        <v>41640</v>
      </c>
      <c r="B135" s="6">
        <v>12354311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0">
        <v>3922</v>
      </c>
      <c r="I135" s="192">
        <f t="shared" si="6"/>
        <v>11649423.258002348</v>
      </c>
      <c r="J135" s="36"/>
      <c r="K135" s="5"/>
    </row>
    <row r="136" spans="1:11" x14ac:dyDescent="0.3">
      <c r="A136" s="3">
        <v>41671</v>
      </c>
      <c r="B136" s="6">
        <v>13443741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0">
        <v>3917</v>
      </c>
      <c r="I136" s="192">
        <f t="shared" si="6"/>
        <v>12378782.247765498</v>
      </c>
      <c r="J136" s="36"/>
      <c r="K136" s="5"/>
    </row>
    <row r="137" spans="1:11" x14ac:dyDescent="0.3">
      <c r="A137" s="3">
        <v>41699</v>
      </c>
      <c r="B137" s="6">
        <v>11985513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0">
        <v>3919</v>
      </c>
      <c r="I137" s="192">
        <f t="shared" si="6"/>
        <v>11540958.27261268</v>
      </c>
      <c r="J137" s="36"/>
      <c r="K137" s="5"/>
    </row>
    <row r="138" spans="1:11" x14ac:dyDescent="0.3">
      <c r="A138" s="3">
        <v>41730</v>
      </c>
      <c r="B138" s="6">
        <v>12615272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0">
        <v>3921</v>
      </c>
      <c r="I138" s="192">
        <f t="shared" si="6"/>
        <v>11223223.401263567</v>
      </c>
      <c r="J138" s="36"/>
      <c r="K138" s="5"/>
    </row>
    <row r="139" spans="1:11" x14ac:dyDescent="0.3">
      <c r="A139" s="3">
        <v>41760</v>
      </c>
      <c r="B139" s="6">
        <v>10327397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0">
        <v>3927</v>
      </c>
      <c r="I139" s="192">
        <f t="shared" si="6"/>
        <v>10499211.277308609</v>
      </c>
      <c r="J139" s="36"/>
      <c r="K139" s="5"/>
    </row>
    <row r="140" spans="1:11" x14ac:dyDescent="0.3">
      <c r="A140" s="3">
        <v>41791</v>
      </c>
      <c r="B140" s="6">
        <v>10160622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0">
        <v>3933</v>
      </c>
      <c r="I140" s="192">
        <f t="shared" si="6"/>
        <v>10730648.47822777</v>
      </c>
      <c r="J140" s="36"/>
      <c r="K140" s="5"/>
    </row>
    <row r="141" spans="1:11" x14ac:dyDescent="0.3">
      <c r="A141" s="3">
        <v>41821</v>
      </c>
      <c r="B141" s="6">
        <v>10305554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0">
        <v>3934</v>
      </c>
      <c r="I141" s="192">
        <f t="shared" si="6"/>
        <v>10490638.095373224</v>
      </c>
      <c r="J141" s="36"/>
      <c r="K141" s="5"/>
    </row>
    <row r="142" spans="1:11" x14ac:dyDescent="0.3">
      <c r="A142" s="3">
        <v>41852</v>
      </c>
      <c r="B142" s="6">
        <v>10932603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0">
        <v>3945</v>
      </c>
      <c r="I142" s="192">
        <f t="shared" si="6"/>
        <v>10522729.217979379</v>
      </c>
      <c r="J142" s="36"/>
      <c r="K142" s="5"/>
    </row>
    <row r="143" spans="1:11" x14ac:dyDescent="0.3">
      <c r="A143" s="3">
        <v>41883</v>
      </c>
      <c r="B143" s="6">
        <v>10524907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0">
        <v>3952</v>
      </c>
      <c r="I143" s="192">
        <f t="shared" si="6"/>
        <v>10770936.925450416</v>
      </c>
      <c r="J143" s="36"/>
      <c r="K143" s="5"/>
    </row>
    <row r="144" spans="1:11" x14ac:dyDescent="0.3">
      <c r="A144" s="3">
        <v>41913</v>
      </c>
      <c r="B144" s="6">
        <v>10042926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0">
        <v>3960</v>
      </c>
      <c r="I144" s="192">
        <f t="shared" si="6"/>
        <v>10604993.486602634</v>
      </c>
      <c r="J144" s="36"/>
      <c r="K144" s="5"/>
    </row>
    <row r="145" spans="1:11" x14ac:dyDescent="0.3">
      <c r="A145" s="3">
        <v>41944</v>
      </c>
      <c r="B145" s="6">
        <v>9975710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0">
        <v>3973</v>
      </c>
      <c r="I145" s="192">
        <f t="shared" si="6"/>
        <v>11294160.085773529</v>
      </c>
      <c r="J145" s="36"/>
      <c r="K145" s="5"/>
    </row>
    <row r="146" spans="1:11" x14ac:dyDescent="0.3">
      <c r="A146" s="3">
        <v>41974</v>
      </c>
      <c r="B146" s="6">
        <v>11060526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0">
        <v>3981</v>
      </c>
      <c r="I146" s="192">
        <f t="shared" si="6"/>
        <v>11209757.465270817</v>
      </c>
      <c r="J146" s="36"/>
      <c r="K146" s="5"/>
    </row>
    <row r="147" spans="1:11" x14ac:dyDescent="0.3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0"/>
      <c r="I147" s="192">
        <f t="shared" ca="1" si="6"/>
        <v>11433922.225851204</v>
      </c>
      <c r="J147" s="36"/>
      <c r="K147" s="5"/>
    </row>
    <row r="148" spans="1:11" x14ac:dyDescent="0.3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0"/>
      <c r="I148" s="192">
        <f t="shared" ca="1" si="6"/>
        <v>12186114.504651519</v>
      </c>
      <c r="J148" s="36"/>
      <c r="K148" s="5"/>
    </row>
    <row r="149" spans="1:11" x14ac:dyDescent="0.3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0"/>
      <c r="I149" s="192">
        <f t="shared" ca="1" si="6"/>
        <v>11351951.802694216</v>
      </c>
      <c r="J149" s="36"/>
      <c r="K149" s="5"/>
    </row>
    <row r="150" spans="1:11" x14ac:dyDescent="0.3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0"/>
      <c r="I150" s="192">
        <f t="shared" ca="1" si="6"/>
        <v>11105910.695068082</v>
      </c>
      <c r="J150" s="36"/>
      <c r="K150" s="5"/>
    </row>
    <row r="151" spans="1:11" x14ac:dyDescent="0.3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0"/>
      <c r="I151" s="192">
        <f t="shared" ca="1" si="6"/>
        <v>10445851.576487239</v>
      </c>
      <c r="J151" s="36"/>
      <c r="K151" s="5"/>
    </row>
    <row r="152" spans="1:11" x14ac:dyDescent="0.3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0"/>
      <c r="I152" s="192">
        <f t="shared" ca="1" si="6"/>
        <v>10838287.48112618</v>
      </c>
      <c r="J152" s="36"/>
      <c r="K152" s="5"/>
    </row>
    <row r="153" spans="1:11" x14ac:dyDescent="0.3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0"/>
      <c r="I153" s="192">
        <f t="shared" ca="1" si="6"/>
        <v>10664522.56292095</v>
      </c>
      <c r="J153" s="36"/>
      <c r="K153" s="5"/>
    </row>
    <row r="154" spans="1:11" x14ac:dyDescent="0.3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0"/>
      <c r="I154" s="192">
        <f t="shared" ca="1" si="6"/>
        <v>10706519.24068746</v>
      </c>
      <c r="J154" s="36"/>
      <c r="K154" s="5"/>
    </row>
    <row r="155" spans="1:11" x14ac:dyDescent="0.3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0"/>
      <c r="I155" s="192">
        <f t="shared" ca="1" si="6"/>
        <v>10823751.595253782</v>
      </c>
      <c r="J155" s="36"/>
      <c r="K155" s="5"/>
    </row>
    <row r="156" spans="1:11" x14ac:dyDescent="0.3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0"/>
      <c r="I156" s="192">
        <f t="shared" ca="1" si="6"/>
        <v>10528145.587588314</v>
      </c>
      <c r="J156" s="36"/>
      <c r="K156" s="5"/>
    </row>
    <row r="157" spans="1:11" x14ac:dyDescent="0.3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0"/>
      <c r="I157" s="192">
        <f t="shared" ca="1" si="6"/>
        <v>11161516.550247433</v>
      </c>
      <c r="J157" s="36"/>
      <c r="K157" s="5"/>
    </row>
    <row r="158" spans="1:11" x14ac:dyDescent="0.3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0"/>
      <c r="I158" s="192">
        <f t="shared" ca="1" si="6"/>
        <v>11036101.993562367</v>
      </c>
      <c r="J158" s="36"/>
      <c r="K158" s="5"/>
    </row>
    <row r="159" spans="1:11" x14ac:dyDescent="0.3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0"/>
      <c r="I159" s="192">
        <f t="shared" ca="1" si="6"/>
        <v>11435416.294666357</v>
      </c>
      <c r="J159" s="36"/>
      <c r="K159" s="5"/>
    </row>
    <row r="160" spans="1:11" x14ac:dyDescent="0.3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0"/>
      <c r="I160" s="192">
        <f t="shared" ca="1" si="6"/>
        <v>11889455.733650343</v>
      </c>
      <c r="J160" s="36"/>
      <c r="K160" s="5"/>
    </row>
    <row r="161" spans="1:11" x14ac:dyDescent="0.3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0"/>
      <c r="I161" s="192">
        <f t="shared" ca="1" si="6"/>
        <v>11353848.911658335</v>
      </c>
      <c r="J161" s="36"/>
      <c r="K161" s="5"/>
    </row>
    <row r="162" spans="1:11" x14ac:dyDescent="0.3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0"/>
      <c r="I162" s="192">
        <f t="shared" ca="1" si="6"/>
        <v>11108648.620600281</v>
      </c>
      <c r="J162" s="36"/>
      <c r="K162" s="5"/>
    </row>
    <row r="163" spans="1:11" x14ac:dyDescent="0.3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0"/>
      <c r="I163" s="192">
        <f t="shared" ca="1" si="6"/>
        <v>10449637.261827197</v>
      </c>
      <c r="J163" s="36"/>
      <c r="K163" s="5"/>
    </row>
    <row r="164" spans="1:11" x14ac:dyDescent="0.3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0"/>
      <c r="I164" s="192">
        <f t="shared" ca="1" si="6"/>
        <v>10846757.634197915</v>
      </c>
      <c r="J164" s="36"/>
      <c r="K164" s="5"/>
    </row>
    <row r="165" spans="1:11" x14ac:dyDescent="0.3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0"/>
      <c r="I165" s="192">
        <f t="shared" ca="1" si="6"/>
        <v>10675985.546068467</v>
      </c>
      <c r="J165" s="36"/>
      <c r="K165" s="5"/>
    </row>
    <row r="166" spans="1:11" x14ac:dyDescent="0.3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0"/>
      <c r="I166" s="192">
        <f t="shared" ca="1" si="6"/>
        <v>10718328.788031079</v>
      </c>
      <c r="J166" s="36"/>
      <c r="K166" s="5"/>
    </row>
    <row r="167" spans="1:11" x14ac:dyDescent="0.3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0"/>
      <c r="I167" s="192">
        <f t="shared" ca="1" si="6"/>
        <v>10831523.513516655</v>
      </c>
      <c r="J167" s="36"/>
      <c r="K167" s="5"/>
    </row>
    <row r="168" spans="1:11" x14ac:dyDescent="0.3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0"/>
      <c r="I168" s="192">
        <f t="shared" ca="1" si="6"/>
        <v>10543053.621055588</v>
      </c>
      <c r="J168" s="36"/>
      <c r="K168" s="5"/>
    </row>
    <row r="169" spans="1:11" x14ac:dyDescent="0.3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0"/>
      <c r="I169" s="192">
        <f t="shared" ca="1" si="6"/>
        <v>11175547.004494121</v>
      </c>
      <c r="J169" s="36"/>
      <c r="K169" s="5"/>
    </row>
    <row r="170" spans="1:11" x14ac:dyDescent="0.3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0"/>
      <c r="I170" s="192">
        <f t="shared" ca="1" si="6"/>
        <v>11049508.566700056</v>
      </c>
      <c r="J170" s="36"/>
      <c r="K170" s="5"/>
    </row>
    <row r="171" spans="1:11" x14ac:dyDescent="0.3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0"/>
      <c r="I171" s="192">
        <f t="shared" ca="1" si="6"/>
        <v>11438873.539894111</v>
      </c>
      <c r="J171" s="36"/>
      <c r="K171" s="5"/>
    </row>
    <row r="172" spans="1:11" x14ac:dyDescent="0.3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0"/>
      <c r="I172" s="192">
        <f t="shared" ca="1" si="6"/>
        <v>12191760.507071162</v>
      </c>
      <c r="J172" s="36"/>
      <c r="K172" s="5"/>
    </row>
    <row r="173" spans="1:11" x14ac:dyDescent="0.3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0"/>
      <c r="I173" s="192">
        <f t="shared" ca="1" si="6"/>
        <v>11357709.197035052</v>
      </c>
      <c r="J173" s="36"/>
      <c r="K173" s="5"/>
    </row>
    <row r="174" spans="1:11" x14ac:dyDescent="0.3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0"/>
      <c r="I174" s="192">
        <f t="shared" ca="1" si="6"/>
        <v>11114102.357019456</v>
      </c>
      <c r="J174" s="36"/>
      <c r="K174" s="5"/>
    </row>
    <row r="175" spans="1:11" x14ac:dyDescent="0.3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0"/>
      <c r="I175" s="192">
        <f t="shared" ca="1" si="6"/>
        <v>10456138.75805413</v>
      </c>
      <c r="J175" s="36"/>
      <c r="K175" s="5"/>
    </row>
    <row r="176" spans="1:11" x14ac:dyDescent="0.3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0"/>
      <c r="I176" s="192">
        <f t="shared" ca="1" si="6"/>
        <v>10857943.598156629</v>
      </c>
      <c r="J176" s="36"/>
      <c r="K176" s="5"/>
    </row>
    <row r="177" spans="1:11" x14ac:dyDescent="0.3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0"/>
      <c r="I177" s="192">
        <f t="shared" ca="1" si="6"/>
        <v>10688677.120882649</v>
      </c>
      <c r="J177" s="36"/>
      <c r="K177" s="5"/>
    </row>
    <row r="178" spans="1:11" x14ac:dyDescent="0.3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0"/>
      <c r="I178" s="192">
        <f t="shared" ca="1" si="6"/>
        <v>10731366.927041367</v>
      </c>
      <c r="J178" s="36"/>
      <c r="K178" s="5"/>
    </row>
    <row r="179" spans="1:11" x14ac:dyDescent="0.3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0"/>
      <c r="I179" s="192">
        <f t="shared" ca="1" si="6"/>
        <v>10840524.023446189</v>
      </c>
      <c r="J179" s="36"/>
      <c r="K179" s="5"/>
    </row>
    <row r="180" spans="1:11" x14ac:dyDescent="0.3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0"/>
      <c r="I180" s="192">
        <f t="shared" ca="1" si="6"/>
        <v>10548646.989045486</v>
      </c>
      <c r="J180" s="36"/>
      <c r="K180" s="5"/>
    </row>
    <row r="181" spans="1:11" x14ac:dyDescent="0.3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0"/>
      <c r="I181" s="192">
        <f t="shared" ca="1" si="6"/>
        <v>11180262.793263434</v>
      </c>
      <c r="J181" s="36"/>
      <c r="K181" s="5"/>
    </row>
    <row r="182" spans="1:11" x14ac:dyDescent="0.3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0"/>
      <c r="I182" s="192">
        <f t="shared" ca="1" si="6"/>
        <v>11053600.474360365</v>
      </c>
      <c r="J182" s="36"/>
      <c r="K182" s="5"/>
    </row>
    <row r="183" spans="1:11" x14ac:dyDescent="0.3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0"/>
      <c r="I183" s="192">
        <f t="shared" ca="1" si="6"/>
        <v>11438898.115379013</v>
      </c>
      <c r="J183" s="36"/>
      <c r="K183" s="5"/>
    </row>
    <row r="184" spans="1:11" x14ac:dyDescent="0.3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0"/>
      <c r="I184" s="192">
        <f t="shared" ca="1" si="6"/>
        <v>12192132.426744429</v>
      </c>
      <c r="J184" s="36"/>
      <c r="K184" s="5"/>
    </row>
    <row r="185" spans="1:11" x14ac:dyDescent="0.3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0"/>
      <c r="I185" s="192">
        <f t="shared" ca="1" si="6"/>
        <v>11358136.812668916</v>
      </c>
      <c r="J185" s="36"/>
      <c r="K185" s="5"/>
    </row>
    <row r="186" spans="1:11" x14ac:dyDescent="0.3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0"/>
      <c r="I186" s="192">
        <f t="shared" ca="1" si="6"/>
        <v>11115535.605910731</v>
      </c>
      <c r="J186" s="36"/>
      <c r="K186" s="5"/>
    </row>
    <row r="187" spans="1:11" x14ac:dyDescent="0.3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0"/>
      <c r="I187" s="192">
        <f t="shared" ca="1" si="6"/>
        <v>10458619.766753163</v>
      </c>
      <c r="J187" s="36"/>
      <c r="K187" s="5"/>
    </row>
    <row r="188" spans="1:11" x14ac:dyDescent="0.3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0"/>
      <c r="I188" s="192">
        <f t="shared" ca="1" si="6"/>
        <v>10865109.074587444</v>
      </c>
      <c r="J188" s="36"/>
      <c r="K188" s="5"/>
    </row>
    <row r="189" spans="1:11" x14ac:dyDescent="0.3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0"/>
      <c r="I189" s="192">
        <f t="shared" ca="1" si="6"/>
        <v>10697665.262983274</v>
      </c>
      <c r="J189" s="36"/>
      <c r="K189" s="5"/>
    </row>
    <row r="190" spans="1:11" x14ac:dyDescent="0.3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0"/>
      <c r="I190" s="192">
        <f t="shared" ca="1" si="6"/>
        <v>10740701.633338101</v>
      </c>
      <c r="J190" s="36"/>
      <c r="K190" s="5"/>
    </row>
    <row r="191" spans="1:11" x14ac:dyDescent="0.3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0"/>
      <c r="I191" s="192">
        <f t="shared" ca="1" si="6"/>
        <v>10845821.100662181</v>
      </c>
      <c r="J191" s="36"/>
      <c r="K191" s="5"/>
    </row>
    <row r="192" spans="1:11" x14ac:dyDescent="0.3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0"/>
      <c r="I192" s="192">
        <f t="shared" ca="1" si="6"/>
        <v>10551761.374266099</v>
      </c>
      <c r="J192" s="36"/>
      <c r="K192" s="5"/>
    </row>
    <row r="193" spans="1:11" x14ac:dyDescent="0.3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0"/>
      <c r="I193" s="192">
        <f t="shared" ca="1" si="6"/>
        <v>11182499.599263465</v>
      </c>
      <c r="J193" s="36"/>
      <c r="K193" s="5"/>
    </row>
    <row r="194" spans="1:11" x14ac:dyDescent="0.3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0"/>
      <c r="I194" s="192">
        <f t="shared" ca="1" si="6"/>
        <v>11055213.399251398</v>
      </c>
      <c r="J194" s="36"/>
      <c r="K194" s="5"/>
    </row>
    <row r="195" spans="1:11" x14ac:dyDescent="0.3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0"/>
      <c r="I195" s="192">
        <f t="shared" ca="1" si="6"/>
        <v>11442172.937336259</v>
      </c>
      <c r="J195" s="36"/>
      <c r="K195" s="5"/>
    </row>
    <row r="196" spans="1:11" x14ac:dyDescent="0.3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0"/>
      <c r="I196" s="192">
        <f t="shared" ref="I196:I206" ca="1" si="11">$N$18+C196*$N$19+D196*$N$20+E196*$N$21+F196*$N$22+G196*$N$23</f>
        <v>12195754.592890041</v>
      </c>
      <c r="J196" s="36"/>
      <c r="K196" s="5"/>
    </row>
    <row r="197" spans="1:11" x14ac:dyDescent="0.3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0"/>
      <c r="I197" s="192">
        <f t="shared" ca="1" si="11"/>
        <v>11361814.674775124</v>
      </c>
      <c r="J197" s="36"/>
      <c r="K197" s="5"/>
    </row>
    <row r="198" spans="1:11" x14ac:dyDescent="0.3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0"/>
      <c r="I198" s="192">
        <f t="shared" ca="1" si="11"/>
        <v>11121814.891571289</v>
      </c>
      <c r="J198" s="36"/>
      <c r="K198" s="5"/>
    </row>
    <row r="199" spans="1:11" x14ac:dyDescent="0.3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0"/>
      <c r="I199" s="192">
        <f t="shared" ca="1" si="11"/>
        <v>10465946.812221479</v>
      </c>
      <c r="J199" s="36"/>
      <c r="K199" s="5"/>
    </row>
    <row r="200" spans="1:11" x14ac:dyDescent="0.3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0"/>
      <c r="I200" s="192">
        <f t="shared" ca="1" si="11"/>
        <v>10877120.587787537</v>
      </c>
      <c r="J200" s="36"/>
      <c r="K200" s="5"/>
    </row>
    <row r="201" spans="1:11" x14ac:dyDescent="0.3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0"/>
      <c r="I201" s="192">
        <f t="shared" ca="1" si="11"/>
        <v>10712565.381434415</v>
      </c>
      <c r="J201" s="36"/>
      <c r="K201" s="5"/>
    </row>
    <row r="202" spans="1:11" x14ac:dyDescent="0.3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0"/>
      <c r="I202" s="192">
        <f t="shared" ca="1" si="11"/>
        <v>10755948.315985341</v>
      </c>
      <c r="J202" s="36"/>
      <c r="K202" s="5"/>
    </row>
    <row r="203" spans="1:11" x14ac:dyDescent="0.3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0"/>
      <c r="I203" s="192">
        <f t="shared" ca="1" si="11"/>
        <v>10857030.154228671</v>
      </c>
      <c r="J203" s="36"/>
      <c r="K203" s="5"/>
    </row>
    <row r="204" spans="1:11" x14ac:dyDescent="0.3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0"/>
      <c r="I204" s="192">
        <f t="shared" ca="1" si="11"/>
        <v>10561319.904553961</v>
      </c>
      <c r="J204" s="36"/>
      <c r="K204" s="5"/>
    </row>
    <row r="205" spans="1:11" x14ac:dyDescent="0.3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0"/>
      <c r="I205" s="192">
        <f t="shared" ca="1" si="11"/>
        <v>11191180.550330741</v>
      </c>
      <c r="J205" s="36"/>
      <c r="K205" s="5"/>
    </row>
    <row r="206" spans="1:11" x14ac:dyDescent="0.3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0"/>
      <c r="I206" s="192">
        <f t="shared" ca="1" si="11"/>
        <v>11063270.469209667</v>
      </c>
      <c r="J206" s="36"/>
      <c r="K206" s="5"/>
    </row>
    <row r="207" spans="1:11" x14ac:dyDescent="0.3">
      <c r="A207" s="3"/>
      <c r="E207" s="33"/>
      <c r="F207" s="10"/>
      <c r="G207" s="10"/>
      <c r="H207" s="17"/>
    </row>
    <row r="208" spans="1:11" x14ac:dyDescent="0.3">
      <c r="A208" s="3"/>
      <c r="C208" s="18"/>
      <c r="D208" s="63" t="s">
        <v>60</v>
      </c>
      <c r="I208" s="47">
        <f ca="1">SUM(I3:I206)</f>
        <v>2248939406.0420065</v>
      </c>
    </row>
    <row r="209" spans="1:11" x14ac:dyDescent="0.3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3">
      <c r="A210" s="16">
        <v>2003</v>
      </c>
      <c r="B210" s="6">
        <f>SUM(B3:B14)</f>
        <v>124144653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133613292.60916637</v>
      </c>
      <c r="J210" s="36">
        <f>I210-B210</f>
        <v>9468639.6091663688</v>
      </c>
      <c r="K210" s="5">
        <f>J210/B210</f>
        <v>7.6271022394870033E-2</v>
      </c>
    </row>
    <row r="211" spans="1:11" x14ac:dyDescent="0.3">
      <c r="A211">
        <v>2004</v>
      </c>
      <c r="B211" s="6">
        <f>SUM(B15:B26)</f>
        <v>132938490</v>
      </c>
      <c r="C211" s="107">
        <f>+B211-B210</f>
        <v>8793837</v>
      </c>
      <c r="D211" s="109">
        <f>+C211/B210</f>
        <v>7.0835406821750102E-2</v>
      </c>
      <c r="E211" s="109">
        <f>RATE(1,0,-B$210,B211)</f>
        <v>7.0835406821750047E-2</v>
      </c>
      <c r="F211" s="179"/>
      <c r="G211" s="179"/>
      <c r="H211"/>
      <c r="I211" s="6">
        <f>SUM(I15:I26)</f>
        <v>132626976.45719951</v>
      </c>
      <c r="J211" s="36">
        <f t="shared" ref="J211:J226" si="12">I211-B211</f>
        <v>-311513.54280048609</v>
      </c>
      <c r="K211" s="5">
        <f t="shared" ref="K211:K226" si="13">J211/B211</f>
        <v>-2.3432908166813545E-3</v>
      </c>
    </row>
    <row r="212" spans="1:11" x14ac:dyDescent="0.3">
      <c r="A212" s="16">
        <v>2005</v>
      </c>
      <c r="B212" s="6">
        <f>SUM(B27:B38)</f>
        <v>138859028</v>
      </c>
      <c r="C212" s="107">
        <f t="shared" ref="C212:C226" si="14">+B212-B211</f>
        <v>5920538</v>
      </c>
      <c r="D212" s="109">
        <f t="shared" ref="D212:D226" si="15">+C212/B211</f>
        <v>4.4535920334283927E-2</v>
      </c>
      <c r="E212" s="109">
        <f>RATE(2,0,-B$210,B212)</f>
        <v>5.7603917915915265E-2</v>
      </c>
      <c r="F212" s="179"/>
      <c r="G212" s="179"/>
      <c r="H212"/>
      <c r="I212" s="6">
        <f>SUM(I27:I38)</f>
        <v>134217013.84083878</v>
      </c>
      <c r="J212" s="36">
        <f t="shared" si="12"/>
        <v>-4642014.159161225</v>
      </c>
      <c r="K212" s="5">
        <f t="shared" si="13"/>
        <v>-3.3429689275667585E-2</v>
      </c>
    </row>
    <row r="213" spans="1:11" x14ac:dyDescent="0.3">
      <c r="A213">
        <v>2006</v>
      </c>
      <c r="B213" s="6">
        <f>SUM(B39:B50)</f>
        <v>134155770</v>
      </c>
      <c r="C213" s="107">
        <f t="shared" si="14"/>
        <v>-4703258</v>
      </c>
      <c r="D213" s="109">
        <f t="shared" si="15"/>
        <v>-3.3870739754854107E-2</v>
      </c>
      <c r="E213" s="109">
        <f>RATE(3,0,-B$210,B213)</f>
        <v>2.6188426843453606E-2</v>
      </c>
      <c r="F213" s="179"/>
      <c r="G213" s="179"/>
      <c r="H213"/>
      <c r="I213" s="6">
        <f>SUM(I39:I50)</f>
        <v>132388995.82248726</v>
      </c>
      <c r="J213" s="36">
        <f t="shared" si="12"/>
        <v>-1766774.1775127351</v>
      </c>
      <c r="K213" s="5">
        <f t="shared" si="13"/>
        <v>-1.3169572784776496E-2</v>
      </c>
    </row>
    <row r="214" spans="1:11" x14ac:dyDescent="0.3">
      <c r="A214" s="16">
        <v>2007</v>
      </c>
      <c r="B214" s="6">
        <f>SUM(B51:B62)</f>
        <v>132346004</v>
      </c>
      <c r="C214" s="107">
        <f t="shared" si="14"/>
        <v>-1809766</v>
      </c>
      <c r="D214" s="109">
        <f t="shared" si="15"/>
        <v>-1.349003475586626E-2</v>
      </c>
      <c r="E214" s="109">
        <f>RATE(4,0,-B$210,B214)</f>
        <v>1.6121647059656956E-2</v>
      </c>
      <c r="F214" s="179"/>
      <c r="G214" s="179"/>
      <c r="H214"/>
      <c r="I214" s="6">
        <f>SUM(I51:I62)</f>
        <v>130912229.82131374</v>
      </c>
      <c r="J214" s="36">
        <f t="shared" si="12"/>
        <v>-1433774.1786862612</v>
      </c>
      <c r="K214" s="5">
        <f t="shared" si="13"/>
        <v>-1.0833528292144439E-2</v>
      </c>
    </row>
    <row r="215" spans="1:11" x14ac:dyDescent="0.3">
      <c r="A215">
        <v>2008</v>
      </c>
      <c r="B215" s="6">
        <f>SUM(B63:B74)</f>
        <v>131868017</v>
      </c>
      <c r="C215" s="107">
        <f t="shared" si="14"/>
        <v>-477987</v>
      </c>
      <c r="D215" s="109">
        <f t="shared" si="15"/>
        <v>-3.6116466349826477E-3</v>
      </c>
      <c r="E215" s="109">
        <f>RATE(5,0,-B$210,B215)</f>
        <v>1.2143968187770533E-2</v>
      </c>
      <c r="F215" s="179"/>
      <c r="G215" s="179"/>
      <c r="H215"/>
      <c r="I215" s="6">
        <f>SUM(I63:I74)</f>
        <v>129034583.02801484</v>
      </c>
      <c r="J215" s="36">
        <f t="shared" si="12"/>
        <v>-2833433.9719851613</v>
      </c>
      <c r="K215" s="5">
        <f t="shared" si="13"/>
        <v>-2.148689300442852E-2</v>
      </c>
    </row>
    <row r="216" spans="1:11" x14ac:dyDescent="0.3">
      <c r="A216" s="16">
        <v>2009</v>
      </c>
      <c r="B216" s="6">
        <f>SUM(B75:B86)</f>
        <v>128019505</v>
      </c>
      <c r="C216" s="107">
        <f t="shared" si="14"/>
        <v>-3848512</v>
      </c>
      <c r="D216" s="109">
        <f t="shared" si="15"/>
        <v>-2.9184574755529994E-2</v>
      </c>
      <c r="E216" s="109">
        <f>RATE(6,0,-B$210,B216)</f>
        <v>5.1356747601914686E-3</v>
      </c>
      <c r="F216" s="179"/>
      <c r="G216" s="179"/>
      <c r="H216"/>
      <c r="I216" s="6">
        <f>SUM(I75:I86)</f>
        <v>131485673.38214485</v>
      </c>
      <c r="J216" s="36">
        <f t="shared" si="12"/>
        <v>3466168.3821448535</v>
      </c>
      <c r="K216" s="5">
        <f t="shared" si="13"/>
        <v>2.7075314672907486E-2</v>
      </c>
    </row>
    <row r="217" spans="1:11" x14ac:dyDescent="0.3">
      <c r="A217">
        <v>2010</v>
      </c>
      <c r="B217" s="6">
        <f>SUM(B87:B98)</f>
        <v>131282103</v>
      </c>
      <c r="C217" s="107">
        <f t="shared" si="14"/>
        <v>3262598</v>
      </c>
      <c r="D217" s="109">
        <f t="shared" si="15"/>
        <v>2.5485163374128029E-2</v>
      </c>
      <c r="E217" s="109">
        <f>RATE(7,0,-B$210,B217)</f>
        <v>8.0178325628356955E-3</v>
      </c>
      <c r="F217" s="179"/>
      <c r="G217" s="179"/>
      <c r="H217"/>
      <c r="I217" s="6">
        <f>SUM(I87:I98)</f>
        <v>132259109.69887502</v>
      </c>
      <c r="J217" s="36">
        <f t="shared" si="12"/>
        <v>977006.69887502491</v>
      </c>
      <c r="K217" s="5">
        <f t="shared" si="13"/>
        <v>7.4420402823302196E-3</v>
      </c>
    </row>
    <row r="218" spans="1:11" x14ac:dyDescent="0.3">
      <c r="A218">
        <v>2011</v>
      </c>
      <c r="B218" s="6">
        <f>SUM(B99:B110)</f>
        <v>135695878</v>
      </c>
      <c r="C218" s="107">
        <f t="shared" si="14"/>
        <v>4413775</v>
      </c>
      <c r="D218" s="109">
        <f t="shared" si="15"/>
        <v>3.3620538513158951E-2</v>
      </c>
      <c r="E218" s="109">
        <f>RATE(8,0,-B$210,B218)</f>
        <v>1.1183162789080017E-2</v>
      </c>
      <c r="F218" s="179"/>
      <c r="G218" s="179"/>
      <c r="H218"/>
      <c r="I218" s="6">
        <f>SUM(I99:I110)</f>
        <v>132954630.9014684</v>
      </c>
      <c r="J218" s="36">
        <f t="shared" si="12"/>
        <v>-2741247.0985316038</v>
      </c>
      <c r="K218" s="5">
        <f t="shared" si="13"/>
        <v>-2.0201402864511504E-2</v>
      </c>
    </row>
    <row r="219" spans="1:11" x14ac:dyDescent="0.3">
      <c r="A219">
        <v>2012</v>
      </c>
      <c r="B219" s="6">
        <f>SUM(B111:B122)</f>
        <v>131590801</v>
      </c>
      <c r="C219" s="107">
        <f t="shared" si="14"/>
        <v>-4105077</v>
      </c>
      <c r="D219" s="109">
        <f t="shared" si="15"/>
        <v>-3.025203904867324E-2</v>
      </c>
      <c r="E219" s="109">
        <f>RATE(9,0,-B$210,B219)</f>
        <v>6.493175751213668E-3</v>
      </c>
      <c r="F219" s="179"/>
      <c r="G219" s="179"/>
      <c r="H219"/>
      <c r="I219" s="6">
        <f>SUM(I111:I122)</f>
        <v>132221104.74364957</v>
      </c>
      <c r="J219" s="36">
        <f t="shared" si="12"/>
        <v>630303.74364957213</v>
      </c>
      <c r="K219" s="5">
        <f t="shared" si="13"/>
        <v>4.7898769432186379E-3</v>
      </c>
    </row>
    <row r="220" spans="1:11" x14ac:dyDescent="0.3">
      <c r="A220">
        <v>2013</v>
      </c>
      <c r="B220" s="6">
        <f>SUM(B123:B134)</f>
        <v>132382128</v>
      </c>
      <c r="C220" s="107">
        <f t="shared" si="14"/>
        <v>791327</v>
      </c>
      <c r="D220" s="109">
        <f t="shared" si="15"/>
        <v>6.0135434543027062E-3</v>
      </c>
      <c r="E220" s="109">
        <f>RATE(10,0,-B$210,B220)</f>
        <v>6.4452022330804253E-3</v>
      </c>
      <c r="F220" s="179"/>
      <c r="G220" s="179"/>
      <c r="H220"/>
      <c r="I220" s="6">
        <f ca="1">SUM(I123:I134)</f>
        <v>132382386.48321056</v>
      </c>
      <c r="J220" s="36">
        <f t="shared" ca="1" si="12"/>
        <v>258.48321056365967</v>
      </c>
      <c r="K220" s="5">
        <f t="shared" ca="1" si="13"/>
        <v>1.9525536752488197E-6</v>
      </c>
    </row>
    <row r="221" spans="1:11" x14ac:dyDescent="0.3">
      <c r="A221">
        <v>2014</v>
      </c>
      <c r="B221" s="6">
        <f>SUM(B135:B146)</f>
        <v>133729082</v>
      </c>
      <c r="C221" s="107">
        <f t="shared" ref="C221" si="16">+B221-B220</f>
        <v>1346954</v>
      </c>
      <c r="D221" s="109">
        <f t="shared" ref="D221" si="17">+C221/B220</f>
        <v>1.0174742016535647E-2</v>
      </c>
      <c r="E221" s="109">
        <f>RATE(10,0,-B$210,B221)</f>
        <v>7.4645755866290337E-3</v>
      </c>
      <c r="F221" s="103"/>
      <c r="G221" s="179"/>
      <c r="H221"/>
      <c r="I221" s="6">
        <f>SUM(I135:I146)</f>
        <v>132915462.21163046</v>
      </c>
      <c r="J221" s="36">
        <f t="shared" si="12"/>
        <v>-813619.7883695364</v>
      </c>
      <c r="K221" s="5">
        <f t="shared" si="13"/>
        <v>-6.0840901335846784E-3</v>
      </c>
    </row>
    <row r="222" spans="1:11" x14ac:dyDescent="0.3">
      <c r="A222">
        <v>2015</v>
      </c>
      <c r="B222" s="6">
        <f t="shared" ref="B222:B226" ca="1" si="18">+I222</f>
        <v>132282595.81613873</v>
      </c>
      <c r="C222" s="107">
        <f t="shared" ca="1" si="14"/>
        <v>-1446486.1838612705</v>
      </c>
      <c r="D222" s="109">
        <f t="shared" ca="1" si="15"/>
        <v>-1.0816541639471289E-2</v>
      </c>
      <c r="E222" s="109">
        <f ca="1">RATE(12,0,-B$210,B222)</f>
        <v>5.3051116501502908E-3</v>
      </c>
      <c r="F222" s="103"/>
      <c r="G222" s="179"/>
      <c r="H222"/>
      <c r="I222" s="6">
        <f ca="1">SUM(I147:I158)</f>
        <v>132282595.81613873</v>
      </c>
      <c r="J222" s="36">
        <f t="shared" ca="1" si="12"/>
        <v>0</v>
      </c>
      <c r="K222" s="5">
        <f t="shared" ca="1" si="13"/>
        <v>0</v>
      </c>
    </row>
    <row r="223" spans="1:11" x14ac:dyDescent="0.3">
      <c r="A223">
        <v>2016</v>
      </c>
      <c r="B223" s="6">
        <f t="shared" ca="1" si="18"/>
        <v>132077711.4964664</v>
      </c>
      <c r="C223" s="107">
        <f t="shared" ca="1" si="14"/>
        <v>-204884.31967233121</v>
      </c>
      <c r="D223" s="109">
        <f t="shared" ca="1" si="15"/>
        <v>-1.5488380645107883E-3</v>
      </c>
      <c r="E223" s="109">
        <f ca="1">RATE(13,0,-B$210,B223)</f>
        <v>4.7762184542132656E-3</v>
      </c>
      <c r="F223" s="103"/>
      <c r="G223" s="179"/>
      <c r="H223"/>
      <c r="I223" s="6">
        <f ca="1">SUM(I159:I170)</f>
        <v>132077711.4964664</v>
      </c>
      <c r="J223" s="36">
        <f t="shared" ca="1" si="12"/>
        <v>0</v>
      </c>
      <c r="K223" s="5">
        <f t="shared" ca="1" si="13"/>
        <v>0</v>
      </c>
    </row>
    <row r="224" spans="1:11" x14ac:dyDescent="0.3">
      <c r="A224">
        <v>2017</v>
      </c>
      <c r="B224" s="6">
        <f t="shared" ca="1" si="18"/>
        <v>132459606.28527002</v>
      </c>
      <c r="C224" s="107">
        <f t="shared" ca="1" si="14"/>
        <v>381894.78880362213</v>
      </c>
      <c r="D224" s="109">
        <f t="shared" ca="1" si="15"/>
        <v>2.8914400808181728E-3</v>
      </c>
      <c r="E224" s="109">
        <f ca="1">RATE(14,0,-B$210,B224)</f>
        <v>4.6414740371293192E-3</v>
      </c>
      <c r="F224" s="103"/>
      <c r="G224" s="179"/>
      <c r="H224"/>
      <c r="I224" s="6">
        <f ca="1">SUM(I171:I182)</f>
        <v>132459606.28527002</v>
      </c>
      <c r="J224" s="36">
        <f t="shared" ca="1" si="12"/>
        <v>0</v>
      </c>
      <c r="K224" s="5">
        <f t="shared" ca="1" si="13"/>
        <v>0</v>
      </c>
    </row>
    <row r="225" spans="1:11" x14ac:dyDescent="0.3">
      <c r="A225">
        <v>2018</v>
      </c>
      <c r="B225" s="6">
        <f t="shared" ca="1" si="18"/>
        <v>132502094.17180824</v>
      </c>
      <c r="C225" s="107">
        <f t="shared" ca="1" si="14"/>
        <v>42487.886538222432</v>
      </c>
      <c r="D225" s="109">
        <f t="shared" ca="1" si="15"/>
        <v>3.2076108128178271E-4</v>
      </c>
      <c r="E225" s="109">
        <f ca="1">RATE(15,0,-B$210,B225)</f>
        <v>4.3528467830179184E-3</v>
      </c>
      <c r="F225" s="103"/>
      <c r="G225" s="179"/>
      <c r="H225"/>
      <c r="I225" s="6">
        <f ca="1">SUM(I183:I194)</f>
        <v>132502094.17180824</v>
      </c>
      <c r="J225" s="36">
        <f t="shared" ca="1" si="12"/>
        <v>0</v>
      </c>
      <c r="K225" s="5">
        <f t="shared" ca="1" si="13"/>
        <v>0</v>
      </c>
    </row>
    <row r="226" spans="1:11" x14ac:dyDescent="0.3">
      <c r="A226">
        <v>2019</v>
      </c>
      <c r="B226" s="6">
        <f t="shared" ca="1" si="18"/>
        <v>132605939.27232453</v>
      </c>
      <c r="C226" s="107">
        <f t="shared" ca="1" si="14"/>
        <v>103845.10051628947</v>
      </c>
      <c r="D226" s="109">
        <f t="shared" ca="1" si="15"/>
        <v>7.8372422085374129E-4</v>
      </c>
      <c r="E226" s="109">
        <f ca="1">RATE(16,0,-B$210,B226)</f>
        <v>4.1294041830674602E-3</v>
      </c>
      <c r="F226" s="103"/>
      <c r="G226" s="179"/>
      <c r="H226"/>
      <c r="I226" s="6">
        <f ca="1">SUM(I195:I206)</f>
        <v>132605939.27232453</v>
      </c>
      <c r="J226" s="36">
        <f t="shared" ca="1" si="12"/>
        <v>0</v>
      </c>
      <c r="K226" s="5">
        <f t="shared" ca="1" si="13"/>
        <v>0</v>
      </c>
    </row>
    <row r="227" spans="1:11" x14ac:dyDescent="0.3">
      <c r="C227" s="101"/>
      <c r="D227" s="179"/>
      <c r="F227" s="179"/>
      <c r="G227" s="179"/>
      <c r="H227"/>
      <c r="J227" s="179"/>
      <c r="K227" s="179"/>
    </row>
    <row r="228" spans="1:11" x14ac:dyDescent="0.3">
      <c r="A228" t="s">
        <v>9</v>
      </c>
      <c r="B228" s="6">
        <f ca="1">SUM(B210:B226)</f>
        <v>2248939406.0420079</v>
      </c>
      <c r="C228" s="101"/>
      <c r="D228" s="179"/>
      <c r="F228" s="179"/>
      <c r="G228" s="179"/>
      <c r="H228"/>
      <c r="I228" s="6">
        <f ca="1">SUM(I210:I226)</f>
        <v>2248939406.042007</v>
      </c>
      <c r="J228" s="183">
        <f ca="1">I228-B228</f>
        <v>0</v>
      </c>
      <c r="K228" s="179"/>
    </row>
    <row r="229" spans="1:11" x14ac:dyDescent="0.3">
      <c r="C229" s="179"/>
      <c r="D229" s="179"/>
      <c r="F229" s="179"/>
      <c r="G229" s="179"/>
      <c r="H229"/>
      <c r="I229" s="179"/>
      <c r="J229" s="62"/>
      <c r="K229" s="179"/>
    </row>
    <row r="230" spans="1:11" x14ac:dyDescent="0.3">
      <c r="C230" s="179"/>
      <c r="D230" s="179"/>
      <c r="F230" s="179"/>
      <c r="G230" s="179"/>
      <c r="H230"/>
      <c r="I230" s="6">
        <f ca="1">SUM(I210:I226)</f>
        <v>2248939406.042007</v>
      </c>
      <c r="J230" s="183">
        <f ca="1">I208-I230</f>
        <v>0</v>
      </c>
      <c r="K230" s="179"/>
    </row>
    <row r="231" spans="1:11" x14ac:dyDescent="0.3">
      <c r="C231" s="179"/>
      <c r="D231" s="179"/>
      <c r="F231" s="179"/>
      <c r="G231" s="179"/>
      <c r="H231"/>
      <c r="I231" s="23"/>
      <c r="J231" s="184" t="s">
        <v>69</v>
      </c>
      <c r="K231" s="18"/>
    </row>
    <row r="232" spans="1:11" x14ac:dyDescent="0.3">
      <c r="I232" s="11"/>
      <c r="J232" s="11"/>
      <c r="K232" s="11"/>
    </row>
    <row r="244" spans="9:11" x14ac:dyDescent="0.3">
      <c r="I244" s="11"/>
      <c r="J244" s="11"/>
      <c r="K244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workbookViewId="0"/>
  </sheetViews>
  <sheetFormatPr defaultRowHeight="12.45" x14ac:dyDescent="0.3"/>
  <cols>
    <col min="1" max="1" width="11.84375" customWidth="1"/>
    <col min="2" max="2" width="18" style="6" customWidth="1"/>
    <col min="3" max="3" width="12.3046875" style="1" bestFit="1" customWidth="1"/>
    <col min="4" max="4" width="13.3828125" style="1" customWidth="1"/>
    <col min="5" max="5" width="14.3828125" style="34" customWidth="1"/>
    <col min="6" max="6" width="10.15234375" style="1" customWidth="1"/>
    <col min="7" max="8" width="12.3828125" style="1" customWidth="1"/>
    <col min="9" max="9" width="14" style="6" bestFit="1" customWidth="1"/>
    <col min="10" max="10" width="21.53515625" style="6" customWidth="1"/>
    <col min="11" max="11" width="11.53515625" style="6" customWidth="1"/>
    <col min="12" max="12" width="9.3046875" style="6" customWidth="1"/>
    <col min="13" max="13" width="27.3046875" style="6" bestFit="1" customWidth="1"/>
    <col min="14" max="14" width="14.3046875" style="6" bestFit="1" customWidth="1"/>
    <col min="15" max="15" width="24.3828125" style="6" bestFit="1" customWidth="1"/>
    <col min="16" max="16" width="22.84375" style="6" bestFit="1" customWidth="1"/>
    <col min="17" max="17" width="9.69140625" style="6" bestFit="1" customWidth="1"/>
    <col min="18" max="18" width="14.53515625" bestFit="1" customWidth="1"/>
    <col min="19" max="19" width="15" bestFit="1" customWidth="1"/>
    <col min="20" max="20" width="14.53515625" bestFit="1" customWidth="1"/>
    <col min="21" max="21" width="15" bestFit="1" customWidth="1"/>
  </cols>
  <sheetData>
    <row r="2" spans="1:18" ht="42" customHeight="1" x14ac:dyDescent="0.3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2.9" thickBot="1" x14ac:dyDescent="0.35">
      <c r="A3" s="3">
        <v>37622</v>
      </c>
      <c r="B3" s="41">
        <v>23662140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570.66666666666663</v>
      </c>
      <c r="I3" s="192">
        <f>$N$18+C3*$N$19+D3*$N$20+E3*$N$21+F3*$N$22+G3*$N$23</f>
        <v>32717439.020360176</v>
      </c>
      <c r="J3" s="36">
        <f>I3-B3</f>
        <v>9055299.0203601755</v>
      </c>
      <c r="K3" s="5">
        <f>J3/B3</f>
        <v>0.38269146494611966</v>
      </c>
      <c r="M3"/>
      <c r="N3"/>
      <c r="O3"/>
      <c r="P3"/>
      <c r="Q3"/>
    </row>
    <row r="4" spans="1:18" ht="12.9" x14ac:dyDescent="0.35">
      <c r="A4" s="3">
        <v>37653</v>
      </c>
      <c r="B4" s="41">
        <v>28617624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568.33333333333326</v>
      </c>
      <c r="I4" s="192">
        <f t="shared" ref="I4:I67" si="0">$N$18+C4*$N$19+D4*$N$20+E4*$N$21+F4*$N$22+G4*$N$23</f>
        <v>33640463.728380173</v>
      </c>
      <c r="J4" s="36">
        <f t="shared" ref="J4:J67" si="1">I4-B4</f>
        <v>5022839.7283801734</v>
      </c>
      <c r="K4" s="5">
        <f t="shared" ref="K4:K67" si="2">J4/B4</f>
        <v>0.17551560983470094</v>
      </c>
      <c r="M4" s="53" t="s">
        <v>19</v>
      </c>
      <c r="N4" s="53"/>
      <c r="O4"/>
      <c r="P4"/>
      <c r="Q4"/>
    </row>
    <row r="5" spans="1:18" x14ac:dyDescent="0.3">
      <c r="A5" s="3">
        <v>37681</v>
      </c>
      <c r="B5" s="41">
        <v>27305059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565.99999999999989</v>
      </c>
      <c r="I5" s="192">
        <f t="shared" si="0"/>
        <v>30313939.892045919</v>
      </c>
      <c r="J5" s="36">
        <f t="shared" si="1"/>
        <v>3008880.8920459189</v>
      </c>
      <c r="K5" s="5">
        <f t="shared" si="2"/>
        <v>0.11019499690683396</v>
      </c>
      <c r="M5" s="35" t="s">
        <v>20</v>
      </c>
      <c r="N5" s="95">
        <v>0.60385519982762226</v>
      </c>
      <c r="O5"/>
      <c r="P5"/>
      <c r="Q5"/>
    </row>
    <row r="6" spans="1:18" x14ac:dyDescent="0.3">
      <c r="A6" s="3">
        <v>37712</v>
      </c>
      <c r="B6" s="41">
        <v>26547174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563.66666666666652</v>
      </c>
      <c r="I6" s="192">
        <f t="shared" si="0"/>
        <v>29276604.288357183</v>
      </c>
      <c r="J6" s="36">
        <f t="shared" si="1"/>
        <v>2729430.2883571833</v>
      </c>
      <c r="K6" s="5">
        <f t="shared" si="2"/>
        <v>0.10281434431993339</v>
      </c>
      <c r="M6" s="35" t="s">
        <v>21</v>
      </c>
      <c r="N6" s="95">
        <v>0.36464110235885755</v>
      </c>
      <c r="O6"/>
      <c r="P6"/>
      <c r="Q6"/>
    </row>
    <row r="7" spans="1:18" x14ac:dyDescent="0.3">
      <c r="A7" s="3">
        <v>37742</v>
      </c>
      <c r="B7" s="41">
        <v>25198381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561.33333333333314</v>
      </c>
      <c r="I7" s="192">
        <f t="shared" si="0"/>
        <v>26324407.723381806</v>
      </c>
      <c r="J7" s="36">
        <f t="shared" si="1"/>
        <v>1126026.7233818062</v>
      </c>
      <c r="K7" s="5">
        <f t="shared" si="2"/>
        <v>4.4686471062637165E-2</v>
      </c>
      <c r="M7" s="35" t="s">
        <v>22</v>
      </c>
      <c r="N7" s="95">
        <v>0.34162085244432339</v>
      </c>
      <c r="O7"/>
      <c r="P7"/>
      <c r="Q7"/>
    </row>
    <row r="8" spans="1:18" x14ac:dyDescent="0.3">
      <c r="A8" s="3">
        <v>37773</v>
      </c>
      <c r="B8" s="41">
        <v>16128368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558.99999999999977</v>
      </c>
      <c r="I8" s="192">
        <f t="shared" si="0"/>
        <v>26424949.455628619</v>
      </c>
      <c r="J8" s="36">
        <f t="shared" si="1"/>
        <v>10296581.455628619</v>
      </c>
      <c r="K8" s="5">
        <f t="shared" si="2"/>
        <v>0.63841434270526431</v>
      </c>
      <c r="M8" s="35" t="s">
        <v>23</v>
      </c>
      <c r="N8" s="67">
        <v>3206813.7206826052</v>
      </c>
      <c r="O8"/>
      <c r="P8"/>
      <c r="Q8"/>
    </row>
    <row r="9" spans="1:18" ht="12.9" thickBot="1" x14ac:dyDescent="0.35">
      <c r="A9" s="3">
        <v>37803</v>
      </c>
      <c r="B9" s="41">
        <v>18871062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556.6666666666664</v>
      </c>
      <c r="I9" s="192">
        <f t="shared" si="0"/>
        <v>25817347.600900929</v>
      </c>
      <c r="J9" s="36">
        <f t="shared" si="1"/>
        <v>6946285.6009009294</v>
      </c>
      <c r="K9" s="5">
        <f t="shared" si="2"/>
        <v>0.36809192831335774</v>
      </c>
      <c r="M9" s="51" t="s">
        <v>24</v>
      </c>
      <c r="N9" s="68">
        <v>144</v>
      </c>
      <c r="O9"/>
      <c r="P9"/>
      <c r="Q9"/>
    </row>
    <row r="10" spans="1:18" x14ac:dyDescent="0.3">
      <c r="A10" s="3">
        <v>37834</v>
      </c>
      <c r="B10" s="41">
        <v>20660581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554.33333333333303</v>
      </c>
      <c r="I10" s="192">
        <f t="shared" si="0"/>
        <v>27110621.275721874</v>
      </c>
      <c r="J10" s="36">
        <f t="shared" si="1"/>
        <v>6450040.2757218741</v>
      </c>
      <c r="K10" s="5">
        <f t="shared" si="2"/>
        <v>0.31219065309547073</v>
      </c>
      <c r="M10"/>
      <c r="N10"/>
      <c r="O10"/>
      <c r="P10"/>
      <c r="Q10"/>
    </row>
    <row r="11" spans="1:18" ht="12.9" thickBot="1" x14ac:dyDescent="0.35">
      <c r="A11" s="3">
        <v>37865</v>
      </c>
      <c r="B11" s="41">
        <v>19684349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551.99999999999966</v>
      </c>
      <c r="I11" s="192">
        <f t="shared" si="0"/>
        <v>25685396.519570991</v>
      </c>
      <c r="J11" s="36">
        <f t="shared" si="1"/>
        <v>6001047.5195709914</v>
      </c>
      <c r="K11" s="5">
        <f t="shared" si="2"/>
        <v>0.30486390581527445</v>
      </c>
      <c r="M11" t="s">
        <v>25</v>
      </c>
      <c r="N11"/>
      <c r="O11"/>
      <c r="P11"/>
      <c r="Q11"/>
    </row>
    <row r="12" spans="1:18" ht="12.9" x14ac:dyDescent="0.35">
      <c r="A12" s="3">
        <v>37895</v>
      </c>
      <c r="B12" s="41">
        <v>23357580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549.66666666666629</v>
      </c>
      <c r="I12" s="192">
        <f t="shared" si="0"/>
        <v>27145782.10448746</v>
      </c>
      <c r="J12" s="36">
        <f t="shared" si="1"/>
        <v>3788202.1044874601</v>
      </c>
      <c r="K12" s="5">
        <f t="shared" si="2"/>
        <v>0.16218298747076795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3">
      <c r="A13" s="3">
        <v>37926</v>
      </c>
      <c r="B13" s="41">
        <v>25075881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547.33333333333292</v>
      </c>
      <c r="I13" s="192">
        <f t="shared" si="0"/>
        <v>28867801.291188486</v>
      </c>
      <c r="J13" s="36">
        <f t="shared" si="1"/>
        <v>3791920.2911884859</v>
      </c>
      <c r="K13" s="5">
        <f t="shared" si="2"/>
        <v>0.15121782924350638</v>
      </c>
      <c r="M13" s="35" t="s">
        <v>26</v>
      </c>
      <c r="N13" s="67">
        <v>5</v>
      </c>
      <c r="O13" s="67">
        <v>814466183461473.75</v>
      </c>
      <c r="P13" s="67">
        <v>162893236692294.75</v>
      </c>
      <c r="Q13" s="67">
        <v>15.840014930882067</v>
      </c>
      <c r="R13" s="67">
        <v>2.5915138093342044E-12</v>
      </c>
    </row>
    <row r="14" spans="1:18" x14ac:dyDescent="0.3">
      <c r="A14" s="3">
        <v>37956</v>
      </c>
      <c r="B14" s="41">
        <v>26135926.5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545</v>
      </c>
      <c r="I14" s="192">
        <f t="shared" si="0"/>
        <v>30034877.566331062</v>
      </c>
      <c r="J14" s="36">
        <f t="shared" si="1"/>
        <v>3898951.0663310625</v>
      </c>
      <c r="K14" s="5">
        <f t="shared" si="2"/>
        <v>0.1491797532538616</v>
      </c>
      <c r="M14" s="35" t="s">
        <v>27</v>
      </c>
      <c r="N14" s="67">
        <v>138</v>
      </c>
      <c r="O14" s="67">
        <v>1419144285003833.2</v>
      </c>
      <c r="P14" s="67">
        <v>10283654239158.213</v>
      </c>
      <c r="Q14" s="67"/>
      <c r="R14" s="67"/>
    </row>
    <row r="15" spans="1:18" ht="12.9" thickBot="1" x14ac:dyDescent="0.35">
      <c r="A15" s="3">
        <v>37987</v>
      </c>
      <c r="B15" s="41">
        <v>31050925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546</v>
      </c>
      <c r="I15" s="192">
        <f t="shared" si="0"/>
        <v>33150181.436927903</v>
      </c>
      <c r="J15" s="36">
        <f t="shared" si="1"/>
        <v>2099256.4369279034</v>
      </c>
      <c r="K15" s="5">
        <f t="shared" si="2"/>
        <v>6.7606888906784693E-2</v>
      </c>
      <c r="M15" s="51" t="s">
        <v>9</v>
      </c>
      <c r="N15" s="68">
        <v>143</v>
      </c>
      <c r="O15" s="68">
        <v>2233610468465307</v>
      </c>
      <c r="P15" s="68"/>
      <c r="Q15" s="68"/>
      <c r="R15" s="68"/>
    </row>
    <row r="16" spans="1:18" ht="12.9" thickBot="1" x14ac:dyDescent="0.35">
      <c r="A16" s="3">
        <v>38018</v>
      </c>
      <c r="B16" s="41">
        <v>36406043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513</v>
      </c>
      <c r="I16" s="192">
        <f t="shared" si="0"/>
        <v>32180688.690029908</v>
      </c>
      <c r="J16" s="36">
        <f t="shared" si="1"/>
        <v>-4225354.309970092</v>
      </c>
      <c r="K16" s="5">
        <f t="shared" si="2"/>
        <v>-0.11606189417427464</v>
      </c>
      <c r="M16"/>
      <c r="N16"/>
      <c r="O16"/>
      <c r="P16"/>
      <c r="Q16"/>
    </row>
    <row r="17" spans="1:21" ht="12.9" x14ac:dyDescent="0.35">
      <c r="A17" s="3">
        <v>38047</v>
      </c>
      <c r="B17" s="41">
        <v>38126322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511</v>
      </c>
      <c r="I17" s="192">
        <f t="shared" si="0"/>
        <v>29363272.309536714</v>
      </c>
      <c r="J17" s="36">
        <f t="shared" si="1"/>
        <v>-8763049.6904632859</v>
      </c>
      <c r="K17" s="5">
        <f t="shared" si="2"/>
        <v>-0.22984251380091911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3">
      <c r="A18" s="3">
        <v>38078</v>
      </c>
      <c r="B18" s="41">
        <v>33666701.487578265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505</v>
      </c>
      <c r="I18" s="192">
        <f t="shared" si="0"/>
        <v>28553671.68761491</v>
      </c>
      <c r="J18" s="36">
        <f t="shared" si="1"/>
        <v>-5113029.7999633551</v>
      </c>
      <c r="K18" s="5">
        <f t="shared" si="2"/>
        <v>-0.15187201519726751</v>
      </c>
      <c r="M18" s="35" t="s">
        <v>28</v>
      </c>
      <c r="N18" s="67">
        <v>43354678.787721217</v>
      </c>
      <c r="O18" s="67">
        <v>10474270.370427968</v>
      </c>
      <c r="P18" s="67">
        <v>4.1391597939007365</v>
      </c>
      <c r="Q18" s="67">
        <v>6.0342649140512948E-5</v>
      </c>
      <c r="R18" s="67">
        <v>22643866.884118684</v>
      </c>
      <c r="S18" s="67">
        <v>64065490.69132375</v>
      </c>
      <c r="T18" s="67">
        <v>22643866.884118684</v>
      </c>
      <c r="U18" s="67">
        <v>64065490.69132375</v>
      </c>
    </row>
    <row r="19" spans="1:21" x14ac:dyDescent="0.3">
      <c r="A19" s="3">
        <v>38108</v>
      </c>
      <c r="B19" s="41">
        <v>28864544.396351375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504</v>
      </c>
      <c r="I19" s="192">
        <f t="shared" si="0"/>
        <v>26080596.838388499</v>
      </c>
      <c r="J19" s="36">
        <f t="shared" si="1"/>
        <v>-2783947.5579628758</v>
      </c>
      <c r="K19" s="5">
        <f t="shared" si="2"/>
        <v>-9.6448692199513145E-2</v>
      </c>
      <c r="M19" s="35" t="s">
        <v>3</v>
      </c>
      <c r="N19" s="67">
        <v>10791.029633985463</v>
      </c>
      <c r="O19" s="67">
        <v>1634.4703798311816</v>
      </c>
      <c r="P19" s="67">
        <v>6.6021567396651317</v>
      </c>
      <c r="Q19" s="67">
        <v>8.0595567915584716E-10</v>
      </c>
      <c r="R19" s="67">
        <v>7559.1855626059823</v>
      </c>
      <c r="S19" s="67">
        <v>14022.873705364944</v>
      </c>
      <c r="T19" s="67">
        <v>7559.1855626059823</v>
      </c>
      <c r="U19" s="67">
        <v>14022.873705364944</v>
      </c>
    </row>
    <row r="20" spans="1:21" x14ac:dyDescent="0.3">
      <c r="A20" s="3">
        <v>38139</v>
      </c>
      <c r="B20" s="41">
        <v>28787116.822719466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506</v>
      </c>
      <c r="I20" s="192">
        <f t="shared" si="0"/>
        <v>26129226.561443001</v>
      </c>
      <c r="J20" s="36">
        <f t="shared" si="1"/>
        <v>-2657890.2612764649</v>
      </c>
      <c r="K20" s="5">
        <f t="shared" si="2"/>
        <v>-9.2329158131556816E-2</v>
      </c>
      <c r="M20" s="35" t="s">
        <v>4</v>
      </c>
      <c r="N20" s="67">
        <v>26214.25813378095</v>
      </c>
      <c r="O20" s="67">
        <v>12644.291583953096</v>
      </c>
      <c r="P20" s="67">
        <v>2.0732089227560628</v>
      </c>
      <c r="Q20" s="67">
        <v>4.0012642464474169E-2</v>
      </c>
      <c r="R20" s="67">
        <v>1212.6555984000297</v>
      </c>
      <c r="S20" s="67">
        <v>51215.86066916187</v>
      </c>
      <c r="T20" s="67">
        <v>1212.6555984000297</v>
      </c>
      <c r="U20" s="67">
        <v>51215.86066916187</v>
      </c>
    </row>
    <row r="21" spans="1:21" x14ac:dyDescent="0.3">
      <c r="A21" s="3">
        <v>38169</v>
      </c>
      <c r="B21" s="41">
        <v>29929744.994740829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512</v>
      </c>
      <c r="I21" s="192">
        <f t="shared" si="0"/>
        <v>26103033.527753424</v>
      </c>
      <c r="J21" s="36">
        <f t="shared" si="1"/>
        <v>-3826711.466987405</v>
      </c>
      <c r="K21" s="5">
        <f t="shared" si="2"/>
        <v>-0.12785646745937274</v>
      </c>
      <c r="M21" s="35" t="s">
        <v>218</v>
      </c>
      <c r="N21" s="67">
        <v>29113651.76684121</v>
      </c>
      <c r="O21" s="67">
        <v>17949927.152995665</v>
      </c>
      <c r="P21" s="67">
        <v>1.6219370429022846</v>
      </c>
      <c r="Q21" s="67">
        <v>0.10709932084953798</v>
      </c>
      <c r="R21" s="67">
        <v>-6378802.7719154879</v>
      </c>
      <c r="S21" s="67">
        <v>64606106.305597909</v>
      </c>
      <c r="T21" s="67">
        <v>-6378802.7719154879</v>
      </c>
      <c r="U21" s="67">
        <v>64606106.305597909</v>
      </c>
    </row>
    <row r="22" spans="1:21" x14ac:dyDescent="0.3">
      <c r="A22" s="3">
        <v>38200</v>
      </c>
      <c r="B22" s="41">
        <v>32499982.567717485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512</v>
      </c>
      <c r="I22" s="192">
        <f t="shared" si="0"/>
        <v>25881391.796611208</v>
      </c>
      <c r="J22" s="36">
        <f t="shared" si="1"/>
        <v>-6618590.7711062767</v>
      </c>
      <c r="K22" s="5">
        <f t="shared" si="2"/>
        <v>-0.20364905603612785</v>
      </c>
      <c r="M22" s="35" t="s">
        <v>5</v>
      </c>
      <c r="N22" s="67">
        <v>-665577.38553385041</v>
      </c>
      <c r="O22" s="67">
        <v>342603.42653194437</v>
      </c>
      <c r="P22" s="67">
        <v>-1.9427049877208158</v>
      </c>
      <c r="Q22" s="67">
        <v>5.4088013640575576E-2</v>
      </c>
      <c r="R22" s="67">
        <v>-1343008.3543262752</v>
      </c>
      <c r="S22" s="67">
        <v>11853.583258574479</v>
      </c>
      <c r="T22" s="67">
        <v>-1343008.3543262752</v>
      </c>
      <c r="U22" s="67">
        <v>11853.583258574479</v>
      </c>
    </row>
    <row r="23" spans="1:21" ht="12.9" thickBot="1" x14ac:dyDescent="0.35">
      <c r="A23" s="3">
        <v>38231</v>
      </c>
      <c r="B23" s="41">
        <v>29189627.730892576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515</v>
      </c>
      <c r="I23" s="192">
        <f t="shared" si="0"/>
        <v>25980673.091799073</v>
      </c>
      <c r="J23" s="36">
        <f t="shared" si="1"/>
        <v>-3208954.6390935034</v>
      </c>
      <c r="K23" s="5">
        <f t="shared" si="2"/>
        <v>-0.10993475725959106</v>
      </c>
      <c r="M23" s="51" t="s">
        <v>17</v>
      </c>
      <c r="N23" s="68">
        <v>-99614.301458357761</v>
      </c>
      <c r="O23" s="68">
        <v>690883.88096085854</v>
      </c>
      <c r="P23" s="68">
        <v>-0.14418385520851559</v>
      </c>
      <c r="Q23" s="68">
        <v>0.88556563650538156</v>
      </c>
      <c r="R23" s="68">
        <v>-1465701.4464120758</v>
      </c>
      <c r="S23" s="68">
        <v>1266472.8434953601</v>
      </c>
      <c r="T23" s="68">
        <v>-1465701.4464120758</v>
      </c>
      <c r="U23" s="68">
        <v>1266472.8434953601</v>
      </c>
    </row>
    <row r="24" spans="1:21" x14ac:dyDescent="0.3">
      <c r="A24" s="3">
        <v>38261</v>
      </c>
      <c r="B24" s="41">
        <v>15440536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515</v>
      </c>
      <c r="I24" s="192">
        <f t="shared" si="0"/>
        <v>26846649.301176872</v>
      </c>
      <c r="J24" s="36">
        <f t="shared" si="1"/>
        <v>11406113.301176872</v>
      </c>
      <c r="K24" s="5">
        <f t="shared" si="2"/>
        <v>0.73871226369193865</v>
      </c>
      <c r="M24"/>
      <c r="N24"/>
      <c r="O24"/>
      <c r="P24"/>
      <c r="Q24"/>
    </row>
    <row r="25" spans="1:21" x14ac:dyDescent="0.3">
      <c r="A25" s="3">
        <v>38292</v>
      </c>
      <c r="B25" s="41">
        <v>25555031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513</v>
      </c>
      <c r="I25" s="192">
        <f t="shared" si="0"/>
        <v>29138434.852552332</v>
      </c>
      <c r="J25" s="36">
        <f t="shared" si="1"/>
        <v>3583403.852552332</v>
      </c>
      <c r="K25" s="5">
        <f t="shared" si="2"/>
        <v>0.14022302898213396</v>
      </c>
      <c r="M25"/>
      <c r="N25"/>
      <c r="O25"/>
      <c r="P25"/>
      <c r="Q25"/>
    </row>
    <row r="26" spans="1:21" x14ac:dyDescent="0.3">
      <c r="A26" s="3">
        <v>38322</v>
      </c>
      <c r="B26" s="41">
        <v>31115405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515</v>
      </c>
      <c r="I26" s="192">
        <f t="shared" si="0"/>
        <v>31181742.733974528</v>
      </c>
      <c r="J26" s="36">
        <f t="shared" si="1"/>
        <v>66337.733974527568</v>
      </c>
      <c r="K26" s="5">
        <f t="shared" si="2"/>
        <v>2.131990053625449E-3</v>
      </c>
      <c r="M26"/>
      <c r="N26"/>
      <c r="O26"/>
      <c r="P26"/>
      <c r="Q26"/>
    </row>
    <row r="27" spans="1:21" x14ac:dyDescent="0.3">
      <c r="A27" s="3">
        <v>38353</v>
      </c>
      <c r="B27" s="41">
        <v>37040836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515</v>
      </c>
      <c r="I27" s="192">
        <f t="shared" si="0"/>
        <v>32862675.35552058</v>
      </c>
      <c r="J27" s="36">
        <f t="shared" si="1"/>
        <v>-4178160.64447942</v>
      </c>
      <c r="K27" s="5">
        <f t="shared" si="2"/>
        <v>-0.11279876740577399</v>
      </c>
      <c r="M27"/>
      <c r="N27"/>
      <c r="O27"/>
      <c r="P27"/>
      <c r="Q27"/>
    </row>
    <row r="28" spans="1:21" x14ac:dyDescent="0.3">
      <c r="A28" s="3">
        <v>38384</v>
      </c>
      <c r="B28" s="41">
        <v>34565800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520</v>
      </c>
      <c r="I28" s="192">
        <f t="shared" si="0"/>
        <v>33176006.889220402</v>
      </c>
      <c r="J28" s="36">
        <f t="shared" si="1"/>
        <v>-1389793.1107795984</v>
      </c>
      <c r="K28" s="5">
        <f t="shared" si="2"/>
        <v>-4.0207173297872413E-2</v>
      </c>
    </row>
    <row r="29" spans="1:21" x14ac:dyDescent="0.3">
      <c r="A29" s="3">
        <v>38412</v>
      </c>
      <c r="B29" s="41">
        <v>32449972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512</v>
      </c>
      <c r="I29" s="192">
        <f t="shared" si="0"/>
        <v>30958800.899259854</v>
      </c>
      <c r="J29" s="36">
        <f t="shared" si="1"/>
        <v>-1491171.1007401459</v>
      </c>
      <c r="K29" s="5">
        <f t="shared" si="2"/>
        <v>-4.5952924111618519E-2</v>
      </c>
    </row>
    <row r="30" spans="1:21" x14ac:dyDescent="0.3">
      <c r="A30" s="3">
        <v>38443</v>
      </c>
      <c r="B30" s="41">
        <v>30732659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511</v>
      </c>
      <c r="I30" s="192">
        <f t="shared" si="0"/>
        <v>28632224.921493813</v>
      </c>
      <c r="J30" s="36">
        <f t="shared" si="1"/>
        <v>-2100434.0785061866</v>
      </c>
      <c r="K30" s="5">
        <f t="shared" si="2"/>
        <v>-6.8345341628467185E-2</v>
      </c>
    </row>
    <row r="31" spans="1:21" x14ac:dyDescent="0.3">
      <c r="A31" s="3">
        <v>38473</v>
      </c>
      <c r="B31" s="41">
        <v>26655787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513</v>
      </c>
      <c r="I31" s="192">
        <f t="shared" si="0"/>
        <v>26796131.377368886</v>
      </c>
      <c r="J31" s="36">
        <f t="shared" si="1"/>
        <v>140344.37736888602</v>
      </c>
      <c r="K31" s="5">
        <f t="shared" si="2"/>
        <v>5.2650622309101591E-3</v>
      </c>
    </row>
    <row r="32" spans="1:21" x14ac:dyDescent="0.3">
      <c r="A32" s="3">
        <v>38504</v>
      </c>
      <c r="B32" s="41">
        <v>27616081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513</v>
      </c>
      <c r="I32" s="192">
        <f t="shared" si="0"/>
        <v>27726016.195229217</v>
      </c>
      <c r="J32" s="36">
        <f t="shared" si="1"/>
        <v>109935.19522921741</v>
      </c>
      <c r="K32" s="5">
        <f t="shared" si="2"/>
        <v>3.9808398313003722E-3</v>
      </c>
    </row>
    <row r="33" spans="1:11" x14ac:dyDescent="0.3">
      <c r="A33" s="3">
        <v>38534</v>
      </c>
      <c r="B33" s="41">
        <v>27395622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518</v>
      </c>
      <c r="I33" s="192">
        <f t="shared" si="0"/>
        <v>28415779.746545058</v>
      </c>
      <c r="J33" s="36">
        <f t="shared" si="1"/>
        <v>1020157.7465450577</v>
      </c>
      <c r="K33" s="5">
        <f t="shared" si="2"/>
        <v>3.7237984468651883E-2</v>
      </c>
    </row>
    <row r="34" spans="1:11" x14ac:dyDescent="0.3">
      <c r="A34" s="3">
        <v>38565</v>
      </c>
      <c r="B34" s="41">
        <v>31319034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521</v>
      </c>
      <c r="I34" s="192">
        <f t="shared" si="0"/>
        <v>27212397.865330148</v>
      </c>
      <c r="J34" s="36">
        <f t="shared" si="1"/>
        <v>-4106636.1346698515</v>
      </c>
      <c r="K34" s="5">
        <f t="shared" si="2"/>
        <v>-0.13112269473796195</v>
      </c>
    </row>
    <row r="35" spans="1:11" x14ac:dyDescent="0.3">
      <c r="A35" s="3">
        <v>38596</v>
      </c>
      <c r="B35" s="41">
        <v>26590568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523</v>
      </c>
      <c r="I35" s="192">
        <f t="shared" si="0"/>
        <v>26203079.525312573</v>
      </c>
      <c r="J35" s="36">
        <f t="shared" si="1"/>
        <v>-387488.47468742728</v>
      </c>
      <c r="K35" s="5">
        <f t="shared" si="2"/>
        <v>-1.4572403067411997E-2</v>
      </c>
    </row>
    <row r="36" spans="1:11" x14ac:dyDescent="0.3">
      <c r="A36" s="3">
        <v>38626</v>
      </c>
      <c r="B36" s="41">
        <v>22998757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523</v>
      </c>
      <c r="I36" s="192">
        <f t="shared" si="0"/>
        <v>27000919.764244694</v>
      </c>
      <c r="J36" s="36">
        <f t="shared" si="1"/>
        <v>4002162.7642446943</v>
      </c>
      <c r="K36" s="5">
        <f t="shared" si="2"/>
        <v>0.17401648116220778</v>
      </c>
    </row>
    <row r="37" spans="1:11" x14ac:dyDescent="0.3">
      <c r="A37" s="3">
        <v>38657</v>
      </c>
      <c r="B37" s="41">
        <v>33595008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526</v>
      </c>
      <c r="I37" s="192">
        <f t="shared" si="0"/>
        <v>29538582.897768915</v>
      </c>
      <c r="J37" s="36">
        <f t="shared" si="1"/>
        <v>-4056425.1022310853</v>
      </c>
      <c r="K37" s="5">
        <f t="shared" si="2"/>
        <v>-0.12074487680524099</v>
      </c>
    </row>
    <row r="38" spans="1:11" x14ac:dyDescent="0.3">
      <c r="A38" s="3">
        <v>38687</v>
      </c>
      <c r="B38" s="41">
        <v>31002545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528</v>
      </c>
      <c r="I38" s="192">
        <f t="shared" si="0"/>
        <v>31590523.602898296</v>
      </c>
      <c r="J38" s="36">
        <f t="shared" si="1"/>
        <v>587978.60289829597</v>
      </c>
      <c r="K38" s="5">
        <f t="shared" si="2"/>
        <v>1.8965494700460751E-2</v>
      </c>
    </row>
    <row r="39" spans="1:11" x14ac:dyDescent="0.3">
      <c r="A39" s="3">
        <v>38718</v>
      </c>
      <c r="B39" s="38">
        <v>36089373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529</v>
      </c>
      <c r="I39" s="192">
        <f t="shared" si="0"/>
        <v>30695947.246240903</v>
      </c>
      <c r="J39" s="36">
        <f t="shared" si="1"/>
        <v>-5393425.7537590973</v>
      </c>
      <c r="K39" s="5">
        <f t="shared" si="2"/>
        <v>-0.14944636898399696</v>
      </c>
    </row>
    <row r="40" spans="1:11" x14ac:dyDescent="0.3">
      <c r="A40" s="3">
        <v>38749</v>
      </c>
      <c r="B40" s="38">
        <v>33765775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529</v>
      </c>
      <c r="I40" s="192">
        <f t="shared" si="0"/>
        <v>33238705.502322115</v>
      </c>
      <c r="J40" s="36">
        <f t="shared" si="1"/>
        <v>-527069.497677885</v>
      </c>
      <c r="K40" s="5">
        <f t="shared" si="2"/>
        <v>-1.560957797289963E-2</v>
      </c>
    </row>
    <row r="41" spans="1:11" x14ac:dyDescent="0.3">
      <c r="A41" s="3">
        <v>38777</v>
      </c>
      <c r="B41" s="38">
        <v>33429399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530</v>
      </c>
      <c r="I41" s="192">
        <f t="shared" si="0"/>
        <v>30335190.027640093</v>
      </c>
      <c r="J41" s="36">
        <f t="shared" si="1"/>
        <v>-3094208.9723599069</v>
      </c>
      <c r="K41" s="5">
        <f t="shared" si="2"/>
        <v>-9.2559515424130323E-2</v>
      </c>
    </row>
    <row r="42" spans="1:11" x14ac:dyDescent="0.3">
      <c r="A42" s="3">
        <v>38808</v>
      </c>
      <c r="B42" s="38">
        <v>29947160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518</v>
      </c>
      <c r="I42" s="192">
        <f t="shared" si="0"/>
        <v>28613880.171116039</v>
      </c>
      <c r="J42" s="36">
        <f t="shared" si="1"/>
        <v>-1333279.8288839608</v>
      </c>
      <c r="K42" s="5">
        <f t="shared" si="2"/>
        <v>-4.4521077420495325E-2</v>
      </c>
    </row>
    <row r="43" spans="1:11" x14ac:dyDescent="0.3">
      <c r="A43" s="3">
        <v>38838</v>
      </c>
      <c r="B43" s="38">
        <v>27235513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532</v>
      </c>
      <c r="I43" s="192">
        <f t="shared" si="0"/>
        <v>26654399.814962778</v>
      </c>
      <c r="J43" s="36">
        <f t="shared" si="1"/>
        <v>-581113.18503722176</v>
      </c>
      <c r="K43" s="5">
        <f t="shared" si="2"/>
        <v>-2.1336597736830651E-2</v>
      </c>
    </row>
    <row r="44" spans="1:11" x14ac:dyDescent="0.3">
      <c r="A44" s="3">
        <v>38869</v>
      </c>
      <c r="B44" s="38">
        <v>26536703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529</v>
      </c>
      <c r="I44" s="192">
        <f t="shared" si="0"/>
        <v>26414350.697187647</v>
      </c>
      <c r="J44" s="36">
        <f t="shared" si="1"/>
        <v>-122352.30281235278</v>
      </c>
      <c r="K44" s="5">
        <f t="shared" si="2"/>
        <v>-4.6106821488846135E-3</v>
      </c>
    </row>
    <row r="45" spans="1:11" x14ac:dyDescent="0.3">
      <c r="A45" s="3">
        <v>38899</v>
      </c>
      <c r="B45" s="38">
        <v>28103154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520</v>
      </c>
      <c r="I45" s="192">
        <f t="shared" si="0"/>
        <v>27482279.778355975</v>
      </c>
      <c r="J45" s="36">
        <f t="shared" si="1"/>
        <v>-620874.2216440253</v>
      </c>
      <c r="K45" s="5">
        <f t="shared" si="2"/>
        <v>-2.2092688302673261E-2</v>
      </c>
    </row>
    <row r="46" spans="1:11" x14ac:dyDescent="0.3">
      <c r="A46" s="3">
        <v>38930</v>
      </c>
      <c r="B46" s="38">
        <v>29283938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521</v>
      </c>
      <c r="I46" s="192">
        <f t="shared" si="0"/>
        <v>26842951.975956317</v>
      </c>
      <c r="J46" s="36">
        <f t="shared" si="1"/>
        <v>-2440986.024043683</v>
      </c>
      <c r="K46" s="5">
        <f t="shared" si="2"/>
        <v>-8.3355798118534566E-2</v>
      </c>
    </row>
    <row r="47" spans="1:11" x14ac:dyDescent="0.3">
      <c r="A47" s="3">
        <v>38961</v>
      </c>
      <c r="B47" s="38">
        <v>27098995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517</v>
      </c>
      <c r="I47" s="192">
        <f t="shared" si="0"/>
        <v>26105862.448463917</v>
      </c>
      <c r="J47" s="36">
        <f t="shared" si="1"/>
        <v>-993132.55153608322</v>
      </c>
      <c r="K47" s="5">
        <f t="shared" si="2"/>
        <v>-3.6648316719350045E-2</v>
      </c>
    </row>
    <row r="48" spans="1:11" x14ac:dyDescent="0.3">
      <c r="A48" s="3">
        <v>38991</v>
      </c>
      <c r="B48" s="38">
        <v>27332663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520</v>
      </c>
      <c r="I48" s="192">
        <f t="shared" si="0"/>
        <v>27535996.940584268</v>
      </c>
      <c r="J48" s="36">
        <f t="shared" si="1"/>
        <v>203333.94058426842</v>
      </c>
      <c r="K48" s="5">
        <f t="shared" si="2"/>
        <v>7.4392290492978465E-3</v>
      </c>
    </row>
    <row r="49" spans="1:11" x14ac:dyDescent="0.3">
      <c r="A49" s="3">
        <v>39022</v>
      </c>
      <c r="B49" s="38">
        <v>29112228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522</v>
      </c>
      <c r="I49" s="192">
        <f t="shared" si="0"/>
        <v>29204060.979115367</v>
      </c>
      <c r="J49" s="36">
        <f t="shared" si="1"/>
        <v>91832.979115366936</v>
      </c>
      <c r="K49" s="5">
        <f t="shared" si="2"/>
        <v>3.1544469600666408E-3</v>
      </c>
    </row>
    <row r="50" spans="1:11" x14ac:dyDescent="0.3">
      <c r="A50" s="3">
        <v>39052</v>
      </c>
      <c r="B50" s="38">
        <v>29151692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522</v>
      </c>
      <c r="I50" s="192">
        <f t="shared" si="0"/>
        <v>29760364.976974364</v>
      </c>
      <c r="J50" s="36">
        <f t="shared" si="1"/>
        <v>608672.97697436437</v>
      </c>
      <c r="K50" s="5">
        <f t="shared" si="2"/>
        <v>2.0879507679155102E-2</v>
      </c>
    </row>
    <row r="51" spans="1:11" x14ac:dyDescent="0.3">
      <c r="A51" s="3">
        <v>39083</v>
      </c>
      <c r="B51" s="38">
        <v>33465918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524</v>
      </c>
      <c r="I51" s="192">
        <f t="shared" si="0"/>
        <v>30711165.328953076</v>
      </c>
      <c r="J51" s="36">
        <f t="shared" si="1"/>
        <v>-2754752.6710469238</v>
      </c>
      <c r="K51" s="5">
        <f t="shared" si="2"/>
        <v>-8.2315168257058535E-2</v>
      </c>
    </row>
    <row r="52" spans="1:11" x14ac:dyDescent="0.3">
      <c r="A52" s="3">
        <v>39114</v>
      </c>
      <c r="B52" s="38">
        <v>35336054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525</v>
      </c>
      <c r="I52" s="192">
        <f t="shared" si="0"/>
        <v>34007137.45348648</v>
      </c>
      <c r="J52" s="36">
        <f t="shared" si="1"/>
        <v>-1328916.5465135202</v>
      </c>
      <c r="K52" s="5">
        <f t="shared" si="2"/>
        <v>-3.7607949843905045E-2</v>
      </c>
    </row>
    <row r="53" spans="1:11" x14ac:dyDescent="0.3">
      <c r="A53" s="3">
        <v>39142</v>
      </c>
      <c r="B53" s="38">
        <v>34240683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526</v>
      </c>
      <c r="I53" s="192">
        <f t="shared" si="0"/>
        <v>29584245.0063393</v>
      </c>
      <c r="J53" s="36">
        <f t="shared" si="1"/>
        <v>-4656437.9936606996</v>
      </c>
      <c r="K53" s="5">
        <f t="shared" si="2"/>
        <v>-0.13599138760347448</v>
      </c>
    </row>
    <row r="54" spans="1:11" x14ac:dyDescent="0.3">
      <c r="A54" s="3">
        <v>39173</v>
      </c>
      <c r="B54" s="38">
        <v>33142335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525</v>
      </c>
      <c r="I54" s="192">
        <f t="shared" si="0"/>
        <v>28031253.083860502</v>
      </c>
      <c r="J54" s="36">
        <f t="shared" si="1"/>
        <v>-5111081.9161394984</v>
      </c>
      <c r="K54" s="5">
        <f t="shared" si="2"/>
        <v>-0.15421610807263575</v>
      </c>
    </row>
    <row r="55" spans="1:11" x14ac:dyDescent="0.3">
      <c r="A55" s="3">
        <v>39203</v>
      </c>
      <c r="B55" s="38">
        <v>26518433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528</v>
      </c>
      <c r="I55" s="192">
        <f t="shared" si="0"/>
        <v>25243422.107913282</v>
      </c>
      <c r="J55" s="36">
        <f t="shared" si="1"/>
        <v>-1275010.8920867182</v>
      </c>
      <c r="K55" s="5">
        <f t="shared" si="2"/>
        <v>-4.8080174725509545E-2</v>
      </c>
    </row>
    <row r="56" spans="1:11" x14ac:dyDescent="0.3">
      <c r="A56" s="3">
        <v>39234</v>
      </c>
      <c r="B56" s="38">
        <v>26047050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530</v>
      </c>
      <c r="I56" s="192">
        <f t="shared" si="0"/>
        <v>26031794.726468056</v>
      </c>
      <c r="J56" s="36">
        <f t="shared" si="1"/>
        <v>-15255.27353194356</v>
      </c>
      <c r="K56" s="5">
        <f t="shared" si="2"/>
        <v>-5.8568143156110034E-4</v>
      </c>
    </row>
    <row r="57" spans="1:11" x14ac:dyDescent="0.3">
      <c r="A57" s="3">
        <v>39264</v>
      </c>
      <c r="B57" s="38">
        <v>27882022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514</v>
      </c>
      <c r="I57" s="192">
        <f t="shared" si="0"/>
        <v>25769448.645430658</v>
      </c>
      <c r="J57" s="36">
        <f t="shared" si="1"/>
        <v>-2112573.354569342</v>
      </c>
      <c r="K57" s="5">
        <f t="shared" si="2"/>
        <v>-7.5768298101527284E-2</v>
      </c>
    </row>
    <row r="58" spans="1:11" x14ac:dyDescent="0.3">
      <c r="A58" s="3">
        <v>39295</v>
      </c>
      <c r="B58" s="38">
        <v>29951980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515</v>
      </c>
      <c r="I58" s="192">
        <f t="shared" si="0"/>
        <v>26929829.531931598</v>
      </c>
      <c r="J58" s="36">
        <f t="shared" si="1"/>
        <v>-3022150.4680684023</v>
      </c>
      <c r="K58" s="5">
        <f t="shared" si="2"/>
        <v>-0.10089985597173884</v>
      </c>
    </row>
    <row r="59" spans="1:11" x14ac:dyDescent="0.3">
      <c r="A59" s="3">
        <v>39326</v>
      </c>
      <c r="B59" s="38">
        <v>27635468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520</v>
      </c>
      <c r="I59" s="192">
        <f t="shared" si="0"/>
        <v>25690351.704013795</v>
      </c>
      <c r="J59" s="36">
        <f t="shared" si="1"/>
        <v>-1945116.2959862053</v>
      </c>
      <c r="K59" s="5">
        <f t="shared" si="2"/>
        <v>-7.0384778574627549E-2</v>
      </c>
    </row>
    <row r="60" spans="1:11" x14ac:dyDescent="0.3">
      <c r="A60" s="3">
        <v>39356</v>
      </c>
      <c r="B60" s="38">
        <v>26870323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521</v>
      </c>
      <c r="I60" s="192">
        <f t="shared" si="0"/>
        <v>25493387.800340328</v>
      </c>
      <c r="J60" s="36">
        <f t="shared" si="1"/>
        <v>-1376935.1996596716</v>
      </c>
      <c r="K60" s="5">
        <f t="shared" si="2"/>
        <v>-5.1243715963506339E-2</v>
      </c>
    </row>
    <row r="61" spans="1:11" x14ac:dyDescent="0.3">
      <c r="A61" s="3">
        <v>39387</v>
      </c>
      <c r="B61" s="38">
        <v>28419439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522</v>
      </c>
      <c r="I61" s="192">
        <f t="shared" si="0"/>
        <v>28453138.086059488</v>
      </c>
      <c r="J61" s="36">
        <f t="shared" si="1"/>
        <v>33699.086059488356</v>
      </c>
      <c r="K61" s="5">
        <f t="shared" si="2"/>
        <v>1.1857759070996565E-3</v>
      </c>
    </row>
    <row r="62" spans="1:11" x14ac:dyDescent="0.3">
      <c r="A62" s="3">
        <v>39417</v>
      </c>
      <c r="B62" s="38">
        <v>29635015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524</v>
      </c>
      <c r="I62" s="192">
        <f t="shared" si="0"/>
        <v>28142922.404309455</v>
      </c>
      <c r="J62" s="36">
        <f t="shared" si="1"/>
        <v>-1492092.5956905447</v>
      </c>
      <c r="K62" s="5">
        <f t="shared" si="2"/>
        <v>-5.0348973863875039E-2</v>
      </c>
    </row>
    <row r="63" spans="1:11" x14ac:dyDescent="0.3">
      <c r="A63" s="3">
        <v>39448</v>
      </c>
      <c r="B63" s="42">
        <v>36162351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523</v>
      </c>
      <c r="I63" s="192">
        <f t="shared" si="0"/>
        <v>29313638.47837228</v>
      </c>
      <c r="J63" s="36">
        <f t="shared" si="1"/>
        <v>-6848712.5216277204</v>
      </c>
      <c r="K63" s="5">
        <f t="shared" si="2"/>
        <v>-0.18938792230703475</v>
      </c>
    </row>
    <row r="64" spans="1:11" x14ac:dyDescent="0.3">
      <c r="A64" s="3">
        <v>39479</v>
      </c>
      <c r="B64" s="42">
        <v>33275078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524</v>
      </c>
      <c r="I64" s="192">
        <f t="shared" si="0"/>
        <v>29401666.635604855</v>
      </c>
      <c r="J64" s="36">
        <f t="shared" si="1"/>
        <v>-3873411.3643951453</v>
      </c>
      <c r="K64" s="5">
        <f t="shared" si="2"/>
        <v>-0.11640577865497852</v>
      </c>
    </row>
    <row r="65" spans="1:17" x14ac:dyDescent="0.3">
      <c r="A65" s="3">
        <v>39508</v>
      </c>
      <c r="B65" s="42">
        <v>31871980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525</v>
      </c>
      <c r="I65" s="192">
        <f t="shared" si="0"/>
        <v>29183809.29393876</v>
      </c>
      <c r="J65" s="36">
        <f t="shared" si="1"/>
        <v>-2688170.7060612403</v>
      </c>
      <c r="K65" s="5">
        <f t="shared" si="2"/>
        <v>-8.4342758311885244E-2</v>
      </c>
    </row>
    <row r="66" spans="1:17" x14ac:dyDescent="0.3">
      <c r="A66" s="3">
        <v>39539</v>
      </c>
      <c r="B66" s="42">
        <v>33186256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526</v>
      </c>
      <c r="I66" s="192">
        <f t="shared" si="0"/>
        <v>27002536.036067888</v>
      </c>
      <c r="J66" s="36">
        <f t="shared" si="1"/>
        <v>-6183719.9639321119</v>
      </c>
      <c r="K66" s="5">
        <f t="shared" si="2"/>
        <v>-0.18633376310759828</v>
      </c>
    </row>
    <row r="67" spans="1:17" x14ac:dyDescent="0.3">
      <c r="A67" s="3">
        <v>39569</v>
      </c>
      <c r="B67" s="42">
        <v>24969219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528</v>
      </c>
      <c r="I67" s="192">
        <f t="shared" si="0"/>
        <v>26406021.240191545</v>
      </c>
      <c r="J67" s="36">
        <f t="shared" si="1"/>
        <v>1436802.2401915453</v>
      </c>
      <c r="K67" s="5">
        <f t="shared" si="2"/>
        <v>5.7542938775599885E-2</v>
      </c>
    </row>
    <row r="68" spans="1:17" x14ac:dyDescent="0.3">
      <c r="A68" s="3">
        <v>39600</v>
      </c>
      <c r="B68" s="42">
        <v>25615398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530</v>
      </c>
      <c r="I68" s="192">
        <f t="shared" ref="I68:I131" si="3">$N$18+C68*$N$19+D68*$N$20+E68*$N$21+F68*$N$22+G68*$N$23</f>
        <v>26327684.903735958</v>
      </c>
      <c r="J68" s="36">
        <f t="shared" ref="J68:J131" si="4">I68-B68</f>
        <v>712286.90373595804</v>
      </c>
      <c r="K68" s="5">
        <f t="shared" ref="K68:K131" si="5">J68/B68</f>
        <v>2.7806981712170081E-2</v>
      </c>
    </row>
    <row r="69" spans="1:17" x14ac:dyDescent="0.3">
      <c r="A69" s="3">
        <v>39630</v>
      </c>
      <c r="B69" s="42">
        <v>27378180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533</v>
      </c>
      <c r="I69" s="192">
        <f t="shared" si="3"/>
        <v>26321854.635365192</v>
      </c>
      <c r="J69" s="36">
        <f t="shared" si="4"/>
        <v>-1056325.3646348082</v>
      </c>
      <c r="K69" s="5">
        <f t="shared" si="5"/>
        <v>-3.8582745990960982E-2</v>
      </c>
    </row>
    <row r="70" spans="1:17" x14ac:dyDescent="0.3">
      <c r="A70" s="3">
        <v>39661</v>
      </c>
      <c r="B70" s="42">
        <v>28971090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530</v>
      </c>
      <c r="I70" s="192">
        <f t="shared" si="3"/>
        <v>25634230.68346611</v>
      </c>
      <c r="J70" s="36">
        <f t="shared" si="4"/>
        <v>-3336859.3165338896</v>
      </c>
      <c r="K70" s="5">
        <f t="shared" si="5"/>
        <v>-0.11517893584721492</v>
      </c>
    </row>
    <row r="71" spans="1:17" x14ac:dyDescent="0.3">
      <c r="A71" s="3">
        <v>39692</v>
      </c>
      <c r="B71" s="42">
        <v>26602363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532</v>
      </c>
      <c r="I71" s="192">
        <f t="shared" si="3"/>
        <v>26220123.667326294</v>
      </c>
      <c r="J71" s="36">
        <f t="shared" si="4"/>
        <v>-382239.33267370611</v>
      </c>
      <c r="K71" s="5">
        <f t="shared" si="5"/>
        <v>-1.436862329386702E-2</v>
      </c>
    </row>
    <row r="72" spans="1:17" x14ac:dyDescent="0.3">
      <c r="A72" s="3">
        <v>39722</v>
      </c>
      <c r="B72" s="42">
        <v>26492711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543</v>
      </c>
      <c r="I72" s="192">
        <f t="shared" si="3"/>
        <v>27142915.794723239</v>
      </c>
      <c r="J72" s="36">
        <f t="shared" si="4"/>
        <v>650204.7947232388</v>
      </c>
      <c r="K72" s="5">
        <f t="shared" si="5"/>
        <v>2.4542780643447129E-2</v>
      </c>
    </row>
    <row r="73" spans="1:17" x14ac:dyDescent="0.3">
      <c r="A73" s="3">
        <v>39753</v>
      </c>
      <c r="B73" s="42">
        <v>27491261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543</v>
      </c>
      <c r="I73" s="192">
        <f t="shared" si="3"/>
        <v>28517463.827209935</v>
      </c>
      <c r="J73" s="36">
        <f t="shared" si="4"/>
        <v>1026202.8272099346</v>
      </c>
      <c r="K73" s="5">
        <f t="shared" si="5"/>
        <v>3.7328328708164188E-2</v>
      </c>
    </row>
    <row r="74" spans="1:17" x14ac:dyDescent="0.3">
      <c r="A74" s="3">
        <v>39783</v>
      </c>
      <c r="B74" s="42">
        <v>30616263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543</v>
      </c>
      <c r="I74" s="192">
        <f t="shared" si="3"/>
        <v>29139593.105836239</v>
      </c>
      <c r="J74" s="36">
        <f t="shared" si="4"/>
        <v>-1476669.8941637613</v>
      </c>
      <c r="K74" s="5">
        <f t="shared" si="5"/>
        <v>-4.8231552432240386E-2</v>
      </c>
    </row>
    <row r="75" spans="1:17" s="14" customFormat="1" x14ac:dyDescent="0.3">
      <c r="A75" s="3">
        <v>39814</v>
      </c>
      <c r="B75" s="42">
        <v>36093357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543</v>
      </c>
      <c r="I75" s="192">
        <f t="shared" si="3"/>
        <v>32522514.511355925</v>
      </c>
      <c r="J75" s="36">
        <f t="shared" si="4"/>
        <v>-3570842.4886440746</v>
      </c>
      <c r="K75" s="5">
        <f t="shared" si="5"/>
        <v>-9.8933509804701031E-2</v>
      </c>
      <c r="L75" s="11"/>
      <c r="M75" s="11"/>
      <c r="N75" s="11"/>
      <c r="O75" s="11"/>
      <c r="P75" s="11"/>
      <c r="Q75" s="11"/>
    </row>
    <row r="76" spans="1:17" x14ac:dyDescent="0.3">
      <c r="A76" s="3">
        <v>39845</v>
      </c>
      <c r="B76" s="42">
        <v>35456866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544</v>
      </c>
      <c r="I76" s="192">
        <f t="shared" si="3"/>
        <v>33558845.030532777</v>
      </c>
      <c r="J76" s="36">
        <f t="shared" si="4"/>
        <v>-1898020.9694672227</v>
      </c>
      <c r="K76" s="5">
        <f t="shared" si="5"/>
        <v>-5.3530421145152045E-2</v>
      </c>
    </row>
    <row r="77" spans="1:17" x14ac:dyDescent="0.3">
      <c r="A77" s="3">
        <v>39873</v>
      </c>
      <c r="B77" s="42">
        <v>31646160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544</v>
      </c>
      <c r="I77" s="192">
        <f t="shared" si="3"/>
        <v>29810391.935509685</v>
      </c>
      <c r="J77" s="36">
        <f t="shared" si="4"/>
        <v>-1835768.0644903146</v>
      </c>
      <c r="K77" s="5">
        <f t="shared" si="5"/>
        <v>-5.8009188618471076E-2</v>
      </c>
    </row>
    <row r="78" spans="1:17" x14ac:dyDescent="0.3">
      <c r="A78" s="3">
        <v>39904</v>
      </c>
      <c r="B78" s="42">
        <v>28531933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544</v>
      </c>
      <c r="I78" s="192">
        <f t="shared" si="3"/>
        <v>29235969.374874011</v>
      </c>
      <c r="J78" s="36">
        <f t="shared" si="4"/>
        <v>704036.37487401068</v>
      </c>
      <c r="K78" s="5">
        <f t="shared" si="5"/>
        <v>2.4675383012921371E-2</v>
      </c>
    </row>
    <row r="79" spans="1:17" x14ac:dyDescent="0.3">
      <c r="A79" s="3">
        <v>39934</v>
      </c>
      <c r="B79" s="42">
        <v>28009980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546</v>
      </c>
      <c r="I79" s="192">
        <f t="shared" si="3"/>
        <v>27019721.030936453</v>
      </c>
      <c r="J79" s="36">
        <f t="shared" si="4"/>
        <v>-990258.96906354651</v>
      </c>
      <c r="K79" s="5">
        <f t="shared" si="5"/>
        <v>-3.5353790651173132E-2</v>
      </c>
    </row>
    <row r="80" spans="1:17" x14ac:dyDescent="0.3">
      <c r="A80" s="3">
        <v>39965</v>
      </c>
      <c r="B80" s="42">
        <v>25073792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548</v>
      </c>
      <c r="I80" s="192">
        <f t="shared" si="3"/>
        <v>27263594.181913927</v>
      </c>
      <c r="J80" s="36">
        <f t="shared" si="4"/>
        <v>2189802.1819139272</v>
      </c>
      <c r="K80" s="5">
        <f t="shared" si="5"/>
        <v>8.7334304357072401E-2</v>
      </c>
    </row>
    <row r="81" spans="1:17" x14ac:dyDescent="0.3">
      <c r="A81" s="3">
        <v>39995</v>
      </c>
      <c r="B81" s="42">
        <v>26726887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550</v>
      </c>
      <c r="I81" s="192">
        <f t="shared" si="3"/>
        <v>26339951.060097519</v>
      </c>
      <c r="J81" s="36">
        <f t="shared" si="4"/>
        <v>-386935.93990248069</v>
      </c>
      <c r="K81" s="5">
        <f t="shared" si="5"/>
        <v>-1.4477403967865045E-2</v>
      </c>
    </row>
    <row r="82" spans="1:17" x14ac:dyDescent="0.3">
      <c r="A82" s="3">
        <v>40026</v>
      </c>
      <c r="B82" s="42">
        <v>26947368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551</v>
      </c>
      <c r="I82" s="192">
        <f t="shared" si="3"/>
        <v>27665787.099221755</v>
      </c>
      <c r="J82" s="36">
        <f t="shared" si="4"/>
        <v>718419.09922175482</v>
      </c>
      <c r="K82" s="5">
        <f t="shared" si="5"/>
        <v>2.6660084176746122E-2</v>
      </c>
    </row>
    <row r="83" spans="1:17" x14ac:dyDescent="0.3">
      <c r="A83" s="3">
        <v>40057</v>
      </c>
      <c r="B83" s="42">
        <v>27865737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545</v>
      </c>
      <c r="I83" s="192">
        <f t="shared" si="3"/>
        <v>26988726.881583542</v>
      </c>
      <c r="J83" s="36">
        <f t="shared" si="4"/>
        <v>-877010.11841645837</v>
      </c>
      <c r="K83" s="5">
        <f t="shared" si="5"/>
        <v>-3.1472704935687087E-2</v>
      </c>
    </row>
    <row r="84" spans="1:17" x14ac:dyDescent="0.3">
      <c r="A84" s="3">
        <v>40087</v>
      </c>
      <c r="B84" s="42">
        <v>27561545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546</v>
      </c>
      <c r="I84" s="192">
        <f t="shared" si="3"/>
        <v>28640268.143022027</v>
      </c>
      <c r="J84" s="36">
        <f t="shared" si="4"/>
        <v>1078723.1430220269</v>
      </c>
      <c r="K84" s="5">
        <f t="shared" si="5"/>
        <v>3.9138703691031361E-2</v>
      </c>
    </row>
    <row r="85" spans="1:17" x14ac:dyDescent="0.3">
      <c r="A85" s="3">
        <v>40118</v>
      </c>
      <c r="B85" s="42">
        <v>27322370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524</v>
      </c>
      <c r="I85" s="192">
        <f t="shared" si="3"/>
        <v>29947911.791778013</v>
      </c>
      <c r="J85" s="36">
        <f t="shared" si="4"/>
        <v>2625541.7917780131</v>
      </c>
      <c r="K85" s="5">
        <f t="shared" si="5"/>
        <v>9.6094950466522971E-2</v>
      </c>
    </row>
    <row r="86" spans="1:17" s="31" customFormat="1" x14ac:dyDescent="0.3">
      <c r="A86" s="3">
        <v>40148</v>
      </c>
      <c r="B86" s="42">
        <v>28548306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507</v>
      </c>
      <c r="I86" s="192">
        <f t="shared" si="3"/>
        <v>32313871.459256377</v>
      </c>
      <c r="J86" s="36">
        <f t="shared" si="4"/>
        <v>3765565.4592563771</v>
      </c>
      <c r="K86" s="5">
        <f t="shared" si="5"/>
        <v>0.13190153766939366</v>
      </c>
      <c r="L86" s="27"/>
      <c r="M86" s="27"/>
      <c r="N86" s="27"/>
      <c r="O86" s="27"/>
      <c r="P86" s="27"/>
      <c r="Q86" s="27"/>
    </row>
    <row r="87" spans="1:17" x14ac:dyDescent="0.3">
      <c r="A87" s="3">
        <v>40179</v>
      </c>
      <c r="B87" s="41">
        <v>36972449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508</v>
      </c>
      <c r="I87" s="192">
        <f t="shared" si="3"/>
        <v>33273127.608982924</v>
      </c>
      <c r="J87" s="36">
        <f t="shared" si="4"/>
        <v>-3699321.3910170756</v>
      </c>
      <c r="K87" s="5">
        <f t="shared" si="5"/>
        <v>-0.10005616319917232</v>
      </c>
    </row>
    <row r="88" spans="1:17" x14ac:dyDescent="0.3">
      <c r="A88" s="3">
        <v>40210</v>
      </c>
      <c r="B88" s="41">
        <v>33008442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506</v>
      </c>
      <c r="I88" s="192">
        <f t="shared" si="3"/>
        <v>34017021.225078762</v>
      </c>
      <c r="J88" s="36">
        <f t="shared" si="4"/>
        <v>1008579.2250787616</v>
      </c>
      <c r="K88" s="5">
        <f t="shared" si="5"/>
        <v>3.0555190247354345E-2</v>
      </c>
    </row>
    <row r="89" spans="1:17" x14ac:dyDescent="0.3">
      <c r="A89" s="3">
        <v>40238</v>
      </c>
      <c r="B89" s="41">
        <v>33147432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508</v>
      </c>
      <c r="I89" s="192">
        <f t="shared" si="3"/>
        <v>30055984.846266162</v>
      </c>
      <c r="J89" s="36">
        <f t="shared" si="4"/>
        <v>-3091447.1537338383</v>
      </c>
      <c r="K89" s="5">
        <f t="shared" si="5"/>
        <v>-9.3263549156201248E-2</v>
      </c>
    </row>
    <row r="90" spans="1:17" x14ac:dyDescent="0.3">
      <c r="A90" s="3">
        <v>40269</v>
      </c>
      <c r="B90" s="41">
        <v>29422410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509</v>
      </c>
      <c r="I90" s="192">
        <f t="shared" si="3"/>
        <v>28803005.675857082</v>
      </c>
      <c r="J90" s="36">
        <f t="shared" si="4"/>
        <v>-619404.32414291799</v>
      </c>
      <c r="K90" s="5">
        <f t="shared" si="5"/>
        <v>-2.1052127413863038E-2</v>
      </c>
    </row>
    <row r="91" spans="1:17" x14ac:dyDescent="0.3">
      <c r="A91" s="3">
        <v>40299</v>
      </c>
      <c r="B91" s="41">
        <v>25425541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509</v>
      </c>
      <c r="I91" s="192">
        <f t="shared" si="3"/>
        <v>27425856.154790524</v>
      </c>
      <c r="J91" s="36">
        <f t="shared" si="4"/>
        <v>2000315.1547905244</v>
      </c>
      <c r="K91" s="5">
        <f t="shared" si="5"/>
        <v>7.8673454963673117E-2</v>
      </c>
    </row>
    <row r="92" spans="1:17" x14ac:dyDescent="0.3">
      <c r="A92" s="3">
        <v>40330</v>
      </c>
      <c r="B92" s="41">
        <v>27254989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510</v>
      </c>
      <c r="I92" s="192">
        <f t="shared" si="3"/>
        <v>27700539.150556497</v>
      </c>
      <c r="J92" s="36">
        <f t="shared" si="4"/>
        <v>445550.15055649728</v>
      </c>
      <c r="K92" s="5">
        <f t="shared" si="5"/>
        <v>1.6347471303565644E-2</v>
      </c>
    </row>
    <row r="93" spans="1:17" x14ac:dyDescent="0.3">
      <c r="A93" s="3">
        <v>40360</v>
      </c>
      <c r="B93" s="41">
        <v>27961321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510</v>
      </c>
      <c r="I93" s="192">
        <f t="shared" si="3"/>
        <v>28950595.276930604</v>
      </c>
      <c r="J93" s="36">
        <f t="shared" si="4"/>
        <v>989274.27693060413</v>
      </c>
      <c r="K93" s="5">
        <f t="shared" si="5"/>
        <v>3.5380097990742432E-2</v>
      </c>
    </row>
    <row r="94" spans="1:17" x14ac:dyDescent="0.3">
      <c r="A94" s="3">
        <v>40391</v>
      </c>
      <c r="B94" s="41">
        <v>29923295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512</v>
      </c>
      <c r="I94" s="192">
        <f t="shared" si="3"/>
        <v>28234330.146801565</v>
      </c>
      <c r="J94" s="36">
        <f t="shared" si="4"/>
        <v>-1688964.8531984352</v>
      </c>
      <c r="K94" s="5">
        <f t="shared" si="5"/>
        <v>-5.644314415235472E-2</v>
      </c>
    </row>
    <row r="95" spans="1:17" x14ac:dyDescent="0.3">
      <c r="A95" s="3">
        <v>40422</v>
      </c>
      <c r="B95" s="41">
        <v>28913713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512</v>
      </c>
      <c r="I95" s="192">
        <f t="shared" si="3"/>
        <v>27635818.557879016</v>
      </c>
      <c r="J95" s="36">
        <f t="shared" si="4"/>
        <v>-1277894.4421209842</v>
      </c>
      <c r="K95" s="5">
        <f t="shared" si="5"/>
        <v>-4.4196829446324803E-2</v>
      </c>
    </row>
    <row r="96" spans="1:17" x14ac:dyDescent="0.3">
      <c r="A96" s="3">
        <v>40452</v>
      </c>
      <c r="B96" s="41">
        <v>26962766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514</v>
      </c>
      <c r="I96" s="192">
        <f t="shared" si="3"/>
        <v>28003752.292331327</v>
      </c>
      <c r="J96" s="36">
        <f t="shared" si="4"/>
        <v>1040986.2923313268</v>
      </c>
      <c r="K96" s="5">
        <f t="shared" si="5"/>
        <v>3.8608290126143835E-2</v>
      </c>
    </row>
    <row r="97" spans="1:11" x14ac:dyDescent="0.3">
      <c r="A97" s="3">
        <v>40483</v>
      </c>
      <c r="B97" s="41">
        <v>27407704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515</v>
      </c>
      <c r="I97" s="192">
        <f t="shared" si="3"/>
        <v>30195181.268110722</v>
      </c>
      <c r="J97" s="36">
        <f t="shared" si="4"/>
        <v>2787477.2681107223</v>
      </c>
      <c r="K97" s="5">
        <f t="shared" si="5"/>
        <v>0.1017041510704699</v>
      </c>
    </row>
    <row r="98" spans="1:11" x14ac:dyDescent="0.3">
      <c r="A98" s="3">
        <v>40513</v>
      </c>
      <c r="B98" s="41">
        <v>28834162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518</v>
      </c>
      <c r="I98" s="192">
        <f t="shared" si="3"/>
        <v>32213669.781374749</v>
      </c>
      <c r="J98" s="36">
        <f t="shared" si="4"/>
        <v>3379507.7813747488</v>
      </c>
      <c r="K98" s="5">
        <f t="shared" si="5"/>
        <v>0.11720499390184284</v>
      </c>
    </row>
    <row r="99" spans="1:11" x14ac:dyDescent="0.3">
      <c r="A99" s="3">
        <v>40544</v>
      </c>
      <c r="B99" s="105">
        <v>35867354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58">
        <v>521</v>
      </c>
      <c r="I99" s="192">
        <f t="shared" si="3"/>
        <v>33494675.640153419</v>
      </c>
      <c r="J99" s="36">
        <f t="shared" si="4"/>
        <v>-2372678.3598465808</v>
      </c>
      <c r="K99" s="5">
        <f t="shared" si="5"/>
        <v>-6.615147467657026E-2</v>
      </c>
    </row>
    <row r="100" spans="1:11" x14ac:dyDescent="0.3">
      <c r="A100" s="3">
        <v>40575</v>
      </c>
      <c r="B100" s="105">
        <v>34706133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58">
        <v>522</v>
      </c>
      <c r="I100" s="192">
        <f t="shared" si="3"/>
        <v>34124184.342129014</v>
      </c>
      <c r="J100" s="36">
        <f t="shared" si="4"/>
        <v>-581948.65787098557</v>
      </c>
      <c r="K100" s="5">
        <f t="shared" si="5"/>
        <v>-1.6767891077665888E-2</v>
      </c>
    </row>
    <row r="101" spans="1:11" x14ac:dyDescent="0.3">
      <c r="A101" s="3">
        <v>40603</v>
      </c>
      <c r="B101" s="105">
        <v>34195997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58">
        <v>523</v>
      </c>
      <c r="I101" s="192">
        <f t="shared" si="3"/>
        <v>31224985.279300589</v>
      </c>
      <c r="J101" s="36">
        <f t="shared" si="4"/>
        <v>-2971011.7206994109</v>
      </c>
      <c r="K101" s="5">
        <f t="shared" si="5"/>
        <v>-8.6881856981663994E-2</v>
      </c>
    </row>
    <row r="102" spans="1:11" x14ac:dyDescent="0.3">
      <c r="A102" s="3">
        <v>40634</v>
      </c>
      <c r="B102" s="105">
        <v>30758731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58">
        <v>524</v>
      </c>
      <c r="I102" s="192">
        <f t="shared" si="3"/>
        <v>29722578.426631995</v>
      </c>
      <c r="J102" s="36">
        <f t="shared" si="4"/>
        <v>-1036152.5733680055</v>
      </c>
      <c r="K102" s="5">
        <f t="shared" si="5"/>
        <v>-3.3686453884199753E-2</v>
      </c>
    </row>
    <row r="103" spans="1:11" x14ac:dyDescent="0.3">
      <c r="A103" s="3">
        <v>40664</v>
      </c>
      <c r="B103" s="105">
        <v>27997717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58">
        <v>524</v>
      </c>
      <c r="I103" s="192">
        <f t="shared" si="3"/>
        <v>27046653.141550135</v>
      </c>
      <c r="J103" s="36">
        <f t="shared" si="4"/>
        <v>-951063.85844986513</v>
      </c>
      <c r="K103" s="5">
        <f t="shared" si="5"/>
        <v>-3.3969336087291156E-2</v>
      </c>
    </row>
    <row r="104" spans="1:11" x14ac:dyDescent="0.3">
      <c r="A104" s="3">
        <v>40695</v>
      </c>
      <c r="B104" s="105">
        <v>26350046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58">
        <v>520</v>
      </c>
      <c r="I104" s="192">
        <f t="shared" si="3"/>
        <v>27292126.148852184</v>
      </c>
      <c r="J104" s="36">
        <f t="shared" si="4"/>
        <v>942080.14885218441</v>
      </c>
      <c r="K104" s="5">
        <f t="shared" si="5"/>
        <v>3.5752504904628418E-2</v>
      </c>
    </row>
    <row r="105" spans="1:11" x14ac:dyDescent="0.3">
      <c r="A105" s="3">
        <v>40725</v>
      </c>
      <c r="B105" s="105">
        <v>27247765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58">
        <v>520</v>
      </c>
      <c r="I105" s="192">
        <f t="shared" si="3"/>
        <v>28550687.869567934</v>
      </c>
      <c r="J105" s="36">
        <f t="shared" si="4"/>
        <v>1302922.8695679344</v>
      </c>
      <c r="K105" s="5">
        <f t="shared" si="5"/>
        <v>4.7817605207910979E-2</v>
      </c>
    </row>
    <row r="106" spans="1:11" x14ac:dyDescent="0.3">
      <c r="A106" s="3">
        <v>40756</v>
      </c>
      <c r="B106" s="105">
        <v>30637032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58">
        <v>520</v>
      </c>
      <c r="I106" s="192">
        <f t="shared" si="3"/>
        <v>26997251.004566383</v>
      </c>
      <c r="J106" s="36">
        <f t="shared" si="4"/>
        <v>-3639780.9954336174</v>
      </c>
      <c r="K106" s="5">
        <f t="shared" si="5"/>
        <v>-0.11880331604685523</v>
      </c>
    </row>
    <row r="107" spans="1:11" x14ac:dyDescent="0.3">
      <c r="A107" s="3">
        <v>40787</v>
      </c>
      <c r="B107" s="105">
        <v>28868459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58">
        <v>520</v>
      </c>
      <c r="I107" s="192">
        <f t="shared" si="3"/>
        <v>26847734.179757461</v>
      </c>
      <c r="J107" s="36">
        <f t="shared" si="4"/>
        <v>-2020724.820242539</v>
      </c>
      <c r="K107" s="5">
        <f t="shared" si="5"/>
        <v>-6.9997668397975069E-2</v>
      </c>
    </row>
    <row r="108" spans="1:11" x14ac:dyDescent="0.3">
      <c r="A108" s="3">
        <v>40817</v>
      </c>
      <c r="B108" s="105">
        <v>25351951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522</v>
      </c>
      <c r="I108" s="192">
        <f t="shared" si="3"/>
        <v>27207794.741996665</v>
      </c>
      <c r="J108" s="36">
        <f t="shared" si="4"/>
        <v>1855843.7419966646</v>
      </c>
      <c r="K108" s="5">
        <f t="shared" si="5"/>
        <v>7.320319221178144E-2</v>
      </c>
    </row>
    <row r="109" spans="1:11" x14ac:dyDescent="0.3">
      <c r="A109" s="3">
        <v>40848</v>
      </c>
      <c r="B109" s="105">
        <v>28367772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522</v>
      </c>
      <c r="I109" s="192">
        <f t="shared" si="3"/>
        <v>29215776.21399831</v>
      </c>
      <c r="J109" s="36">
        <f t="shared" si="4"/>
        <v>848004.21399831027</v>
      </c>
      <c r="K109" s="5">
        <f t="shared" si="5"/>
        <v>2.9893225805618793E-2</v>
      </c>
    </row>
    <row r="110" spans="1:11" x14ac:dyDescent="0.3">
      <c r="A110" s="3">
        <v>40878</v>
      </c>
      <c r="B110" s="105">
        <v>29185418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523</v>
      </c>
      <c r="I110" s="192">
        <f t="shared" si="3"/>
        <v>30608385.008491177</v>
      </c>
      <c r="J110" s="36">
        <f t="shared" si="4"/>
        <v>1422967.0084911771</v>
      </c>
      <c r="K110" s="5">
        <f t="shared" si="5"/>
        <v>4.8756094858438452E-2</v>
      </c>
    </row>
    <row r="111" spans="1:11" x14ac:dyDescent="0.3">
      <c r="A111" s="3">
        <v>40909</v>
      </c>
      <c r="B111" s="105">
        <v>28235023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58">
        <v>522</v>
      </c>
      <c r="I111" s="192">
        <f t="shared" si="3"/>
        <v>31615077.432117421</v>
      </c>
      <c r="J111" s="36">
        <f t="shared" si="4"/>
        <v>3380054.4321174212</v>
      </c>
      <c r="K111" s="5">
        <f t="shared" si="5"/>
        <v>0.11971141061643269</v>
      </c>
    </row>
    <row r="112" spans="1:11" x14ac:dyDescent="0.3">
      <c r="A112" s="3">
        <v>40940</v>
      </c>
      <c r="B112" s="105">
        <v>35079314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58">
        <v>513</v>
      </c>
      <c r="I112" s="192">
        <f t="shared" si="3"/>
        <v>32139063.186563011</v>
      </c>
      <c r="J112" s="36">
        <f t="shared" si="4"/>
        <v>-2940250.8134369887</v>
      </c>
      <c r="K112" s="5">
        <f t="shared" si="5"/>
        <v>-8.3817226683423424E-2</v>
      </c>
    </row>
    <row r="113" spans="1:11" x14ac:dyDescent="0.3">
      <c r="A113" s="3">
        <v>40969</v>
      </c>
      <c r="B113" s="105">
        <v>30413589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58">
        <v>512</v>
      </c>
      <c r="I113" s="192">
        <f t="shared" si="3"/>
        <v>29232081.260107744</v>
      </c>
      <c r="J113" s="36">
        <f t="shared" si="4"/>
        <v>-1181507.7398922555</v>
      </c>
      <c r="K113" s="5">
        <f t="shared" si="5"/>
        <v>-3.8848020859762904E-2</v>
      </c>
    </row>
    <row r="114" spans="1:11" x14ac:dyDescent="0.3">
      <c r="A114" s="3">
        <v>41000</v>
      </c>
      <c r="B114" s="105">
        <v>29345737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508</v>
      </c>
      <c r="I114" s="192">
        <f t="shared" si="3"/>
        <v>29368787.552351713</v>
      </c>
      <c r="J114" s="36">
        <f t="shared" si="4"/>
        <v>23050.552351713181</v>
      </c>
      <c r="K114" s="5">
        <f t="shared" si="5"/>
        <v>7.8548214180864436E-4</v>
      </c>
    </row>
    <row r="115" spans="1:11" x14ac:dyDescent="0.3">
      <c r="A115" s="3">
        <v>41030</v>
      </c>
      <c r="B115" s="105">
        <v>26730719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497</v>
      </c>
      <c r="I115" s="192">
        <f t="shared" si="3"/>
        <v>26818642.64943919</v>
      </c>
      <c r="J115" s="36">
        <f t="shared" si="4"/>
        <v>87923.649439189583</v>
      </c>
      <c r="K115" s="5">
        <f t="shared" si="5"/>
        <v>3.2892362318869754E-3</v>
      </c>
    </row>
    <row r="116" spans="1:11" x14ac:dyDescent="0.3">
      <c r="A116" s="3">
        <v>41061</v>
      </c>
      <c r="B116" s="105">
        <v>25449891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496</v>
      </c>
      <c r="I116" s="192">
        <f t="shared" si="3"/>
        <v>27822787.803800866</v>
      </c>
      <c r="J116" s="36">
        <f t="shared" si="4"/>
        <v>2372896.803800866</v>
      </c>
      <c r="K116" s="5">
        <f t="shared" si="5"/>
        <v>9.3237994763940873E-2</v>
      </c>
    </row>
    <row r="117" spans="1:11" x14ac:dyDescent="0.3">
      <c r="A117" s="3">
        <v>41091</v>
      </c>
      <c r="B117" s="105">
        <v>28494354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58">
        <v>495</v>
      </c>
      <c r="I117" s="192">
        <f t="shared" si="3"/>
        <v>29383969.131596904</v>
      </c>
      <c r="J117" s="36">
        <f t="shared" si="4"/>
        <v>889615.13159690425</v>
      </c>
      <c r="K117" s="5">
        <f t="shared" si="5"/>
        <v>3.1220751016040028E-2</v>
      </c>
    </row>
    <row r="118" spans="1:11" x14ac:dyDescent="0.3">
      <c r="A118" s="3">
        <v>41122</v>
      </c>
      <c r="B118" s="105">
        <v>28711488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58">
        <v>496</v>
      </c>
      <c r="I118" s="192">
        <f t="shared" si="3"/>
        <v>28055201.109962936</v>
      </c>
      <c r="J118" s="36">
        <f t="shared" si="4"/>
        <v>-656286.89003706351</v>
      </c>
      <c r="K118" s="5">
        <f t="shared" si="5"/>
        <v>-2.2857989458333318E-2</v>
      </c>
    </row>
    <row r="119" spans="1:11" x14ac:dyDescent="0.3">
      <c r="A119" s="3">
        <v>41153</v>
      </c>
      <c r="B119" s="105">
        <v>30540135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58">
        <v>497</v>
      </c>
      <c r="I119" s="192">
        <f t="shared" si="3"/>
        <v>27424932.315215252</v>
      </c>
      <c r="J119" s="36">
        <f t="shared" si="4"/>
        <v>-3115202.6847847477</v>
      </c>
      <c r="K119" s="5">
        <f t="shared" si="5"/>
        <v>-0.10200356628367058</v>
      </c>
    </row>
    <row r="120" spans="1:11" x14ac:dyDescent="0.3">
      <c r="A120" s="3">
        <v>41183</v>
      </c>
      <c r="B120" s="105">
        <v>24133158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58">
        <v>499</v>
      </c>
      <c r="I120" s="192">
        <f t="shared" si="3"/>
        <v>27771767.283445556</v>
      </c>
      <c r="J120" s="36">
        <f t="shared" si="4"/>
        <v>3638609.2834455557</v>
      </c>
      <c r="K120" s="5">
        <f t="shared" si="5"/>
        <v>0.15077219829437805</v>
      </c>
    </row>
    <row r="121" spans="1:11" x14ac:dyDescent="0.3">
      <c r="A121" s="3">
        <v>41214</v>
      </c>
      <c r="B121" s="105">
        <v>26089243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58">
        <v>501</v>
      </c>
      <c r="I121" s="192">
        <f t="shared" si="3"/>
        <v>30583680.463179111</v>
      </c>
      <c r="J121" s="36">
        <f t="shared" si="4"/>
        <v>4494437.4631791115</v>
      </c>
      <c r="K121" s="5">
        <f t="shared" si="5"/>
        <v>0.17227167009710137</v>
      </c>
    </row>
    <row r="122" spans="1:11" x14ac:dyDescent="0.3">
      <c r="A122" s="3">
        <v>41244</v>
      </c>
      <c r="B122" s="105">
        <v>25119856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58">
        <v>500</v>
      </c>
      <c r="I122" s="192">
        <f t="shared" si="3"/>
        <v>30268069.266612086</v>
      </c>
      <c r="J122" s="36">
        <f t="shared" si="4"/>
        <v>5148213.2666120864</v>
      </c>
      <c r="K122" s="5">
        <f t="shared" si="5"/>
        <v>0.20494597049489799</v>
      </c>
    </row>
    <row r="123" spans="1:11" x14ac:dyDescent="0.3">
      <c r="A123" s="3">
        <v>41275</v>
      </c>
      <c r="B123" s="105">
        <v>34418610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58">
        <v>501</v>
      </c>
      <c r="I123" s="192">
        <f t="shared" si="3"/>
        <v>31924580.828408536</v>
      </c>
      <c r="J123" s="36">
        <f t="shared" si="4"/>
        <v>-2494029.1715914644</v>
      </c>
      <c r="K123" s="5">
        <f t="shared" si="5"/>
        <v>-7.2461647102874421E-2</v>
      </c>
    </row>
    <row r="124" spans="1:11" x14ac:dyDescent="0.3">
      <c r="A124" s="3">
        <v>41306</v>
      </c>
      <c r="B124" s="105">
        <v>32211539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58">
        <v>502</v>
      </c>
      <c r="I124" s="192">
        <f t="shared" si="3"/>
        <v>33879227.969437547</v>
      </c>
      <c r="J124" s="36">
        <f t="shared" si="4"/>
        <v>1667688.969437547</v>
      </c>
      <c r="K124" s="5">
        <f t="shared" si="5"/>
        <v>5.1773029827526934E-2</v>
      </c>
    </row>
    <row r="125" spans="1:11" x14ac:dyDescent="0.3">
      <c r="A125" s="3">
        <v>41334</v>
      </c>
      <c r="B125" s="105">
        <v>30830480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58">
        <v>500</v>
      </c>
      <c r="I125" s="192">
        <f t="shared" si="3"/>
        <v>31065278.040717598</v>
      </c>
      <c r="J125" s="36">
        <f t="shared" si="4"/>
        <v>234798.04071759805</v>
      </c>
      <c r="K125" s="5">
        <f t="shared" si="5"/>
        <v>7.6157763589019068E-3</v>
      </c>
    </row>
    <row r="126" spans="1:11" x14ac:dyDescent="0.3">
      <c r="A126" s="3">
        <v>41365</v>
      </c>
      <c r="B126" s="105">
        <v>29348080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58">
        <v>500</v>
      </c>
      <c r="I126" s="192">
        <f t="shared" si="3"/>
        <v>29397065.511849262</v>
      </c>
      <c r="J126" s="36">
        <f t="shared" si="4"/>
        <v>48985.51184926182</v>
      </c>
      <c r="K126" s="5">
        <f t="shared" si="5"/>
        <v>1.6691215183160814E-3</v>
      </c>
    </row>
    <row r="127" spans="1:11" x14ac:dyDescent="0.3">
      <c r="A127" s="3">
        <v>41395</v>
      </c>
      <c r="B127" s="105">
        <v>25907262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58">
        <v>499</v>
      </c>
      <c r="I127" s="192">
        <f t="shared" si="3"/>
        <v>26294741.893034745</v>
      </c>
      <c r="J127" s="36">
        <f t="shared" si="4"/>
        <v>387479.89303474501</v>
      </c>
      <c r="K127" s="5">
        <f t="shared" si="5"/>
        <v>1.4956420058389227E-2</v>
      </c>
    </row>
    <row r="128" spans="1:11" x14ac:dyDescent="0.3">
      <c r="A128" s="3">
        <v>41426</v>
      </c>
      <c r="B128" s="105">
        <v>24483469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58">
        <v>499</v>
      </c>
      <c r="I128" s="192">
        <f t="shared" si="3"/>
        <v>26848801.73565767</v>
      </c>
      <c r="J128" s="36">
        <f t="shared" si="4"/>
        <v>2365332.7356576696</v>
      </c>
      <c r="K128" s="5">
        <f t="shared" si="5"/>
        <v>9.6609378991909592E-2</v>
      </c>
    </row>
    <row r="129" spans="1:11" x14ac:dyDescent="0.3">
      <c r="A129" s="3">
        <v>41456</v>
      </c>
      <c r="B129" s="105">
        <v>26137250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58">
        <v>497</v>
      </c>
      <c r="I129" s="192">
        <f t="shared" si="3"/>
        <v>27457875.170821447</v>
      </c>
      <c r="J129" s="36">
        <f t="shared" si="4"/>
        <v>1320625.1708214469</v>
      </c>
      <c r="K129" s="5">
        <f t="shared" si="5"/>
        <v>5.0526553896123233E-2</v>
      </c>
    </row>
    <row r="130" spans="1:11" x14ac:dyDescent="0.3">
      <c r="A130" s="3">
        <v>41487</v>
      </c>
      <c r="B130" s="105">
        <v>27890707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58">
        <v>497</v>
      </c>
      <c r="I130" s="192">
        <f t="shared" si="3"/>
        <v>26163333.117635768</v>
      </c>
      <c r="J130" s="36">
        <f t="shared" si="4"/>
        <v>-1727373.8823642321</v>
      </c>
      <c r="K130" s="5">
        <f t="shared" si="5"/>
        <v>-6.1933671396864627E-2</v>
      </c>
    </row>
    <row r="131" spans="1:11" x14ac:dyDescent="0.3">
      <c r="A131" s="3">
        <v>41518</v>
      </c>
      <c r="B131" s="105">
        <v>26942611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58">
        <v>498</v>
      </c>
      <c r="I131" s="192">
        <f t="shared" si="3"/>
        <v>26546766.645134859</v>
      </c>
      <c r="J131" s="36">
        <f t="shared" si="4"/>
        <v>-395844.35486514121</v>
      </c>
      <c r="K131" s="5">
        <f t="shared" si="5"/>
        <v>-1.4692130427342073E-2</v>
      </c>
    </row>
    <row r="132" spans="1:11" x14ac:dyDescent="0.3">
      <c r="A132" s="3">
        <v>41548</v>
      </c>
      <c r="B132" s="105">
        <v>24270122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58">
        <v>499</v>
      </c>
      <c r="I132" s="192">
        <f t="shared" ref="I132:I195" si="6">$N$18+C132*$N$19+D132*$N$20+E132*$N$21+F132*$N$22+G132*$N$23</f>
        <v>27298263.39250556</v>
      </c>
      <c r="J132" s="36">
        <f t="shared" ref="J132:J133" si="7">I132-B132</f>
        <v>3028141.3925055601</v>
      </c>
      <c r="K132" s="5">
        <f t="shared" ref="K132:K133" si="8">J132/B132</f>
        <v>0.12476828062527086</v>
      </c>
    </row>
    <row r="133" spans="1:11" x14ac:dyDescent="0.3">
      <c r="A133" s="3">
        <v>41579</v>
      </c>
      <c r="B133" s="105">
        <v>27065074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58">
        <v>500</v>
      </c>
      <c r="I133" s="192">
        <f t="shared" si="6"/>
        <v>30449146.644673012</v>
      </c>
      <c r="J133" s="36">
        <f t="shared" si="7"/>
        <v>3384072.6446730122</v>
      </c>
      <c r="K133" s="5">
        <f t="shared" si="8"/>
        <v>0.12503467179409936</v>
      </c>
    </row>
    <row r="134" spans="1:11" x14ac:dyDescent="0.3">
      <c r="A134" s="3">
        <v>41609</v>
      </c>
      <c r="B134" s="105">
        <v>27618464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58">
        <v>500</v>
      </c>
      <c r="I134" s="192">
        <f t="shared" ca="1" si="6"/>
        <v>30036416.181400117</v>
      </c>
      <c r="J134" s="36">
        <f t="shared" ref="J134" ca="1" si="9">I134-B134</f>
        <v>2417952.1814001165</v>
      </c>
      <c r="K134" s="5">
        <f t="shared" ref="K134" ca="1" si="10">J134/B134</f>
        <v>8.754839448711256E-2</v>
      </c>
    </row>
    <row r="135" spans="1:11" x14ac:dyDescent="0.3">
      <c r="A135" s="3">
        <v>41640</v>
      </c>
      <c r="B135" s="6">
        <v>33854237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0">
        <v>500</v>
      </c>
      <c r="I135" s="192">
        <f t="shared" si="6"/>
        <v>33286652.178911615</v>
      </c>
      <c r="J135" s="36"/>
      <c r="K135" s="5"/>
    </row>
    <row r="136" spans="1:11" x14ac:dyDescent="0.3">
      <c r="A136" s="3">
        <v>41671</v>
      </c>
      <c r="B136" s="6">
        <v>32529286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0">
        <v>502</v>
      </c>
      <c r="I136" s="192">
        <f t="shared" si="6"/>
        <v>34415246.001459032</v>
      </c>
      <c r="J136" s="36"/>
      <c r="K136" s="5"/>
    </row>
    <row r="137" spans="1:11" x14ac:dyDescent="0.3">
      <c r="A137" s="3">
        <v>41699</v>
      </c>
      <c r="B137" s="6">
        <v>31366719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0">
        <v>502</v>
      </c>
      <c r="I137" s="192">
        <f t="shared" si="6"/>
        <v>32179695.261120711</v>
      </c>
      <c r="J137" s="36"/>
      <c r="K137" s="5"/>
    </row>
    <row r="138" spans="1:11" x14ac:dyDescent="0.3">
      <c r="A138" s="3">
        <v>41730</v>
      </c>
      <c r="B138" s="6">
        <v>31958118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0">
        <v>502</v>
      </c>
      <c r="I138" s="192">
        <f t="shared" si="6"/>
        <v>29245066.891724505</v>
      </c>
      <c r="J138" s="36"/>
      <c r="K138" s="5"/>
    </row>
    <row r="139" spans="1:11" x14ac:dyDescent="0.3">
      <c r="A139" s="3">
        <v>41760</v>
      </c>
      <c r="B139" s="6">
        <v>24352112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0">
        <v>503</v>
      </c>
      <c r="I139" s="192">
        <f t="shared" si="6"/>
        <v>26338818.994920436</v>
      </c>
      <c r="J139" s="36"/>
      <c r="K139" s="5"/>
    </row>
    <row r="140" spans="1:11" x14ac:dyDescent="0.3">
      <c r="A140" s="3">
        <v>41791</v>
      </c>
      <c r="B140" s="6">
        <v>25649882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0">
        <v>504</v>
      </c>
      <c r="I140" s="192">
        <f t="shared" si="6"/>
        <v>26679442.33840289</v>
      </c>
      <c r="J140" s="36"/>
      <c r="K140" s="5"/>
    </row>
    <row r="141" spans="1:11" x14ac:dyDescent="0.3">
      <c r="A141" s="3">
        <v>41821</v>
      </c>
      <c r="B141" s="6">
        <v>25344904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0">
        <v>504</v>
      </c>
      <c r="I141" s="192">
        <f t="shared" si="6"/>
        <v>26469309.749042485</v>
      </c>
      <c r="J141" s="36"/>
      <c r="K141" s="5"/>
    </row>
    <row r="142" spans="1:11" x14ac:dyDescent="0.3">
      <c r="A142" s="3">
        <v>41852</v>
      </c>
      <c r="B142" s="6">
        <v>26211243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0">
        <v>505</v>
      </c>
      <c r="I142" s="192">
        <f t="shared" si="6"/>
        <v>26591890.418562699</v>
      </c>
      <c r="J142" s="36"/>
      <c r="K142" s="5"/>
    </row>
    <row r="143" spans="1:11" x14ac:dyDescent="0.3">
      <c r="A143" s="3">
        <v>41883</v>
      </c>
      <c r="B143" s="6">
        <v>26381349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0">
        <v>504</v>
      </c>
      <c r="I143" s="192">
        <f t="shared" si="6"/>
        <v>26925426.956207827</v>
      </c>
      <c r="J143" s="36"/>
      <c r="K143" s="5"/>
    </row>
    <row r="144" spans="1:11" x14ac:dyDescent="0.3">
      <c r="A144" s="3">
        <v>41913</v>
      </c>
      <c r="B144" s="6">
        <v>23993234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0">
        <v>504</v>
      </c>
      <c r="I144" s="192">
        <f t="shared" si="6"/>
        <v>26978214.345523488</v>
      </c>
      <c r="J144" s="36"/>
      <c r="K144" s="5"/>
    </row>
    <row r="145" spans="1:11" x14ac:dyDescent="0.3">
      <c r="A145" s="3">
        <v>41944</v>
      </c>
      <c r="B145" s="6">
        <v>26707258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0">
        <v>504</v>
      </c>
      <c r="I145" s="192">
        <f t="shared" si="6"/>
        <v>29691771.262081668</v>
      </c>
      <c r="J145" s="36"/>
      <c r="K145" s="5"/>
    </row>
    <row r="146" spans="1:11" x14ac:dyDescent="0.3">
      <c r="A146" s="3">
        <v>41974</v>
      </c>
      <c r="B146" s="6">
        <v>28057772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0">
        <v>505</v>
      </c>
      <c r="I146" s="192">
        <f t="shared" si="6"/>
        <v>30685111.960117076</v>
      </c>
      <c r="J146" s="36"/>
      <c r="K146" s="5"/>
    </row>
    <row r="147" spans="1:11" x14ac:dyDescent="0.3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0"/>
      <c r="I147" s="192">
        <f t="shared" ca="1" si="6"/>
        <v>32084551.799335349</v>
      </c>
      <c r="J147" s="36"/>
      <c r="K147" s="5"/>
    </row>
    <row r="148" spans="1:11" x14ac:dyDescent="0.3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0"/>
      <c r="I148" s="192">
        <f t="shared" ca="1" si="6"/>
        <v>33332456.246130787</v>
      </c>
      <c r="J148" s="36"/>
      <c r="K148" s="5"/>
    </row>
    <row r="149" spans="1:11" x14ac:dyDescent="0.3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0"/>
      <c r="I149" s="192">
        <f t="shared" ca="1" si="6"/>
        <v>31116036.730811726</v>
      </c>
      <c r="J149" s="36"/>
      <c r="K149" s="5"/>
    </row>
    <row r="150" spans="1:11" x14ac:dyDescent="0.3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0"/>
      <c r="I150" s="192">
        <f t="shared" ca="1" si="6"/>
        <v>28898202.455215096</v>
      </c>
      <c r="J150" s="36"/>
      <c r="K150" s="5"/>
    </row>
    <row r="151" spans="1:11" x14ac:dyDescent="0.3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0"/>
      <c r="I151" s="192">
        <f t="shared" ca="1" si="6"/>
        <v>26318887.155119259</v>
      </c>
      <c r="J151" s="36"/>
      <c r="K151" s="5"/>
    </row>
    <row r="152" spans="1:11" x14ac:dyDescent="0.3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0"/>
      <c r="I152" s="192">
        <f t="shared" ca="1" si="6"/>
        <v>27284672.083826452</v>
      </c>
      <c r="J152" s="36"/>
      <c r="K152" s="5"/>
    </row>
    <row r="153" spans="1:11" x14ac:dyDescent="0.3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0"/>
      <c r="I153" s="192">
        <f t="shared" ca="1" si="6"/>
        <v>26997773.043079477</v>
      </c>
      <c r="J153" s="36"/>
      <c r="K153" s="5"/>
    </row>
    <row r="154" spans="1:11" x14ac:dyDescent="0.3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0"/>
      <c r="I154" s="192">
        <f t="shared" ca="1" si="6"/>
        <v>27153176.208663564</v>
      </c>
      <c r="J154" s="36"/>
      <c r="K154" s="5"/>
    </row>
    <row r="155" spans="1:11" x14ac:dyDescent="0.3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0"/>
      <c r="I155" s="192">
        <f t="shared" ca="1" si="6"/>
        <v>27000052.001539901</v>
      </c>
      <c r="J155" s="36"/>
      <c r="K155" s="5"/>
    </row>
    <row r="156" spans="1:11" x14ac:dyDescent="0.3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0"/>
      <c r="I156" s="192">
        <f t="shared" ca="1" si="6"/>
        <v>26954066.558108035</v>
      </c>
      <c r="J156" s="36"/>
      <c r="K156" s="5"/>
    </row>
    <row r="157" spans="1:11" x14ac:dyDescent="0.3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0"/>
      <c r="I157" s="192">
        <f t="shared" ca="1" si="6"/>
        <v>29378859.771385342</v>
      </c>
      <c r="J157" s="36"/>
      <c r="K157" s="5"/>
    </row>
    <row r="158" spans="1:11" x14ac:dyDescent="0.3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0"/>
      <c r="I158" s="192">
        <f t="shared" ca="1" si="6"/>
        <v>30157901.088391054</v>
      </c>
      <c r="J158" s="36"/>
      <c r="K158" s="5"/>
    </row>
    <row r="159" spans="1:11" x14ac:dyDescent="0.3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0"/>
      <c r="I159" s="192">
        <f t="shared" ca="1" si="6"/>
        <v>31984747.769533854</v>
      </c>
      <c r="J159" s="36"/>
      <c r="K159" s="5"/>
    </row>
    <row r="160" spans="1:11" x14ac:dyDescent="0.3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0"/>
      <c r="I160" s="192">
        <f t="shared" ca="1" si="6"/>
        <v>32568889.805934403</v>
      </c>
      <c r="J160" s="36"/>
      <c r="K160" s="5"/>
    </row>
    <row r="161" spans="1:11" x14ac:dyDescent="0.3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0"/>
      <c r="I161" s="192">
        <f t="shared" ca="1" si="6"/>
        <v>31018338.703859475</v>
      </c>
      <c r="J161" s="36"/>
      <c r="K161" s="5"/>
    </row>
    <row r="162" spans="1:11" x14ac:dyDescent="0.3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0"/>
      <c r="I162" s="192">
        <f t="shared" ca="1" si="6"/>
        <v>28815675.387327597</v>
      </c>
      <c r="J162" s="36"/>
      <c r="K162" s="5"/>
    </row>
    <row r="163" spans="1:11" x14ac:dyDescent="0.3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0"/>
      <c r="I163" s="192">
        <f t="shared" ca="1" si="6"/>
        <v>26241593.293892022</v>
      </c>
      <c r="J163" s="36"/>
      <c r="K163" s="5"/>
    </row>
    <row r="164" spans="1:11" x14ac:dyDescent="0.3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0"/>
      <c r="I164" s="192">
        <f t="shared" ca="1" si="6"/>
        <v>27224643.756694414</v>
      </c>
      <c r="J164" s="36"/>
      <c r="K164" s="5"/>
    </row>
    <row r="165" spans="1:11" x14ac:dyDescent="0.3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0"/>
      <c r="I165" s="192">
        <f t="shared" ca="1" si="6"/>
        <v>26919836.384627651</v>
      </c>
      <c r="J165" s="36"/>
      <c r="K165" s="5"/>
    </row>
    <row r="166" spans="1:11" x14ac:dyDescent="0.3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0"/>
      <c r="I166" s="192">
        <f t="shared" ca="1" si="6"/>
        <v>27076418.454322074</v>
      </c>
      <c r="J166" s="36"/>
      <c r="K166" s="5"/>
    </row>
    <row r="167" spans="1:11" x14ac:dyDescent="0.3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0"/>
      <c r="I167" s="192">
        <f t="shared" ca="1" si="6"/>
        <v>26908795.227304421</v>
      </c>
      <c r="J167" s="36"/>
      <c r="K167" s="5"/>
    </row>
    <row r="168" spans="1:11" x14ac:dyDescent="0.3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0"/>
      <c r="I168" s="192">
        <f t="shared" ca="1" si="6"/>
        <v>26679673.487613749</v>
      </c>
      <c r="J168" s="36"/>
      <c r="K168" s="5"/>
    </row>
    <row r="169" spans="1:11" x14ac:dyDescent="0.3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0"/>
      <c r="I169" s="192">
        <f t="shared" ca="1" si="6"/>
        <v>29099974.032867283</v>
      </c>
      <c r="J169" s="36"/>
      <c r="K169" s="5"/>
    </row>
    <row r="170" spans="1:11" x14ac:dyDescent="0.3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0"/>
      <c r="I170" s="192">
        <f t="shared" ca="1" si="6"/>
        <v>29875755.388312031</v>
      </c>
      <c r="J170" s="36"/>
      <c r="K170" s="5"/>
    </row>
    <row r="171" spans="1:11" x14ac:dyDescent="0.3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0"/>
      <c r="I171" s="192">
        <f t="shared" ca="1" si="6"/>
        <v>31851410.053354274</v>
      </c>
      <c r="J171" s="36"/>
      <c r="K171" s="5"/>
    </row>
    <row r="172" spans="1:11" x14ac:dyDescent="0.3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0"/>
      <c r="I172" s="192">
        <f t="shared" ca="1" si="6"/>
        <v>33102944.450427629</v>
      </c>
      <c r="J172" s="36"/>
      <c r="K172" s="5"/>
    </row>
    <row r="173" spans="1:11" x14ac:dyDescent="0.3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0"/>
      <c r="I173" s="192">
        <f t="shared" ca="1" si="6"/>
        <v>30887106.990529146</v>
      </c>
      <c r="J173" s="36"/>
      <c r="K173" s="5"/>
    </row>
    <row r="174" spans="1:11" x14ac:dyDescent="0.3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0"/>
      <c r="I174" s="192">
        <f t="shared" ca="1" si="6"/>
        <v>28686758.626714811</v>
      </c>
      <c r="J174" s="36"/>
      <c r="K174" s="5"/>
    </row>
    <row r="175" spans="1:11" x14ac:dyDescent="0.3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0"/>
      <c r="I175" s="192">
        <f t="shared" ca="1" si="6"/>
        <v>26117909.739939507</v>
      </c>
      <c r="J175" s="36"/>
      <c r="K175" s="5"/>
    </row>
    <row r="176" spans="1:11" x14ac:dyDescent="0.3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0"/>
      <c r="I176" s="192">
        <f t="shared" ca="1" si="6"/>
        <v>27118225.736837097</v>
      </c>
      <c r="J176" s="36"/>
      <c r="K176" s="5"/>
    </row>
    <row r="177" spans="1:11" x14ac:dyDescent="0.3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0"/>
      <c r="I177" s="192">
        <f t="shared" ca="1" si="6"/>
        <v>26820913.732572746</v>
      </c>
      <c r="J177" s="36"/>
      <c r="K177" s="5"/>
    </row>
    <row r="178" spans="1:11" x14ac:dyDescent="0.3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0"/>
      <c r="I178" s="192">
        <f t="shared" ca="1" si="6"/>
        <v>26978674.706377495</v>
      </c>
      <c r="J178" s="36"/>
      <c r="K178" s="5"/>
    </row>
    <row r="179" spans="1:11" x14ac:dyDescent="0.3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0"/>
      <c r="I179" s="192">
        <f t="shared" ca="1" si="6"/>
        <v>26796552.459465832</v>
      </c>
      <c r="J179" s="36"/>
      <c r="K179" s="5"/>
    </row>
    <row r="180" spans="1:11" x14ac:dyDescent="0.3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0"/>
      <c r="I180" s="192">
        <f t="shared" ca="1" si="6"/>
        <v>26564387.397434797</v>
      </c>
      <c r="J180" s="36"/>
      <c r="K180" s="5"/>
    </row>
    <row r="181" spans="1:11" x14ac:dyDescent="0.3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0"/>
      <c r="I181" s="192">
        <f t="shared" ca="1" si="6"/>
        <v>28980195.274664558</v>
      </c>
      <c r="J181" s="36"/>
      <c r="K181" s="5"/>
    </row>
    <row r="182" spans="1:11" x14ac:dyDescent="0.3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0"/>
      <c r="I182" s="192">
        <f t="shared" ca="1" si="6"/>
        <v>29752716.668548342</v>
      </c>
      <c r="J182" s="36"/>
      <c r="K182" s="5"/>
    </row>
    <row r="183" spans="1:11" x14ac:dyDescent="0.3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0"/>
      <c r="I183" s="192">
        <f t="shared" ca="1" si="6"/>
        <v>31776706.940696601</v>
      </c>
      <c r="J183" s="36"/>
      <c r="K183" s="5"/>
    </row>
    <row r="184" spans="1:11" x14ac:dyDescent="0.3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0"/>
      <c r="I184" s="192">
        <f t="shared" ca="1" si="6"/>
        <v>33030056.312908918</v>
      </c>
      <c r="J184" s="36"/>
      <c r="K184" s="5"/>
    </row>
    <row r="185" spans="1:11" x14ac:dyDescent="0.3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0"/>
      <c r="I185" s="192">
        <f t="shared" ca="1" si="6"/>
        <v>30814509.880720716</v>
      </c>
      <c r="J185" s="36"/>
      <c r="K185" s="5"/>
    </row>
    <row r="186" spans="1:11" x14ac:dyDescent="0.3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0"/>
      <c r="I186" s="192">
        <f t="shared" ca="1" si="6"/>
        <v>28626517.185845278</v>
      </c>
      <c r="J186" s="36"/>
      <c r="K186" s="5"/>
    </row>
    <row r="187" spans="1:11" x14ac:dyDescent="0.3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0"/>
      <c r="I187" s="192">
        <f t="shared" ca="1" si="6"/>
        <v>26062901.505730238</v>
      </c>
      <c r="J187" s="36"/>
      <c r="K187" s="5"/>
    </row>
    <row r="188" spans="1:11" x14ac:dyDescent="0.3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0"/>
      <c r="I188" s="192">
        <f t="shared" ca="1" si="6"/>
        <v>27080483.036723025</v>
      </c>
      <c r="J188" s="36"/>
      <c r="K188" s="5"/>
    </row>
    <row r="189" spans="1:11" x14ac:dyDescent="0.3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0"/>
      <c r="I189" s="192">
        <f t="shared" ca="1" si="6"/>
        <v>26785250.678759422</v>
      </c>
      <c r="J189" s="36"/>
      <c r="K189" s="5"/>
    </row>
    <row r="190" spans="1:11" x14ac:dyDescent="0.3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0"/>
      <c r="I190" s="192">
        <f t="shared" ca="1" si="6"/>
        <v>26944190.556674492</v>
      </c>
      <c r="J190" s="36"/>
      <c r="K190" s="5"/>
    </row>
    <row r="191" spans="1:11" x14ac:dyDescent="0.3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0"/>
      <c r="I191" s="192">
        <f t="shared" ca="1" si="6"/>
        <v>26747569.289868839</v>
      </c>
      <c r="J191" s="36"/>
      <c r="K191" s="5"/>
    </row>
    <row r="192" spans="1:11" x14ac:dyDescent="0.3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0"/>
      <c r="I192" s="192">
        <f t="shared" ca="1" si="6"/>
        <v>26491445.658068139</v>
      </c>
      <c r="J192" s="36"/>
      <c r="K192" s="5"/>
    </row>
    <row r="193" spans="1:11" x14ac:dyDescent="0.3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0"/>
      <c r="I193" s="192">
        <f t="shared" ca="1" si="6"/>
        <v>28902760.867274128</v>
      </c>
      <c r="J193" s="36"/>
      <c r="K193" s="5"/>
    </row>
    <row r="194" spans="1:11" x14ac:dyDescent="0.3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0"/>
      <c r="I194" s="192">
        <f t="shared" ca="1" si="6"/>
        <v>29672022.299596947</v>
      </c>
      <c r="J194" s="36"/>
      <c r="K194" s="5"/>
    </row>
    <row r="195" spans="1:11" x14ac:dyDescent="0.3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0"/>
      <c r="I195" s="192">
        <f t="shared" ca="1" si="6"/>
        <v>31646485.258665625</v>
      </c>
      <c r="J195" s="36"/>
      <c r="K195" s="5"/>
    </row>
    <row r="196" spans="1:11" x14ac:dyDescent="0.3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0"/>
      <c r="I196" s="192">
        <f t="shared" ref="I196:I206" ca="1" si="11">$N$18+C196*$N$19+D196*$N$20+E196*$N$21+F196*$N$22+G196*$N$23</f>
        <v>32901649.606016897</v>
      </c>
      <c r="J196" s="36"/>
      <c r="K196" s="5"/>
    </row>
    <row r="197" spans="1:11" x14ac:dyDescent="0.3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0"/>
      <c r="I197" s="192">
        <f t="shared" ca="1" si="11"/>
        <v>30686394.201538984</v>
      </c>
      <c r="J197" s="36"/>
      <c r="K197" s="5"/>
    </row>
    <row r="198" spans="1:11" x14ac:dyDescent="0.3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0"/>
      <c r="I198" s="192">
        <f t="shared" ca="1" si="11"/>
        <v>28483498.9368627</v>
      </c>
      <c r="J198" s="36"/>
      <c r="K198" s="5"/>
    </row>
    <row r="199" spans="1:11" x14ac:dyDescent="0.3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0"/>
      <c r="I199" s="192">
        <f t="shared" ca="1" si="11"/>
        <v>25925116.46340793</v>
      </c>
      <c r="J199" s="36"/>
      <c r="K199" s="5"/>
    </row>
    <row r="200" spans="1:11" x14ac:dyDescent="0.3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0"/>
      <c r="I200" s="192">
        <f t="shared" ca="1" si="11"/>
        <v>26959963.528495915</v>
      </c>
      <c r="J200" s="36"/>
      <c r="K200" s="5"/>
    </row>
    <row r="201" spans="1:11" x14ac:dyDescent="0.3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0"/>
      <c r="I201" s="192">
        <f t="shared" ca="1" si="11"/>
        <v>26648603.139018077</v>
      </c>
      <c r="J201" s="36"/>
      <c r="K201" s="5"/>
    </row>
    <row r="202" spans="1:11" x14ac:dyDescent="0.3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0"/>
      <c r="I202" s="192">
        <f t="shared" ca="1" si="11"/>
        <v>26808721.921043474</v>
      </c>
      <c r="J202" s="36"/>
      <c r="K202" s="5"/>
    </row>
    <row r="203" spans="1:11" x14ac:dyDescent="0.3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0"/>
      <c r="I203" s="192">
        <f t="shared" ca="1" si="11"/>
        <v>26597601.634343825</v>
      </c>
      <c r="J203" s="36"/>
      <c r="K203" s="5"/>
    </row>
    <row r="204" spans="1:11" x14ac:dyDescent="0.3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0"/>
      <c r="I204" s="192">
        <f t="shared" ca="1" si="11"/>
        <v>26308429.277282301</v>
      </c>
      <c r="J204" s="36"/>
      <c r="K204" s="5"/>
    </row>
    <row r="205" spans="1:11" x14ac:dyDescent="0.3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0"/>
      <c r="I205" s="192">
        <f t="shared" ca="1" si="11"/>
        <v>28715251.818464503</v>
      </c>
      <c r="J205" s="36"/>
      <c r="K205" s="5"/>
    </row>
    <row r="206" spans="1:11" x14ac:dyDescent="0.3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0"/>
      <c r="I206" s="192">
        <f t="shared" ca="1" si="11"/>
        <v>29481253.289226364</v>
      </c>
      <c r="J206" s="36"/>
      <c r="K206" s="5"/>
    </row>
    <row r="207" spans="1:11" x14ac:dyDescent="0.3">
      <c r="A207" s="3"/>
      <c r="I207" s="11"/>
      <c r="J207" s="11"/>
      <c r="K207" s="11"/>
    </row>
    <row r="208" spans="1:11" x14ac:dyDescent="0.3">
      <c r="A208" s="3"/>
      <c r="C208" s="18"/>
      <c r="D208" s="63" t="s">
        <v>60</v>
      </c>
      <c r="I208" s="47">
        <f ca="1">SUM(I3:I206)</f>
        <v>5867973582.4579983</v>
      </c>
    </row>
    <row r="209" spans="1:11" x14ac:dyDescent="0.3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3">
      <c r="A210" s="16">
        <v>2003</v>
      </c>
      <c r="B210" s="6">
        <f>SUM(B3:B14)</f>
        <v>281244125.5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343359630.46635473</v>
      </c>
      <c r="J210" s="36">
        <f>I210-B210</f>
        <v>62115504.966354728</v>
      </c>
      <c r="K210" s="5">
        <f>J210/B210</f>
        <v>0.22085974189123012</v>
      </c>
    </row>
    <row r="211" spans="1:11" x14ac:dyDescent="0.3">
      <c r="A211">
        <v>2004</v>
      </c>
      <c r="B211" s="6">
        <f>SUM(B15:B26)</f>
        <v>360631980</v>
      </c>
      <c r="C211" s="107">
        <f>+B211-B210</f>
        <v>79387854.5</v>
      </c>
      <c r="D211" s="109">
        <f>+C211/B210</f>
        <v>0.28227382299581577</v>
      </c>
      <c r="E211" s="109">
        <f>RATE(1,0,-B$210,B211)</f>
        <v>0.28227382299581583</v>
      </c>
      <c r="F211" s="179"/>
      <c r="G211" s="179"/>
      <c r="H211"/>
      <c r="I211" s="6">
        <f>SUM(I15:I26)</f>
        <v>340589562.82780838</v>
      </c>
      <c r="J211" s="36">
        <f t="shared" ref="J211:J226" si="12">I211-B211</f>
        <v>-20042417.17219162</v>
      </c>
      <c r="K211" s="5">
        <f t="shared" ref="K211:K226" si="13">J211/B211</f>
        <v>-5.5575817685917982E-2</v>
      </c>
    </row>
    <row r="212" spans="1:11" x14ac:dyDescent="0.3">
      <c r="A212" s="16">
        <v>2005</v>
      </c>
      <c r="B212" s="6">
        <f>SUM(B27:B38)</f>
        <v>361962669</v>
      </c>
      <c r="C212" s="107">
        <f t="shared" ref="C212:C226" si="14">+B212-B211</f>
        <v>1330689</v>
      </c>
      <c r="D212" s="109">
        <f t="shared" ref="D212:D226" si="15">+C212/B211</f>
        <v>3.6898807476807797E-3</v>
      </c>
      <c r="E212" s="109">
        <f>RATE(2,0,-B$210,B212)</f>
        <v>0.13446254256742349</v>
      </c>
      <c r="F212" s="179"/>
      <c r="G212" s="179"/>
      <c r="H212"/>
      <c r="I212" s="6">
        <f>SUM(I27:I38)</f>
        <v>350113139.04019243</v>
      </c>
      <c r="J212" s="36">
        <f t="shared" si="12"/>
        <v>-11849529.959807575</v>
      </c>
      <c r="K212" s="5">
        <f t="shared" si="13"/>
        <v>-3.2736884144833112E-2</v>
      </c>
    </row>
    <row r="213" spans="1:11" x14ac:dyDescent="0.3">
      <c r="A213">
        <v>2006</v>
      </c>
      <c r="B213" s="6">
        <f>SUM(B39:B50)</f>
        <v>357086593</v>
      </c>
      <c r="C213" s="107">
        <f t="shared" si="14"/>
        <v>-4876076</v>
      </c>
      <c r="D213" s="109">
        <f t="shared" si="15"/>
        <v>-1.347121241389675E-2</v>
      </c>
      <c r="E213" s="109">
        <f>RATE(3,0,-B$210,B213)</f>
        <v>8.2837684740281109E-2</v>
      </c>
      <c r="F213" s="179"/>
      <c r="G213" s="179"/>
      <c r="H213"/>
      <c r="I213" s="6">
        <f>SUM(I39:I50)</f>
        <v>342883990.55891979</v>
      </c>
      <c r="J213" s="36">
        <f t="shared" si="12"/>
        <v>-14202602.441080213</v>
      </c>
      <c r="K213" s="5">
        <f t="shared" si="13"/>
        <v>-3.9773552744614561E-2</v>
      </c>
    </row>
    <row r="214" spans="1:11" x14ac:dyDescent="0.3">
      <c r="A214" s="16">
        <v>2007</v>
      </c>
      <c r="B214" s="6">
        <f>SUM(B51:B62)</f>
        <v>359144720</v>
      </c>
      <c r="C214" s="107">
        <f t="shared" si="14"/>
        <v>2058127</v>
      </c>
      <c r="D214" s="109">
        <f t="shared" si="15"/>
        <v>5.7636636052589068E-3</v>
      </c>
      <c r="E214" s="109">
        <f>RATE(4,0,-B$210,B214)</f>
        <v>6.3032412269245441E-2</v>
      </c>
      <c r="F214" s="179"/>
      <c r="G214" s="179"/>
      <c r="H214"/>
      <c r="I214" s="6">
        <f>SUM(I51:I62)</f>
        <v>334088095.87910604</v>
      </c>
      <c r="J214" s="36">
        <f t="shared" si="12"/>
        <v>-25056624.120893955</v>
      </c>
      <c r="K214" s="5">
        <f t="shared" si="13"/>
        <v>-6.9767485711314248E-2</v>
      </c>
    </row>
    <row r="215" spans="1:11" x14ac:dyDescent="0.3">
      <c r="A215">
        <v>2008</v>
      </c>
      <c r="B215" s="6">
        <f>SUM(B63:B74)</f>
        <v>352632150</v>
      </c>
      <c r="C215" s="107">
        <f t="shared" si="14"/>
        <v>-6512570</v>
      </c>
      <c r="D215" s="109">
        <f t="shared" si="15"/>
        <v>-1.8133553515696958E-2</v>
      </c>
      <c r="E215" s="109">
        <f>RATE(5,0,-B$210,B215)</f>
        <v>4.6279434631659205E-2</v>
      </c>
      <c r="F215" s="179"/>
      <c r="G215" s="179"/>
      <c r="H215"/>
      <c r="I215" s="6">
        <f>SUM(I63:I74)</f>
        <v>330611538.30183828</v>
      </c>
      <c r="J215" s="36">
        <f t="shared" si="12"/>
        <v>-22020611.698161721</v>
      </c>
      <c r="K215" s="5">
        <f t="shared" si="13"/>
        <v>-6.2446409659929536E-2</v>
      </c>
    </row>
    <row r="216" spans="1:11" x14ac:dyDescent="0.3">
      <c r="A216" s="16">
        <v>2009</v>
      </c>
      <c r="B216" s="6">
        <f>SUM(B75:B86)</f>
        <v>349784301</v>
      </c>
      <c r="C216" s="107">
        <f t="shared" si="14"/>
        <v>-2847849</v>
      </c>
      <c r="D216" s="109">
        <f t="shared" si="15"/>
        <v>-8.0759766232318866E-3</v>
      </c>
      <c r="E216" s="109">
        <f>RATE(6,0,-B$210,B216)</f>
        <v>3.7017636058502966E-2</v>
      </c>
      <c r="F216" s="179"/>
      <c r="G216" s="179"/>
      <c r="H216"/>
      <c r="I216" s="6">
        <f>SUM(I75:I86)</f>
        <v>351307552.50008202</v>
      </c>
      <c r="J216" s="36">
        <f t="shared" si="12"/>
        <v>1523251.500082016</v>
      </c>
      <c r="K216" s="5">
        <f t="shared" si="13"/>
        <v>4.354830950752178E-3</v>
      </c>
    </row>
    <row r="217" spans="1:11" x14ac:dyDescent="0.3">
      <c r="A217">
        <v>2010</v>
      </c>
      <c r="B217" s="6">
        <f>SUM(B87:B98)</f>
        <v>355234224</v>
      </c>
      <c r="C217" s="107">
        <f t="shared" si="14"/>
        <v>5449923</v>
      </c>
      <c r="D217" s="109">
        <f t="shared" si="15"/>
        <v>1.5580810757999114E-2</v>
      </c>
      <c r="E217" s="109">
        <f>RATE(7,0,-B$210,B217)</f>
        <v>3.3927749416083189E-2</v>
      </c>
      <c r="F217" s="179"/>
      <c r="G217" s="179"/>
      <c r="H217"/>
      <c r="I217" s="6">
        <f>SUM(I87:I98)</f>
        <v>356508881.9849599</v>
      </c>
      <c r="J217" s="36">
        <f t="shared" si="12"/>
        <v>1274657.9849599004</v>
      </c>
      <c r="K217" s="5">
        <f t="shared" si="13"/>
        <v>3.58821841715313E-3</v>
      </c>
    </row>
    <row r="218" spans="1:11" x14ac:dyDescent="0.3">
      <c r="A218">
        <v>2011</v>
      </c>
      <c r="B218" s="6">
        <f>SUM(B99:B110)</f>
        <v>359534375</v>
      </c>
      <c r="C218" s="107">
        <f t="shared" si="14"/>
        <v>4300151</v>
      </c>
      <c r="D218" s="109">
        <f t="shared" si="15"/>
        <v>1.2105114624316153E-2</v>
      </c>
      <c r="E218" s="109">
        <f>RATE(8,0,-B$210,B218)</f>
        <v>3.117439358182483E-2</v>
      </c>
      <c r="F218" s="179"/>
      <c r="G218" s="179"/>
      <c r="H218"/>
      <c r="I218" s="6">
        <f>SUM(I99:I110)</f>
        <v>352332831.99699521</v>
      </c>
      <c r="J218" s="36">
        <f t="shared" si="12"/>
        <v>-7201543.0030047894</v>
      </c>
      <c r="K218" s="5">
        <f t="shared" si="13"/>
        <v>-2.0030193227016997E-2</v>
      </c>
    </row>
    <row r="219" spans="1:11" x14ac:dyDescent="0.3">
      <c r="A219">
        <v>2012</v>
      </c>
      <c r="B219" s="6">
        <f>SUM(B111:B122)</f>
        <v>338342507</v>
      </c>
      <c r="C219" s="107">
        <f t="shared" si="14"/>
        <v>-21191868</v>
      </c>
      <c r="D219" s="109">
        <f t="shared" si="15"/>
        <v>-5.894253644036123E-2</v>
      </c>
      <c r="E219" s="109">
        <f>RATE(9,0,-B$210,B219)</f>
        <v>2.0749635884770568E-2</v>
      </c>
      <c r="F219" s="179"/>
      <c r="G219" s="179"/>
      <c r="H219"/>
      <c r="I219" s="6">
        <f>SUM(I111:I122)</f>
        <v>350484059.45439178</v>
      </c>
      <c r="J219" s="36">
        <f t="shared" si="12"/>
        <v>12141552.454391778</v>
      </c>
      <c r="K219" s="5">
        <f t="shared" si="13"/>
        <v>3.5885388927474539E-2</v>
      </c>
    </row>
    <row r="220" spans="1:11" x14ac:dyDescent="0.3">
      <c r="A220">
        <v>2013</v>
      </c>
      <c r="B220" s="6">
        <f>SUM(B123:B134)</f>
        <v>337123668</v>
      </c>
      <c r="C220" s="107">
        <f t="shared" si="14"/>
        <v>-1218839</v>
      </c>
      <c r="D220" s="109">
        <f t="shared" si="15"/>
        <v>-3.6023821269374231E-3</v>
      </c>
      <c r="E220" s="109">
        <f>RATE(10,0,-B$210,B220)</f>
        <v>1.8287888641059839E-2</v>
      </c>
      <c r="F220" s="179"/>
      <c r="G220" s="179"/>
      <c r="H220"/>
      <c r="I220" s="6">
        <f ca="1">SUM(I123:I134)</f>
        <v>347361497.13127613</v>
      </c>
      <c r="J220" s="36">
        <f t="shared" ca="1" si="12"/>
        <v>10237829.131276131</v>
      </c>
      <c r="K220" s="5">
        <f t="shared" ca="1" si="13"/>
        <v>3.03681708021643E-2</v>
      </c>
    </row>
    <row r="221" spans="1:11" x14ac:dyDescent="0.3">
      <c r="A221">
        <v>2014</v>
      </c>
      <c r="B221" s="6">
        <f>SUM(B135:B146)</f>
        <v>336406114</v>
      </c>
      <c r="C221" s="107">
        <f t="shared" ref="C221" si="16">+B221-B220</f>
        <v>-717554</v>
      </c>
      <c r="D221" s="109">
        <f t="shared" ref="D221" si="17">+C221/B220</f>
        <v>-2.1284592810018902E-3</v>
      </c>
      <c r="E221" s="109">
        <f>RATE(10,0,-B$210,B221)</f>
        <v>1.8070942336539185E-2</v>
      </c>
      <c r="F221" s="103"/>
      <c r="G221" s="179"/>
      <c r="H221"/>
      <c r="I221" s="6">
        <f>SUM(I135:I146)</f>
        <v>349486646.35807449</v>
      </c>
      <c r="J221" s="36">
        <f t="shared" si="12"/>
        <v>13080532.358074486</v>
      </c>
      <c r="K221" s="5">
        <f t="shared" si="13"/>
        <v>3.8883158818197004E-2</v>
      </c>
    </row>
    <row r="222" spans="1:11" x14ac:dyDescent="0.3">
      <c r="A222">
        <v>2015</v>
      </c>
      <c r="B222" s="6">
        <f t="shared" ref="B222:B226" ca="1" si="18">+I222</f>
        <v>346676635.14160609</v>
      </c>
      <c r="C222" s="107">
        <f t="shared" ca="1" si="14"/>
        <v>10270521.141606092</v>
      </c>
      <c r="D222" s="109">
        <f t="shared" ca="1" si="15"/>
        <v>3.0530126279470927E-2</v>
      </c>
      <c r="E222" s="109">
        <f ca="1">RATE(12,0,-B$210,B222)</f>
        <v>1.7583585297687866E-2</v>
      </c>
      <c r="F222" s="103"/>
      <c r="G222" s="179"/>
      <c r="H222"/>
      <c r="I222" s="6">
        <f ca="1">SUM(I147:I158)</f>
        <v>346676635.14160609</v>
      </c>
      <c r="J222" s="36">
        <f t="shared" ca="1" si="12"/>
        <v>0</v>
      </c>
      <c r="K222" s="5">
        <f t="shared" ca="1" si="13"/>
        <v>0</v>
      </c>
    </row>
    <row r="223" spans="1:11" x14ac:dyDescent="0.3">
      <c r="A223">
        <v>2016</v>
      </c>
      <c r="B223" s="6">
        <f t="shared" ca="1" si="18"/>
        <v>344414341.69228894</v>
      </c>
      <c r="C223" s="107">
        <f t="shared" ca="1" si="14"/>
        <v>-2262293.4493171573</v>
      </c>
      <c r="D223" s="109">
        <f t="shared" ca="1" si="15"/>
        <v>-6.5256588416842233E-3</v>
      </c>
      <c r="E223" s="109">
        <f ca="1">RATE(13,0,-B$210,B223)</f>
        <v>1.5708434917113337E-2</v>
      </c>
      <c r="F223" s="103"/>
      <c r="G223" s="179"/>
      <c r="H223"/>
      <c r="I223" s="6">
        <f ca="1">SUM(I159:I170)</f>
        <v>344414341.69228894</v>
      </c>
      <c r="J223" s="36">
        <f t="shared" ca="1" si="12"/>
        <v>0</v>
      </c>
      <c r="K223" s="5">
        <f t="shared" ca="1" si="13"/>
        <v>0</v>
      </c>
    </row>
    <row r="224" spans="1:11" x14ac:dyDescent="0.3">
      <c r="A224">
        <v>2017</v>
      </c>
      <c r="B224" s="6">
        <f t="shared" ca="1" si="18"/>
        <v>343657795.83686626</v>
      </c>
      <c r="C224" s="107">
        <f t="shared" ca="1" si="14"/>
        <v>-756545.85542267561</v>
      </c>
      <c r="D224" s="109">
        <f t="shared" ca="1" si="15"/>
        <v>-2.1966154246230505E-3</v>
      </c>
      <c r="E224" s="109">
        <f ca="1">RATE(14,0,-B$210,B224)</f>
        <v>1.4418915164714819E-2</v>
      </c>
      <c r="F224" s="103"/>
      <c r="G224" s="179"/>
      <c r="H224"/>
      <c r="I224" s="6">
        <f ca="1">SUM(I171:I182)</f>
        <v>343657795.83686626</v>
      </c>
      <c r="J224" s="36">
        <f t="shared" ca="1" si="12"/>
        <v>0</v>
      </c>
      <c r="K224" s="5">
        <f t="shared" ca="1" si="13"/>
        <v>0</v>
      </c>
    </row>
    <row r="225" spans="1:11" x14ac:dyDescent="0.3">
      <c r="A225">
        <v>2018</v>
      </c>
      <c r="B225" s="6">
        <f t="shared" ca="1" si="18"/>
        <v>342934414.21286672</v>
      </c>
      <c r="C225" s="107">
        <f t="shared" ca="1" si="14"/>
        <v>-723381.62399953604</v>
      </c>
      <c r="D225" s="109">
        <f t="shared" ca="1" si="15"/>
        <v>-2.1049475168691476E-3</v>
      </c>
      <c r="E225" s="109">
        <f ca="1">RATE(15,0,-B$210,B225)</f>
        <v>1.3308861577184057E-2</v>
      </c>
      <c r="F225" s="103"/>
      <c r="G225" s="179"/>
      <c r="H225"/>
      <c r="I225" s="6">
        <f ca="1">SUM(I183:I194)</f>
        <v>342934414.21286672</v>
      </c>
      <c r="J225" s="36">
        <f t="shared" ca="1" si="12"/>
        <v>0</v>
      </c>
      <c r="K225" s="5">
        <f t="shared" ca="1" si="13"/>
        <v>0</v>
      </c>
    </row>
    <row r="226" spans="1:11" x14ac:dyDescent="0.3">
      <c r="A226">
        <v>2019</v>
      </c>
      <c r="B226" s="6">
        <f t="shared" ca="1" si="18"/>
        <v>341162969.07436663</v>
      </c>
      <c r="C226" s="107">
        <f t="shared" ca="1" si="14"/>
        <v>-1771445.1385000944</v>
      </c>
      <c r="D226" s="109">
        <f t="shared" ca="1" si="15"/>
        <v>-5.1655508023773916E-3</v>
      </c>
      <c r="E226" s="109">
        <f ca="1">RATE(16,0,-B$210,B226)</f>
        <v>1.2144225226023091E-2</v>
      </c>
      <c r="F226" s="103"/>
      <c r="G226" s="179"/>
      <c r="H226"/>
      <c r="I226" s="6">
        <f ca="1">SUM(I195:I206)</f>
        <v>341162969.07436663</v>
      </c>
      <c r="J226" s="36">
        <f t="shared" ca="1" si="12"/>
        <v>0</v>
      </c>
      <c r="K226" s="5">
        <f t="shared" ca="1" si="13"/>
        <v>0</v>
      </c>
    </row>
    <row r="227" spans="1:11" x14ac:dyDescent="0.3">
      <c r="C227" s="101"/>
      <c r="D227" s="179"/>
      <c r="F227" s="179"/>
      <c r="G227" s="179"/>
      <c r="H227"/>
      <c r="J227" s="179"/>
      <c r="K227" s="179"/>
    </row>
    <row r="228" spans="1:11" x14ac:dyDescent="0.3">
      <c r="A228" t="s">
        <v>9</v>
      </c>
      <c r="B228" s="6">
        <f ca="1">SUM(B210:B226)</f>
        <v>5867973582.4579954</v>
      </c>
      <c r="C228" s="101"/>
      <c r="D228" s="179"/>
      <c r="F228" s="179"/>
      <c r="G228" s="179"/>
      <c r="H228"/>
      <c r="I228" s="6">
        <f ca="1">SUM(I210:I226)</f>
        <v>5867973582.4579954</v>
      </c>
      <c r="J228" s="183">
        <f ca="1">I228-B228</f>
        <v>0</v>
      </c>
      <c r="K228" s="179"/>
    </row>
    <row r="229" spans="1:11" x14ac:dyDescent="0.3">
      <c r="C229" s="179"/>
      <c r="D229" s="179"/>
      <c r="F229" s="179"/>
      <c r="G229" s="179"/>
      <c r="H229"/>
      <c r="I229" s="179"/>
      <c r="J229" s="62"/>
      <c r="K229" s="179"/>
    </row>
    <row r="230" spans="1:11" x14ac:dyDescent="0.3">
      <c r="C230" s="179"/>
      <c r="D230" s="179"/>
      <c r="F230" s="179"/>
      <c r="G230" s="179"/>
      <c r="H230"/>
      <c r="I230" s="6">
        <f ca="1">SUM(I210:I226)</f>
        <v>5867973582.4579954</v>
      </c>
      <c r="J230" s="183">
        <f ca="1">I208-I230</f>
        <v>0</v>
      </c>
      <c r="K230" s="179"/>
    </row>
    <row r="231" spans="1:11" x14ac:dyDescent="0.3">
      <c r="C231" s="179"/>
      <c r="D231" s="179"/>
      <c r="F231" s="179"/>
      <c r="G231" s="179"/>
      <c r="H231"/>
      <c r="I231" s="23"/>
      <c r="J231" s="184" t="s">
        <v>69</v>
      </c>
      <c r="K231" s="18"/>
    </row>
    <row r="243" spans="9:11" x14ac:dyDescent="0.3">
      <c r="I243" s="11"/>
      <c r="J243" s="11"/>
      <c r="K243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45" x14ac:dyDescent="0.3"/>
  <cols>
    <col min="1" max="1" width="11.84375" customWidth="1"/>
    <col min="2" max="2" width="18" style="6" customWidth="1"/>
    <col min="3" max="3" width="11.69140625" style="1" customWidth="1"/>
    <col min="4" max="4" width="13.3828125" style="1" customWidth="1"/>
    <col min="5" max="5" width="14.3828125" style="34" customWidth="1"/>
    <col min="6" max="6" width="10.15234375" style="1" customWidth="1"/>
    <col min="7" max="8" width="12.3828125" style="1" customWidth="1"/>
    <col min="9" max="9" width="14" style="6" bestFit="1" customWidth="1"/>
    <col min="10" max="10" width="21" style="6" customWidth="1"/>
    <col min="11" max="11" width="11.53515625" style="6" customWidth="1"/>
    <col min="12" max="12" width="9.3046875" style="6" customWidth="1"/>
    <col min="13" max="13" width="27.3046875" style="6" bestFit="1" customWidth="1"/>
    <col min="14" max="14" width="14.53515625" style="6" bestFit="1" customWidth="1"/>
    <col min="15" max="15" width="22.84375" style="6" bestFit="1" customWidth="1"/>
    <col min="16" max="16" width="21.84375" style="6" bestFit="1" customWidth="1"/>
    <col min="17" max="17" width="9.69140625" style="6" bestFit="1" customWidth="1"/>
    <col min="18" max="18" width="14.69140625" bestFit="1" customWidth="1"/>
    <col min="19" max="19" width="14.3046875" bestFit="1" customWidth="1"/>
    <col min="20" max="20" width="14.69140625" bestFit="1" customWidth="1"/>
    <col min="21" max="21" width="14.3046875" bestFit="1" customWidth="1"/>
  </cols>
  <sheetData>
    <row r="2" spans="1:18" ht="42" customHeight="1" x14ac:dyDescent="0.3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2.9" thickBot="1" x14ac:dyDescent="0.35">
      <c r="A3" s="3">
        <v>37622</v>
      </c>
      <c r="B3" s="59">
        <v>8229409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5</v>
      </c>
      <c r="I3" s="192">
        <f>$N$18+C3*$N$19+D3*$N$20+E3*$N$21+F3*$N$22+G3*$N$23</f>
        <v>6089000.7226106245</v>
      </c>
      <c r="J3" s="36">
        <f>I3-B3</f>
        <v>-2140408.2773893755</v>
      </c>
      <c r="K3" s="5">
        <f>J3/B3</f>
        <v>-0.26009258713345945</v>
      </c>
      <c r="M3"/>
      <c r="N3"/>
      <c r="O3"/>
      <c r="P3"/>
      <c r="Q3"/>
    </row>
    <row r="4" spans="1:18" ht="12.9" x14ac:dyDescent="0.35">
      <c r="A4" s="3">
        <v>37653</v>
      </c>
      <c r="B4" s="59">
        <v>9779589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5</v>
      </c>
      <c r="I4" s="192">
        <f t="shared" ref="I4:I67" si="0">$N$18+C4*$N$19+D4*$N$20+E4*$N$21+F4*$N$22+G4*$N$23</f>
        <v>6994144.1922488865</v>
      </c>
      <c r="J4" s="36">
        <f t="shared" ref="J4:J67" si="1">I4-B4</f>
        <v>-2785444.8077511135</v>
      </c>
      <c r="K4" s="5">
        <f t="shared" ref="K4:K67" si="2">J4/B4</f>
        <v>-0.28482227706615415</v>
      </c>
      <c r="M4" s="53" t="s">
        <v>19</v>
      </c>
      <c r="N4" s="53"/>
      <c r="O4"/>
      <c r="P4"/>
      <c r="Q4"/>
    </row>
    <row r="5" spans="1:18" x14ac:dyDescent="0.3">
      <c r="A5" s="3">
        <v>37681</v>
      </c>
      <c r="B5" s="59">
        <v>7995083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5</v>
      </c>
      <c r="I5" s="192">
        <f t="shared" si="0"/>
        <v>5856519.3087209174</v>
      </c>
      <c r="J5" s="36">
        <f t="shared" si="1"/>
        <v>-2138563.6912790826</v>
      </c>
      <c r="K5" s="5">
        <f t="shared" si="2"/>
        <v>-0.26748486429460239</v>
      </c>
      <c r="M5" s="35" t="s">
        <v>20</v>
      </c>
      <c r="N5" s="95">
        <v>0.37445045071116362</v>
      </c>
      <c r="O5"/>
      <c r="P5"/>
      <c r="Q5"/>
    </row>
    <row r="6" spans="1:18" x14ac:dyDescent="0.3">
      <c r="A6" s="3">
        <v>37712</v>
      </c>
      <c r="B6" s="59">
        <v>6998857.7618016768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</v>
      </c>
      <c r="I6" s="192">
        <f t="shared" si="0"/>
        <v>6556494.9422307014</v>
      </c>
      <c r="J6" s="36">
        <f t="shared" si="1"/>
        <v>-442362.81957097538</v>
      </c>
      <c r="K6" s="5">
        <f t="shared" si="2"/>
        <v>-6.3205002105529345E-2</v>
      </c>
      <c r="M6" s="35" t="s">
        <v>21</v>
      </c>
      <c r="N6" s="95">
        <v>0.14021314003779359</v>
      </c>
      <c r="O6"/>
      <c r="P6"/>
      <c r="Q6"/>
    </row>
    <row r="7" spans="1:18" x14ac:dyDescent="0.3">
      <c r="A7" s="3">
        <v>37742</v>
      </c>
      <c r="B7" s="59">
        <v>6912468.2381983213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</v>
      </c>
      <c r="I7" s="192">
        <f t="shared" si="0"/>
        <v>7002418.5701109497</v>
      </c>
      <c r="J7" s="36">
        <f t="shared" si="1"/>
        <v>89950.331912628375</v>
      </c>
      <c r="K7" s="5">
        <f t="shared" si="2"/>
        <v>1.301276603566329E-2</v>
      </c>
      <c r="M7" s="35" t="s">
        <v>22</v>
      </c>
      <c r="N7" s="95">
        <v>0.10906144221307595</v>
      </c>
      <c r="O7"/>
      <c r="P7"/>
      <c r="Q7"/>
    </row>
    <row r="8" spans="1:18" x14ac:dyDescent="0.3">
      <c r="A8" s="3">
        <v>37773</v>
      </c>
      <c r="B8" s="59">
        <v>13464334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</v>
      </c>
      <c r="I8" s="192">
        <f t="shared" si="0"/>
        <v>8119776.0158316428</v>
      </c>
      <c r="J8" s="36">
        <f t="shared" si="1"/>
        <v>-5344557.9841683572</v>
      </c>
      <c r="K8" s="5">
        <f t="shared" si="2"/>
        <v>-0.39694187504323325</v>
      </c>
      <c r="M8" s="35" t="s">
        <v>23</v>
      </c>
      <c r="N8" s="67">
        <v>1466176.2308007893</v>
      </c>
      <c r="O8"/>
      <c r="P8"/>
      <c r="Q8"/>
    </row>
    <row r="9" spans="1:18" ht="12.9" thickBot="1" x14ac:dyDescent="0.35">
      <c r="A9" s="3">
        <v>37803</v>
      </c>
      <c r="B9" s="59">
        <v>9650306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5</v>
      </c>
      <c r="I9" s="192">
        <f t="shared" si="0"/>
        <v>7739935.9828834608</v>
      </c>
      <c r="J9" s="36">
        <f t="shared" si="1"/>
        <v>-1910370.0171165392</v>
      </c>
      <c r="K9" s="5">
        <f t="shared" si="2"/>
        <v>-0.19795952761669311</v>
      </c>
      <c r="M9" s="51" t="s">
        <v>24</v>
      </c>
      <c r="N9" s="68">
        <v>144</v>
      </c>
      <c r="O9"/>
      <c r="P9"/>
      <c r="Q9"/>
    </row>
    <row r="10" spans="1:18" x14ac:dyDescent="0.3">
      <c r="A10" s="3">
        <v>37834</v>
      </c>
      <c r="B10" s="59">
        <v>8699071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5</v>
      </c>
      <c r="I10" s="192">
        <f t="shared" si="0"/>
        <v>7137471.5048370417</v>
      </c>
      <c r="J10" s="36">
        <f t="shared" si="1"/>
        <v>-1561599.4951629583</v>
      </c>
      <c r="K10" s="5">
        <f t="shared" si="2"/>
        <v>-0.17951336357215136</v>
      </c>
      <c r="M10"/>
      <c r="N10"/>
      <c r="O10"/>
      <c r="P10"/>
      <c r="Q10"/>
    </row>
    <row r="11" spans="1:18" ht="12.9" thickBot="1" x14ac:dyDescent="0.35">
      <c r="A11" s="3">
        <v>37865</v>
      </c>
      <c r="B11" s="59">
        <v>11567404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5</v>
      </c>
      <c r="I11" s="192">
        <f t="shared" si="0"/>
        <v>7488800.2569607589</v>
      </c>
      <c r="J11" s="36">
        <f t="shared" si="1"/>
        <v>-4078603.7430392411</v>
      </c>
      <c r="K11" s="5">
        <f t="shared" si="2"/>
        <v>-0.35259456166995129</v>
      </c>
      <c r="M11" t="s">
        <v>25</v>
      </c>
      <c r="N11"/>
      <c r="O11"/>
      <c r="P11"/>
      <c r="Q11"/>
    </row>
    <row r="12" spans="1:18" ht="12.9" x14ac:dyDescent="0.35">
      <c r="A12" s="3">
        <v>37895</v>
      </c>
      <c r="B12" s="59">
        <v>4595061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5</v>
      </c>
      <c r="I12" s="192">
        <f t="shared" si="0"/>
        <v>6734185.1867894875</v>
      </c>
      <c r="J12" s="36">
        <f t="shared" si="1"/>
        <v>2139124.1867894875</v>
      </c>
      <c r="K12" s="5">
        <f t="shared" si="2"/>
        <v>0.46552683126284666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3">
      <c r="A13" s="3">
        <v>37926</v>
      </c>
      <c r="B13" s="59">
        <v>4221034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5</v>
      </c>
      <c r="I13" s="192">
        <f t="shared" si="0"/>
        <v>6636047.5168442316</v>
      </c>
      <c r="J13" s="36">
        <f t="shared" si="1"/>
        <v>2415013.5168442316</v>
      </c>
      <c r="K13" s="5">
        <f t="shared" si="2"/>
        <v>0.57213789721765607</v>
      </c>
      <c r="M13" s="35" t="s">
        <v>26</v>
      </c>
      <c r="N13" s="67">
        <v>5</v>
      </c>
      <c r="O13" s="67">
        <v>48378160091320.625</v>
      </c>
      <c r="P13" s="67">
        <v>9675632018264.125</v>
      </c>
      <c r="Q13" s="67">
        <v>4.5009790742943094</v>
      </c>
      <c r="R13" s="67">
        <v>7.8556331366061189E-4</v>
      </c>
    </row>
    <row r="14" spans="1:18" x14ac:dyDescent="0.3">
      <c r="A14" s="3">
        <v>37956</v>
      </c>
      <c r="B14" s="59">
        <v>4059474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5</v>
      </c>
      <c r="I14" s="192">
        <f t="shared" si="0"/>
        <v>6829382.6699153818</v>
      </c>
      <c r="J14" s="36">
        <f t="shared" si="1"/>
        <v>2769908.6699153818</v>
      </c>
      <c r="K14" s="5">
        <f t="shared" si="2"/>
        <v>0.68233191539479787</v>
      </c>
      <c r="M14" s="35" t="s">
        <v>27</v>
      </c>
      <c r="N14" s="67">
        <v>138</v>
      </c>
      <c r="O14" s="67">
        <v>296654838087598.94</v>
      </c>
      <c r="P14" s="67">
        <v>2149672739765.2097</v>
      </c>
      <c r="Q14" s="67"/>
      <c r="R14" s="67"/>
    </row>
    <row r="15" spans="1:18" ht="12.9" thickBot="1" x14ac:dyDescent="0.35">
      <c r="A15" s="3">
        <v>37987</v>
      </c>
      <c r="B15" s="59">
        <v>3965865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5</v>
      </c>
      <c r="I15" s="192">
        <f t="shared" si="0"/>
        <v>5962156.6112012602</v>
      </c>
      <c r="J15" s="36">
        <f t="shared" si="1"/>
        <v>1996291.6112012602</v>
      </c>
      <c r="K15" s="5">
        <f t="shared" si="2"/>
        <v>0.50336852394150089</v>
      </c>
      <c r="M15" s="51" t="s">
        <v>9</v>
      </c>
      <c r="N15" s="68">
        <v>143</v>
      </c>
      <c r="O15" s="68">
        <v>345032998178919.56</v>
      </c>
      <c r="P15" s="68"/>
      <c r="Q15" s="68"/>
      <c r="R15" s="68"/>
    </row>
    <row r="16" spans="1:18" ht="12.9" thickBot="1" x14ac:dyDescent="0.35">
      <c r="A16" s="3">
        <v>38018</v>
      </c>
      <c r="B16" s="59">
        <v>4712592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5</v>
      </c>
      <c r="I16" s="192">
        <f t="shared" si="0"/>
        <v>7013639.6642529629</v>
      </c>
      <c r="J16" s="36">
        <f t="shared" si="1"/>
        <v>2301047.6642529629</v>
      </c>
      <c r="K16" s="5">
        <f t="shared" si="2"/>
        <v>0.48827644409975718</v>
      </c>
      <c r="M16"/>
      <c r="N16"/>
      <c r="O16"/>
      <c r="P16"/>
      <c r="Q16"/>
    </row>
    <row r="17" spans="1:21" ht="12.9" x14ac:dyDescent="0.35">
      <c r="A17" s="3">
        <v>38047</v>
      </c>
      <c r="B17" s="59">
        <v>4424709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5</v>
      </c>
      <c r="I17" s="192">
        <f t="shared" si="0"/>
        <v>6120781.8622875726</v>
      </c>
      <c r="J17" s="36">
        <f t="shared" si="1"/>
        <v>1696072.8622875726</v>
      </c>
      <c r="K17" s="5">
        <f t="shared" si="2"/>
        <v>0.38331851027662445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3">
      <c r="A18" s="3">
        <v>38078</v>
      </c>
      <c r="B18" s="59">
        <v>4715043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5</v>
      </c>
      <c r="I18" s="192">
        <f t="shared" si="0"/>
        <v>6747368.8353817724</v>
      </c>
      <c r="J18" s="36">
        <f t="shared" si="1"/>
        <v>2032325.8353817724</v>
      </c>
      <c r="K18" s="5">
        <f t="shared" si="2"/>
        <v>0.43103018050562264</v>
      </c>
      <c r="M18" s="35" t="s">
        <v>28</v>
      </c>
      <c r="N18" s="67">
        <v>14897223.324651802</v>
      </c>
      <c r="O18" s="67">
        <v>4788904.9972112319</v>
      </c>
      <c r="P18" s="67">
        <v>3.1107786296297468</v>
      </c>
      <c r="Q18" s="67">
        <v>2.2677808931998427E-3</v>
      </c>
      <c r="R18" s="67">
        <v>5428104.5112320986</v>
      </c>
      <c r="S18" s="67">
        <v>24366342.138071507</v>
      </c>
      <c r="T18" s="67">
        <v>5428104.5112320986</v>
      </c>
      <c r="U18" s="67">
        <v>24366342.138071507</v>
      </c>
    </row>
    <row r="19" spans="1:21" x14ac:dyDescent="0.3">
      <c r="A19" s="3">
        <v>38108</v>
      </c>
      <c r="B19" s="59">
        <v>4535525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5</v>
      </c>
      <c r="I19" s="192">
        <f t="shared" si="0"/>
        <v>7057838.9849083917</v>
      </c>
      <c r="J19" s="36">
        <f t="shared" si="1"/>
        <v>2522313.9849083917</v>
      </c>
      <c r="K19" s="5">
        <f t="shared" si="2"/>
        <v>0.55612392940362843</v>
      </c>
      <c r="M19" s="35" t="s">
        <v>3</v>
      </c>
      <c r="N19" s="67">
        <v>-3050.7540169736262</v>
      </c>
      <c r="O19" s="67">
        <v>747.29055991013797</v>
      </c>
      <c r="P19" s="67">
        <v>-4.0824201196124852</v>
      </c>
      <c r="Q19" s="67">
        <v>7.5102725000800687E-5</v>
      </c>
      <c r="R19" s="67">
        <v>-4528.3742880077716</v>
      </c>
      <c r="S19" s="67">
        <v>-1573.1337459394813</v>
      </c>
      <c r="T19" s="67">
        <v>-4528.3742880077716</v>
      </c>
      <c r="U19" s="67">
        <v>-1573.1337459394813</v>
      </c>
    </row>
    <row r="20" spans="1:21" x14ac:dyDescent="0.3">
      <c r="A20" s="3">
        <v>38139</v>
      </c>
      <c r="B20" s="59">
        <v>4710606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6</v>
      </c>
      <c r="I20" s="192">
        <f t="shared" si="0"/>
        <v>8266820.7396792499</v>
      </c>
      <c r="J20" s="36">
        <f t="shared" si="1"/>
        <v>3556214.7396792499</v>
      </c>
      <c r="K20" s="5">
        <f t="shared" si="2"/>
        <v>0.75493784444703083</v>
      </c>
      <c r="M20" s="35" t="s">
        <v>4</v>
      </c>
      <c r="N20" s="67">
        <v>-12407.720130097972</v>
      </c>
      <c r="O20" s="67">
        <v>5781.0529049876704</v>
      </c>
      <c r="P20" s="67">
        <v>-2.1462734097093401</v>
      </c>
      <c r="Q20" s="67">
        <v>3.3600207565207742E-2</v>
      </c>
      <c r="R20" s="67">
        <v>-23838.616515779355</v>
      </c>
      <c r="S20" s="67">
        <v>-976.82374441658976</v>
      </c>
      <c r="T20" s="67">
        <v>-23838.616515779355</v>
      </c>
      <c r="U20" s="67">
        <v>-976.82374441658976</v>
      </c>
    </row>
    <row r="21" spans="1:21" x14ac:dyDescent="0.3">
      <c r="A21" s="3">
        <v>38169</v>
      </c>
      <c r="B21" s="59">
        <v>4855687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6</v>
      </c>
      <c r="I21" s="192">
        <f t="shared" si="0"/>
        <v>7617208.70638505</v>
      </c>
      <c r="J21" s="36">
        <f t="shared" si="1"/>
        <v>2761521.70638505</v>
      </c>
      <c r="K21" s="5">
        <f t="shared" si="2"/>
        <v>0.56871905178094262</v>
      </c>
      <c r="M21" s="35" t="s">
        <v>218</v>
      </c>
      <c r="N21" s="67">
        <v>-3728160.5171073824</v>
      </c>
      <c r="O21" s="67">
        <v>8206824.227609301</v>
      </c>
      <c r="P21" s="67">
        <v>-0.45427566299825806</v>
      </c>
      <c r="Q21" s="67">
        <v>0.65034413210933339</v>
      </c>
      <c r="R21" s="67">
        <v>-19955543.131157622</v>
      </c>
      <c r="S21" s="67">
        <v>12499222.096942859</v>
      </c>
      <c r="T21" s="67">
        <v>-19955543.131157622</v>
      </c>
      <c r="U21" s="67">
        <v>12499222.096942859</v>
      </c>
    </row>
    <row r="22" spans="1:21" x14ac:dyDescent="0.3">
      <c r="A22" s="3">
        <v>38200</v>
      </c>
      <c r="B22" s="59">
        <v>7779324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6</v>
      </c>
      <c r="I22" s="192">
        <f t="shared" si="0"/>
        <v>7758316.6417288519</v>
      </c>
      <c r="J22" s="36">
        <f t="shared" si="1"/>
        <v>-21007.358271148056</v>
      </c>
      <c r="K22" s="5">
        <f t="shared" si="2"/>
        <v>-2.700409222079972E-3</v>
      </c>
      <c r="M22" s="35" t="s">
        <v>5</v>
      </c>
      <c r="N22" s="67">
        <v>-200531.14831646206</v>
      </c>
      <c r="O22" s="67">
        <v>156640.52992299091</v>
      </c>
      <c r="P22" s="67">
        <v>-1.2801996291448265</v>
      </c>
      <c r="Q22" s="67">
        <v>0.20262267994483998</v>
      </c>
      <c r="R22" s="67">
        <v>-510257.02295828081</v>
      </c>
      <c r="S22" s="67">
        <v>109194.72632535669</v>
      </c>
      <c r="T22" s="67">
        <v>-510257.02295828081</v>
      </c>
      <c r="U22" s="67">
        <v>109194.72632535669</v>
      </c>
    </row>
    <row r="23" spans="1:21" ht="12.9" thickBot="1" x14ac:dyDescent="0.35">
      <c r="A23" s="3">
        <v>38231</v>
      </c>
      <c r="B23" s="59">
        <v>7343101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6</v>
      </c>
      <c r="I23" s="192">
        <f t="shared" si="0"/>
        <v>7341376.4012562577</v>
      </c>
      <c r="J23" s="36">
        <f t="shared" si="1"/>
        <v>-1724.5987437423319</v>
      </c>
      <c r="K23" s="5">
        <f t="shared" si="2"/>
        <v>-2.3485973347531675E-4</v>
      </c>
      <c r="M23" s="51" t="s">
        <v>17</v>
      </c>
      <c r="N23" s="68">
        <v>-883817.39651357627</v>
      </c>
      <c r="O23" s="68">
        <v>315876.63417274947</v>
      </c>
      <c r="P23" s="68">
        <v>-2.7979828227187777</v>
      </c>
      <c r="Q23" s="68">
        <v>5.8781198784539296E-3</v>
      </c>
      <c r="R23" s="68">
        <v>-1508401.3841071273</v>
      </c>
      <c r="S23" s="68">
        <v>-259233.4089200251</v>
      </c>
      <c r="T23" s="68">
        <v>-1508401.3841071273</v>
      </c>
      <c r="U23" s="68">
        <v>-259233.4089200251</v>
      </c>
    </row>
    <row r="24" spans="1:21" x14ac:dyDescent="0.3">
      <c r="A24" s="3">
        <v>38261</v>
      </c>
      <c r="B24" s="59">
        <v>3756788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6</v>
      </c>
      <c r="I24" s="192">
        <f t="shared" si="0"/>
        <v>6863779.8263468714</v>
      </c>
      <c r="J24" s="36">
        <f t="shared" si="1"/>
        <v>3106991.8263468714</v>
      </c>
      <c r="K24" s="5">
        <f t="shared" si="2"/>
        <v>0.82703411167914487</v>
      </c>
      <c r="M24"/>
      <c r="N24"/>
      <c r="O24"/>
      <c r="P24"/>
      <c r="Q24"/>
    </row>
    <row r="25" spans="1:21" x14ac:dyDescent="0.3">
      <c r="A25" s="3">
        <v>38292</v>
      </c>
      <c r="B25" s="59">
        <v>8659336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7</v>
      </c>
      <c r="I25" s="192">
        <f t="shared" si="0"/>
        <v>6604562.3443054091</v>
      </c>
      <c r="J25" s="36">
        <f t="shared" si="1"/>
        <v>-2054773.6556945909</v>
      </c>
      <c r="K25" s="5">
        <f t="shared" si="2"/>
        <v>-0.23728997878065833</v>
      </c>
      <c r="M25"/>
      <c r="N25"/>
      <c r="O25"/>
      <c r="P25"/>
      <c r="Q25"/>
    </row>
    <row r="26" spans="1:21" x14ac:dyDescent="0.3">
      <c r="A26" s="3">
        <v>38322</v>
      </c>
      <c r="B26" s="59">
        <v>6217492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7</v>
      </c>
      <c r="I26" s="192">
        <f t="shared" si="0"/>
        <v>6550176.2711982988</v>
      </c>
      <c r="J26" s="36">
        <f t="shared" si="1"/>
        <v>332684.27119829878</v>
      </c>
      <c r="K26" s="5">
        <f t="shared" si="2"/>
        <v>5.3507792402193485E-2</v>
      </c>
      <c r="M26"/>
      <c r="N26"/>
      <c r="O26"/>
      <c r="P26"/>
      <c r="Q26"/>
    </row>
    <row r="27" spans="1:21" x14ac:dyDescent="0.3">
      <c r="A27" s="3">
        <v>38353</v>
      </c>
      <c r="B27" s="59">
        <v>6020518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7</v>
      </c>
      <c r="I27" s="192">
        <f t="shared" si="0"/>
        <v>6137993.0499559082</v>
      </c>
      <c r="J27" s="36">
        <f t="shared" si="1"/>
        <v>117475.04995590821</v>
      </c>
      <c r="K27" s="5">
        <f t="shared" si="2"/>
        <v>1.9512448921489515E-2</v>
      </c>
      <c r="M27"/>
      <c r="N27"/>
      <c r="O27"/>
      <c r="P27"/>
      <c r="Q27"/>
    </row>
    <row r="28" spans="1:21" x14ac:dyDescent="0.3">
      <c r="A28" s="3">
        <v>38384</v>
      </c>
      <c r="B28" s="59">
        <v>5932546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7</v>
      </c>
      <c r="I28" s="192">
        <f t="shared" si="0"/>
        <v>7215504.1215531807</v>
      </c>
      <c r="J28" s="36">
        <f t="shared" si="1"/>
        <v>1282958.1215531807</v>
      </c>
      <c r="K28" s="5">
        <f t="shared" si="2"/>
        <v>0.21625759354469071</v>
      </c>
    </row>
    <row r="29" spans="1:21" x14ac:dyDescent="0.3">
      <c r="A29" s="3">
        <v>38412</v>
      </c>
      <c r="B29" s="59">
        <v>5206627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7</v>
      </c>
      <c r="I29" s="192">
        <f t="shared" si="0"/>
        <v>5764261.7250803215</v>
      </c>
      <c r="J29" s="36">
        <f t="shared" si="1"/>
        <v>557634.72508032154</v>
      </c>
      <c r="K29" s="5">
        <f t="shared" si="2"/>
        <v>0.10710095520196118</v>
      </c>
    </row>
    <row r="30" spans="1:21" x14ac:dyDescent="0.3">
      <c r="A30" s="3">
        <v>38443</v>
      </c>
      <c r="B30" s="59">
        <v>5609943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7</v>
      </c>
      <c r="I30" s="192">
        <f t="shared" si="0"/>
        <v>6770187.0843450781</v>
      </c>
      <c r="J30" s="36">
        <f t="shared" si="1"/>
        <v>1160244.0843450781</v>
      </c>
      <c r="K30" s="5">
        <f t="shared" si="2"/>
        <v>0.20681922870608099</v>
      </c>
    </row>
    <row r="31" spans="1:21" x14ac:dyDescent="0.3">
      <c r="A31" s="3">
        <v>38473</v>
      </c>
      <c r="B31" s="59">
        <v>5261262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7</v>
      </c>
      <c r="I31" s="192">
        <f t="shared" si="0"/>
        <v>6899075.9586431058</v>
      </c>
      <c r="J31" s="36">
        <f t="shared" si="1"/>
        <v>1637813.9586431058</v>
      </c>
      <c r="K31" s="5">
        <f t="shared" si="2"/>
        <v>0.31129678747097289</v>
      </c>
    </row>
    <row r="32" spans="1:21" x14ac:dyDescent="0.3">
      <c r="A32" s="3">
        <v>38504</v>
      </c>
      <c r="B32" s="59">
        <v>5408132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7</v>
      </c>
      <c r="I32" s="192">
        <f t="shared" si="0"/>
        <v>7489165.3928518286</v>
      </c>
      <c r="J32" s="36">
        <f t="shared" si="1"/>
        <v>2081033.3928518286</v>
      </c>
      <c r="K32" s="5">
        <f t="shared" si="2"/>
        <v>0.38479707833533439</v>
      </c>
    </row>
    <row r="33" spans="1:11" x14ac:dyDescent="0.3">
      <c r="A33" s="3">
        <v>38534</v>
      </c>
      <c r="B33" s="59">
        <v>6003912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7</v>
      </c>
      <c r="I33" s="192">
        <f t="shared" si="0"/>
        <v>6563159.7386240251</v>
      </c>
      <c r="J33" s="36">
        <f t="shared" si="1"/>
        <v>559247.73862402514</v>
      </c>
      <c r="K33" s="5">
        <f t="shared" si="2"/>
        <v>9.3147224446998078E-2</v>
      </c>
    </row>
    <row r="34" spans="1:11" x14ac:dyDescent="0.3">
      <c r="A34" s="3">
        <v>38565</v>
      </c>
      <c r="B34" s="59">
        <v>4771393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7</v>
      </c>
      <c r="I34" s="192">
        <f t="shared" si="0"/>
        <v>7128218.8033157773</v>
      </c>
      <c r="J34" s="36">
        <f t="shared" si="1"/>
        <v>2356825.8033157773</v>
      </c>
      <c r="K34" s="5">
        <f t="shared" si="2"/>
        <v>0.49394921007675902</v>
      </c>
    </row>
    <row r="35" spans="1:11" x14ac:dyDescent="0.3">
      <c r="A35" s="3">
        <v>38596</v>
      </c>
      <c r="B35" s="59">
        <v>4712005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8</v>
      </c>
      <c r="I35" s="192">
        <f t="shared" si="0"/>
        <v>7266030.4364790972</v>
      </c>
      <c r="J35" s="36">
        <f t="shared" si="1"/>
        <v>2554025.4364790972</v>
      </c>
      <c r="K35" s="5">
        <f t="shared" si="2"/>
        <v>0.54202519659446402</v>
      </c>
    </row>
    <row r="36" spans="1:11" x14ac:dyDescent="0.3">
      <c r="A36" s="3">
        <v>38626</v>
      </c>
      <c r="B36" s="59">
        <v>6089306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8</v>
      </c>
      <c r="I36" s="192">
        <f t="shared" si="0"/>
        <v>6858190.9666179596</v>
      </c>
      <c r="J36" s="36">
        <f t="shared" si="1"/>
        <v>768884.96661795955</v>
      </c>
      <c r="K36" s="5">
        <f t="shared" si="2"/>
        <v>0.12626807826999653</v>
      </c>
    </row>
    <row r="37" spans="1:11" x14ac:dyDescent="0.3">
      <c r="A37" s="3">
        <v>38657</v>
      </c>
      <c r="B37" s="59">
        <v>5939258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8</v>
      </c>
      <c r="I37" s="192">
        <f t="shared" si="0"/>
        <v>6531959.2482341789</v>
      </c>
      <c r="J37" s="36">
        <f t="shared" si="1"/>
        <v>592701.24823417887</v>
      </c>
      <c r="K37" s="5">
        <f t="shared" si="2"/>
        <v>9.9793820749019296E-2</v>
      </c>
    </row>
    <row r="38" spans="1:11" x14ac:dyDescent="0.3">
      <c r="A38" s="3">
        <v>38687</v>
      </c>
      <c r="B38" s="59">
        <v>6062059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8</v>
      </c>
      <c r="I38" s="192">
        <f t="shared" si="0"/>
        <v>6475132.5719134901</v>
      </c>
      <c r="J38" s="36">
        <f t="shared" si="1"/>
        <v>413073.57191349007</v>
      </c>
      <c r="K38" s="5">
        <f t="shared" si="2"/>
        <v>6.8140803630167585E-2</v>
      </c>
    </row>
    <row r="39" spans="1:11" x14ac:dyDescent="0.3">
      <c r="A39" s="3">
        <v>38718</v>
      </c>
      <c r="B39" s="60">
        <v>6150389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8</v>
      </c>
      <c r="I39" s="192">
        <f t="shared" si="0"/>
        <v>6728040.0799206048</v>
      </c>
      <c r="J39" s="36">
        <f t="shared" si="1"/>
        <v>577651.07992060483</v>
      </c>
      <c r="K39" s="5">
        <f t="shared" si="2"/>
        <v>9.3921064166933965E-2</v>
      </c>
    </row>
    <row r="40" spans="1:11" x14ac:dyDescent="0.3">
      <c r="A40" s="3">
        <v>38749</v>
      </c>
      <c r="B40" s="60">
        <v>7134398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9</v>
      </c>
      <c r="I40" s="192">
        <f t="shared" si="0"/>
        <v>7175265.3716111258</v>
      </c>
      <c r="J40" s="36">
        <f t="shared" si="1"/>
        <v>40867.371611125767</v>
      </c>
      <c r="K40" s="5">
        <f t="shared" si="2"/>
        <v>5.7282158370090602E-3</v>
      </c>
    </row>
    <row r="41" spans="1:11" x14ac:dyDescent="0.3">
      <c r="A41" s="3">
        <v>38777</v>
      </c>
      <c r="B41" s="60">
        <v>6002687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9</v>
      </c>
      <c r="I41" s="192">
        <f t="shared" si="0"/>
        <v>5918050.9306177897</v>
      </c>
      <c r="J41" s="36">
        <f t="shared" si="1"/>
        <v>-84636.069382210262</v>
      </c>
      <c r="K41" s="5">
        <f t="shared" si="2"/>
        <v>-1.4099697249283573E-2</v>
      </c>
    </row>
    <row r="42" spans="1:11" x14ac:dyDescent="0.3">
      <c r="A42" s="3">
        <v>38808</v>
      </c>
      <c r="B42" s="60">
        <v>6280632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9</v>
      </c>
      <c r="I42" s="192">
        <f t="shared" si="0"/>
        <v>6775373.3661739342</v>
      </c>
      <c r="J42" s="36">
        <f t="shared" si="1"/>
        <v>494741.36617393419</v>
      </c>
      <c r="K42" s="5">
        <f t="shared" si="2"/>
        <v>7.877254489260542E-2</v>
      </c>
    </row>
    <row r="43" spans="1:11" x14ac:dyDescent="0.3">
      <c r="A43" s="3">
        <v>38838</v>
      </c>
      <c r="B43" s="60">
        <v>6707382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9</v>
      </c>
      <c r="I43" s="192">
        <f t="shared" si="0"/>
        <v>6876687.2567552337</v>
      </c>
      <c r="J43" s="36">
        <f t="shared" si="1"/>
        <v>169305.25675523374</v>
      </c>
      <c r="K43" s="5">
        <f t="shared" si="2"/>
        <v>2.5241630304526228E-2</v>
      </c>
    </row>
    <row r="44" spans="1:11" x14ac:dyDescent="0.3">
      <c r="A44" s="3">
        <v>38869</v>
      </c>
      <c r="B44" s="60">
        <v>7015587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9</v>
      </c>
      <c r="I44" s="192">
        <f t="shared" si="0"/>
        <v>8128308.2530870242</v>
      </c>
      <c r="J44" s="36">
        <f t="shared" si="1"/>
        <v>1112721.2530870242</v>
      </c>
      <c r="K44" s="5">
        <f t="shared" si="2"/>
        <v>0.15860700652518803</v>
      </c>
    </row>
    <row r="45" spans="1:11" x14ac:dyDescent="0.3">
      <c r="A45" s="3">
        <v>38899</v>
      </c>
      <c r="B45" s="60">
        <v>7531984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9</v>
      </c>
      <c r="I45" s="192">
        <f t="shared" si="0"/>
        <v>7094442.1648849919</v>
      </c>
      <c r="J45" s="36">
        <f t="shared" si="1"/>
        <v>-437541.83511500806</v>
      </c>
      <c r="K45" s="5">
        <f t="shared" si="2"/>
        <v>-5.8091179576989019E-2</v>
      </c>
    </row>
    <row r="46" spans="1:11" x14ac:dyDescent="0.3">
      <c r="A46" s="3">
        <v>38930</v>
      </c>
      <c r="B46" s="60">
        <v>8281927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9</v>
      </c>
      <c r="I46" s="192">
        <f t="shared" si="0"/>
        <v>7402601.9923566636</v>
      </c>
      <c r="J46" s="36">
        <f t="shared" si="1"/>
        <v>-879325.00764333643</v>
      </c>
      <c r="K46" s="5">
        <f t="shared" si="2"/>
        <v>-0.10617396261079534</v>
      </c>
    </row>
    <row r="47" spans="1:11" x14ac:dyDescent="0.3">
      <c r="A47" s="3">
        <v>38961</v>
      </c>
      <c r="B47" s="60">
        <v>7868182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10</v>
      </c>
      <c r="I47" s="192">
        <f t="shared" si="0"/>
        <v>7472445.2028517406</v>
      </c>
      <c r="J47" s="36">
        <f t="shared" si="1"/>
        <v>-395736.79714825936</v>
      </c>
      <c r="K47" s="5">
        <f t="shared" si="2"/>
        <v>-5.0295836719112412E-2</v>
      </c>
    </row>
    <row r="48" spans="1:11" x14ac:dyDescent="0.3">
      <c r="A48" s="3">
        <v>38991</v>
      </c>
      <c r="B48" s="60">
        <v>7173982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9</v>
      </c>
      <c r="I48" s="192">
        <f t="shared" si="0"/>
        <v>6709416.5226207478</v>
      </c>
      <c r="J48" s="36">
        <f t="shared" si="1"/>
        <v>-464565.4773792522</v>
      </c>
      <c r="K48" s="5">
        <f t="shared" si="2"/>
        <v>-6.4756989546287155E-2</v>
      </c>
    </row>
    <row r="49" spans="1:11" x14ac:dyDescent="0.3">
      <c r="A49" s="3">
        <v>39022</v>
      </c>
      <c r="B49" s="60">
        <v>2527936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9</v>
      </c>
      <c r="I49" s="192">
        <f t="shared" si="0"/>
        <v>6626532.6227603611</v>
      </c>
      <c r="J49" s="36">
        <f t="shared" si="1"/>
        <v>4098596.6227603611</v>
      </c>
      <c r="K49" s="5">
        <f t="shared" si="2"/>
        <v>1.6213213557464909</v>
      </c>
    </row>
    <row r="50" spans="1:11" x14ac:dyDescent="0.3">
      <c r="A50" s="3">
        <v>39052</v>
      </c>
      <c r="B50" s="60">
        <v>7843678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9</v>
      </c>
      <c r="I50" s="192">
        <f t="shared" si="0"/>
        <v>6992540.4531922173</v>
      </c>
      <c r="J50" s="36">
        <f t="shared" si="1"/>
        <v>-851137.54680778272</v>
      </c>
      <c r="K50" s="5">
        <f t="shared" si="2"/>
        <v>-0.1085125558198313</v>
      </c>
    </row>
    <row r="51" spans="1:11" x14ac:dyDescent="0.3">
      <c r="A51" s="3">
        <v>39083</v>
      </c>
      <c r="B51" s="60">
        <v>11402139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9</v>
      </c>
      <c r="I51" s="192">
        <f t="shared" si="0"/>
        <v>6701224.6476532333</v>
      </c>
      <c r="J51" s="36">
        <f t="shared" si="1"/>
        <v>-4700914.3523467667</v>
      </c>
      <c r="K51" s="5">
        <f t="shared" si="2"/>
        <v>-0.41228355068700412</v>
      </c>
    </row>
    <row r="52" spans="1:11" x14ac:dyDescent="0.3">
      <c r="A52" s="3">
        <v>39114</v>
      </c>
      <c r="B52" s="60">
        <v>7839057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9</v>
      </c>
      <c r="I52" s="192">
        <f t="shared" si="0"/>
        <v>6935507.3089589961</v>
      </c>
      <c r="J52" s="36">
        <f t="shared" si="1"/>
        <v>-903549.69104100391</v>
      </c>
      <c r="K52" s="5">
        <f t="shared" si="2"/>
        <v>-0.11526254893171511</v>
      </c>
    </row>
    <row r="53" spans="1:11" x14ac:dyDescent="0.3">
      <c r="A53" s="3">
        <v>39142</v>
      </c>
      <c r="B53" s="60">
        <v>7255977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9</v>
      </c>
      <c r="I53" s="192">
        <f t="shared" si="0"/>
        <v>6107839.0335555458</v>
      </c>
      <c r="J53" s="36">
        <f t="shared" si="1"/>
        <v>-1148137.9664444542</v>
      </c>
      <c r="K53" s="5">
        <f t="shared" si="2"/>
        <v>-0.1582334076368288</v>
      </c>
    </row>
    <row r="54" spans="1:11" x14ac:dyDescent="0.3">
      <c r="A54" s="3">
        <v>39173</v>
      </c>
      <c r="B54" s="60">
        <v>8929951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9</v>
      </c>
      <c r="I54" s="192">
        <f t="shared" si="0"/>
        <v>6922078.5817756243</v>
      </c>
      <c r="J54" s="36">
        <f t="shared" si="1"/>
        <v>-2007872.4182243757</v>
      </c>
      <c r="K54" s="5">
        <f t="shared" si="2"/>
        <v>-0.22484696928621173</v>
      </c>
    </row>
    <row r="55" spans="1:11" x14ac:dyDescent="0.3">
      <c r="A55" s="3">
        <v>39203</v>
      </c>
      <c r="B55" s="60">
        <v>7508485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9</v>
      </c>
      <c r="I55" s="192">
        <f t="shared" si="0"/>
        <v>7299049.2267974457</v>
      </c>
      <c r="J55" s="36">
        <f t="shared" si="1"/>
        <v>-209435.77320255432</v>
      </c>
      <c r="K55" s="5">
        <f t="shared" si="2"/>
        <v>-2.7893213238430165E-2</v>
      </c>
    </row>
    <row r="56" spans="1:11" x14ac:dyDescent="0.3">
      <c r="A56" s="3">
        <v>39234</v>
      </c>
      <c r="B56" s="60">
        <v>8191968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9</v>
      </c>
      <c r="I56" s="192">
        <f t="shared" si="0"/>
        <v>8235439.5094761541</v>
      </c>
      <c r="J56" s="36">
        <f t="shared" si="1"/>
        <v>43471.509476154111</v>
      </c>
      <c r="K56" s="5">
        <f t="shared" si="2"/>
        <v>5.3066014755128576E-3</v>
      </c>
    </row>
    <row r="57" spans="1:11" x14ac:dyDescent="0.3">
      <c r="A57" s="3">
        <v>39264</v>
      </c>
      <c r="B57" s="60">
        <v>8759508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9</v>
      </c>
      <c r="I57" s="192">
        <f t="shared" si="0"/>
        <v>7899452.7363868579</v>
      </c>
      <c r="J57" s="36">
        <f t="shared" si="1"/>
        <v>-860055.26361314207</v>
      </c>
      <c r="K57" s="5">
        <f t="shared" si="2"/>
        <v>-9.8185339132419544E-2</v>
      </c>
    </row>
    <row r="58" spans="1:11" x14ac:dyDescent="0.3">
      <c r="A58" s="3">
        <v>39295</v>
      </c>
      <c r="B58" s="60">
        <v>8784825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9</v>
      </c>
      <c r="I58" s="192">
        <f t="shared" si="0"/>
        <v>7340554.6102561094</v>
      </c>
      <c r="J58" s="36">
        <f t="shared" si="1"/>
        <v>-1444270.3897438906</v>
      </c>
      <c r="K58" s="5">
        <f t="shared" si="2"/>
        <v>-0.16440514065378542</v>
      </c>
    </row>
    <row r="59" spans="1:11" x14ac:dyDescent="0.3">
      <c r="A59" s="3">
        <v>39326</v>
      </c>
      <c r="B59" s="60">
        <v>9224371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9</v>
      </c>
      <c r="I59" s="192">
        <f t="shared" si="0"/>
        <v>7544934.0922081182</v>
      </c>
      <c r="J59" s="36">
        <f t="shared" si="1"/>
        <v>-1679436.9077918818</v>
      </c>
      <c r="K59" s="5">
        <f t="shared" si="2"/>
        <v>-0.18206519531704457</v>
      </c>
    </row>
    <row r="60" spans="1:11" x14ac:dyDescent="0.3">
      <c r="A60" s="3">
        <v>39356</v>
      </c>
      <c r="B60" s="60">
        <v>8687502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9</v>
      </c>
      <c r="I60" s="192">
        <f t="shared" si="0"/>
        <v>7259871.0060615269</v>
      </c>
      <c r="J60" s="36">
        <f t="shared" si="1"/>
        <v>-1427630.9939384731</v>
      </c>
      <c r="K60" s="5">
        <f t="shared" si="2"/>
        <v>-0.16433158736981851</v>
      </c>
    </row>
    <row r="61" spans="1:11" x14ac:dyDescent="0.3">
      <c r="A61" s="3">
        <v>39387</v>
      </c>
      <c r="B61" s="60">
        <v>8832509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9</v>
      </c>
      <c r="I61" s="192">
        <f t="shared" si="0"/>
        <v>6811811.8503693976</v>
      </c>
      <c r="J61" s="36">
        <f t="shared" si="1"/>
        <v>-2020697.1496306024</v>
      </c>
      <c r="K61" s="5">
        <f t="shared" si="2"/>
        <v>-0.22877951775997085</v>
      </c>
    </row>
    <row r="62" spans="1:11" x14ac:dyDescent="0.3">
      <c r="A62" s="3">
        <v>39417</v>
      </c>
      <c r="B62" s="60">
        <v>8453705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9</v>
      </c>
      <c r="I62" s="192">
        <f t="shared" si="0"/>
        <v>7422795.2283642367</v>
      </c>
      <c r="J62" s="36">
        <f t="shared" si="1"/>
        <v>-1030909.7716357633</v>
      </c>
      <c r="K62" s="5">
        <f t="shared" si="2"/>
        <v>-0.12194768703612953</v>
      </c>
    </row>
    <row r="63" spans="1:11" x14ac:dyDescent="0.3">
      <c r="A63" s="3">
        <v>39448</v>
      </c>
      <c r="B63" s="61">
        <v>8872502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9</v>
      </c>
      <c r="I63" s="192">
        <f t="shared" si="0"/>
        <v>7114332.7941662055</v>
      </c>
      <c r="J63" s="36">
        <f t="shared" si="1"/>
        <v>-1758169.2058337945</v>
      </c>
      <c r="K63" s="5">
        <f t="shared" si="2"/>
        <v>-0.19815934736715693</v>
      </c>
    </row>
    <row r="64" spans="1:11" x14ac:dyDescent="0.3">
      <c r="A64" s="3">
        <v>39479</v>
      </c>
      <c r="B64" s="61">
        <v>9386946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9</v>
      </c>
      <c r="I64" s="192">
        <f t="shared" si="0"/>
        <v>7866841.9535544924</v>
      </c>
      <c r="J64" s="36">
        <f t="shared" si="1"/>
        <v>-1520104.0464455076</v>
      </c>
      <c r="K64" s="5">
        <f t="shared" si="2"/>
        <v>-0.16193808363716033</v>
      </c>
    </row>
    <row r="65" spans="1:17" x14ac:dyDescent="0.3">
      <c r="A65" s="3">
        <v>39508</v>
      </c>
      <c r="B65" s="61">
        <v>7792760.1255280245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9</v>
      </c>
      <c r="I65" s="192">
        <f t="shared" si="0"/>
        <v>6239057.5089001535</v>
      </c>
      <c r="J65" s="36">
        <f t="shared" si="1"/>
        <v>-1553702.6166278711</v>
      </c>
      <c r="K65" s="5">
        <f t="shared" si="2"/>
        <v>-0.1993777033554712</v>
      </c>
    </row>
    <row r="66" spans="1:17" x14ac:dyDescent="0.3">
      <c r="A66" s="3">
        <v>39539</v>
      </c>
      <c r="B66" s="61">
        <v>8704234.279269319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9</v>
      </c>
      <c r="I66" s="192">
        <f t="shared" si="0"/>
        <v>7280448.5695240293</v>
      </c>
      <c r="J66" s="36">
        <f t="shared" si="1"/>
        <v>-1423785.7097452898</v>
      </c>
      <c r="K66" s="5">
        <f t="shared" si="2"/>
        <v>-0.16357391863133652</v>
      </c>
    </row>
    <row r="67" spans="1:17" x14ac:dyDescent="0.3">
      <c r="A67" s="3">
        <v>39569</v>
      </c>
      <c r="B67" s="61">
        <v>8210467.2029812597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9</v>
      </c>
      <c r="I67" s="192">
        <f t="shared" si="0"/>
        <v>7060392.5954989372</v>
      </c>
      <c r="J67" s="36">
        <f t="shared" si="1"/>
        <v>-1150074.6074823225</v>
      </c>
      <c r="K67" s="5">
        <f t="shared" si="2"/>
        <v>-0.14007419785621028</v>
      </c>
    </row>
    <row r="68" spans="1:17" x14ac:dyDescent="0.3">
      <c r="A68" s="3">
        <v>39600</v>
      </c>
      <c r="B68" s="61">
        <v>8656676.3922213931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9</v>
      </c>
      <c r="I68" s="192">
        <f t="shared" ref="I68:I131" si="3">$N$18+C68*$N$19+D68*$N$20+E68*$N$21+F68*$N$22+G68*$N$23</f>
        <v>8265296.1145585896</v>
      </c>
      <c r="J68" s="36">
        <f t="shared" ref="J68:J131" si="4">I68-B68</f>
        <v>-391380.27766280342</v>
      </c>
      <c r="K68" s="5">
        <f t="shared" ref="K68:K131" si="5">J68/B68</f>
        <v>-4.5211379047793099E-2</v>
      </c>
    </row>
    <row r="69" spans="1:17" x14ac:dyDescent="0.3">
      <c r="A69" s="3">
        <v>39630</v>
      </c>
      <c r="B69" s="61">
        <v>11794162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9</v>
      </c>
      <c r="I69" s="192">
        <f t="shared" si="3"/>
        <v>7662358.0416731872</v>
      </c>
      <c r="J69" s="36">
        <f t="shared" si="4"/>
        <v>-4131803.9583268128</v>
      </c>
      <c r="K69" s="5">
        <f t="shared" si="5"/>
        <v>-0.35032620022743566</v>
      </c>
    </row>
    <row r="70" spans="1:17" x14ac:dyDescent="0.3">
      <c r="A70" s="3">
        <v>39661</v>
      </c>
      <c r="B70" s="61">
        <v>10143998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9</v>
      </c>
      <c r="I70" s="192">
        <f t="shared" si="3"/>
        <v>8014151.5743540097</v>
      </c>
      <c r="J70" s="36">
        <f t="shared" si="4"/>
        <v>-2129846.4256459903</v>
      </c>
      <c r="K70" s="5">
        <f t="shared" si="5"/>
        <v>-0.20996124266250746</v>
      </c>
    </row>
    <row r="71" spans="1:17" x14ac:dyDescent="0.3">
      <c r="A71" s="3">
        <v>39692</v>
      </c>
      <c r="B71" s="61">
        <v>9744604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8</v>
      </c>
      <c r="I71" s="192">
        <f t="shared" si="3"/>
        <v>7399181.0822407417</v>
      </c>
      <c r="J71" s="36">
        <f t="shared" si="4"/>
        <v>-2345422.9177592583</v>
      </c>
      <c r="K71" s="5">
        <f t="shared" si="5"/>
        <v>-0.24068940284892626</v>
      </c>
    </row>
    <row r="72" spans="1:17" x14ac:dyDescent="0.3">
      <c r="A72" s="3">
        <v>39722</v>
      </c>
      <c r="B72" s="61">
        <v>6653295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8</v>
      </c>
      <c r="I72" s="192">
        <f t="shared" si="3"/>
        <v>6879079.3481119657</v>
      </c>
      <c r="J72" s="36">
        <f t="shared" si="4"/>
        <v>225784.34811196569</v>
      </c>
      <c r="K72" s="5">
        <f t="shared" si="5"/>
        <v>3.3935718784747361E-2</v>
      </c>
    </row>
    <row r="73" spans="1:17" x14ac:dyDescent="0.3">
      <c r="A73" s="3">
        <v>39753</v>
      </c>
      <c r="B73" s="61">
        <v>6374833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9</v>
      </c>
      <c r="I73" s="192">
        <f t="shared" si="3"/>
        <v>6879175.9575132616</v>
      </c>
      <c r="J73" s="36">
        <f t="shared" si="4"/>
        <v>504342.95751326159</v>
      </c>
      <c r="K73" s="5">
        <f t="shared" si="5"/>
        <v>7.9114693281104237E-2</v>
      </c>
    </row>
    <row r="74" spans="1:17" x14ac:dyDescent="0.3">
      <c r="A74" s="3">
        <v>39783</v>
      </c>
      <c r="B74" s="61">
        <v>6098794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9</v>
      </c>
      <c r="I74" s="192">
        <f t="shared" si="3"/>
        <v>7226574.1884415802</v>
      </c>
      <c r="J74" s="36">
        <f t="shared" si="4"/>
        <v>1127780.1884415802</v>
      </c>
      <c r="K74" s="5">
        <f t="shared" si="5"/>
        <v>0.18491855741341323</v>
      </c>
    </row>
    <row r="75" spans="1:17" s="14" customFormat="1" x14ac:dyDescent="0.3">
      <c r="A75" s="3">
        <v>39814</v>
      </c>
      <c r="B75" s="61">
        <v>6324203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10</v>
      </c>
      <c r="I75" s="192">
        <f t="shared" si="3"/>
        <v>6283689.4301065132</v>
      </c>
      <c r="J75" s="36">
        <f t="shared" si="4"/>
        <v>-40513.569893486798</v>
      </c>
      <c r="K75" s="5">
        <f t="shared" si="5"/>
        <v>-6.4061147141365954E-3</v>
      </c>
      <c r="L75" s="11"/>
      <c r="M75" s="11"/>
      <c r="N75" s="11"/>
      <c r="O75" s="11"/>
      <c r="P75" s="11"/>
      <c r="Q75" s="11"/>
    </row>
    <row r="76" spans="1:17" x14ac:dyDescent="0.3">
      <c r="A76" s="3">
        <v>39845</v>
      </c>
      <c r="B76" s="61">
        <v>7540439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11</v>
      </c>
      <c r="I76" s="192">
        <f t="shared" si="3"/>
        <v>7156799.9825665522</v>
      </c>
      <c r="J76" s="36">
        <f t="shared" si="4"/>
        <v>-383639.01743344776</v>
      </c>
      <c r="K76" s="5">
        <f t="shared" si="5"/>
        <v>-5.0877544057242256E-2</v>
      </c>
    </row>
    <row r="77" spans="1:17" x14ac:dyDescent="0.3">
      <c r="A77" s="3">
        <v>39873</v>
      </c>
      <c r="B77" s="61">
        <v>6967085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11</v>
      </c>
      <c r="I77" s="192">
        <f t="shared" si="3"/>
        <v>6138459.5811022511</v>
      </c>
      <c r="J77" s="36">
        <f t="shared" si="4"/>
        <v>-828625.41889774892</v>
      </c>
      <c r="K77" s="5">
        <f t="shared" si="5"/>
        <v>-0.11893430593967906</v>
      </c>
    </row>
    <row r="78" spans="1:17" x14ac:dyDescent="0.3">
      <c r="A78" s="3">
        <v>39904</v>
      </c>
      <c r="B78" s="61">
        <v>7626479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11</v>
      </c>
      <c r="I78" s="192">
        <f t="shared" si="3"/>
        <v>6712066.742612591</v>
      </c>
      <c r="J78" s="36">
        <f t="shared" si="4"/>
        <v>-914412.25738740899</v>
      </c>
      <c r="K78" s="5">
        <f t="shared" si="5"/>
        <v>-0.11989966239825862</v>
      </c>
    </row>
    <row r="79" spans="1:17" x14ac:dyDescent="0.3">
      <c r="A79" s="3">
        <v>39934</v>
      </c>
      <c r="B79" s="61">
        <v>7428122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11</v>
      </c>
      <c r="I79" s="192">
        <f t="shared" si="3"/>
        <v>6949928.9465352381</v>
      </c>
      <c r="J79" s="36">
        <f t="shared" si="4"/>
        <v>-478193.05346476194</v>
      </c>
      <c r="K79" s="5">
        <f t="shared" si="5"/>
        <v>-6.4376036562776157E-2</v>
      </c>
    </row>
    <row r="80" spans="1:17" x14ac:dyDescent="0.3">
      <c r="A80" s="3">
        <v>39965</v>
      </c>
      <c r="B80" s="61">
        <v>7082227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11</v>
      </c>
      <c r="I80" s="192">
        <f t="shared" si="3"/>
        <v>8050249.052648141</v>
      </c>
      <c r="J80" s="36">
        <f t="shared" si="4"/>
        <v>968022.05264814105</v>
      </c>
      <c r="K80" s="5">
        <f t="shared" si="5"/>
        <v>0.13668328516554765</v>
      </c>
    </row>
    <row r="81" spans="1:17" x14ac:dyDescent="0.3">
      <c r="A81" s="3">
        <v>39995</v>
      </c>
      <c r="B81" s="61">
        <v>7025798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11</v>
      </c>
      <c r="I81" s="192">
        <f t="shared" si="3"/>
        <v>7957692.1749006119</v>
      </c>
      <c r="J81" s="36">
        <f t="shared" si="4"/>
        <v>931894.17490061186</v>
      </c>
      <c r="K81" s="5">
        <f t="shared" si="5"/>
        <v>0.13263890805010503</v>
      </c>
    </row>
    <row r="82" spans="1:17" x14ac:dyDescent="0.3">
      <c r="A82" s="3">
        <v>40026</v>
      </c>
      <c r="B82" s="61">
        <v>7419480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11</v>
      </c>
      <c r="I82" s="192">
        <f t="shared" si="3"/>
        <v>7322537.7459853087</v>
      </c>
      <c r="J82" s="36">
        <f t="shared" si="4"/>
        <v>-96942.254014691338</v>
      </c>
      <c r="K82" s="5">
        <f t="shared" si="5"/>
        <v>-1.3065909472724685E-2</v>
      </c>
    </row>
    <row r="83" spans="1:17" x14ac:dyDescent="0.3">
      <c r="A83" s="3">
        <v>40057</v>
      </c>
      <c r="B83" s="61">
        <v>8034531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10</v>
      </c>
      <c r="I83" s="192">
        <f t="shared" si="3"/>
        <v>7333937.8880483899</v>
      </c>
      <c r="J83" s="36">
        <f t="shared" si="4"/>
        <v>-700593.11195161007</v>
      </c>
      <c r="K83" s="5">
        <f t="shared" si="5"/>
        <v>-8.7197760759353607E-2</v>
      </c>
    </row>
    <row r="84" spans="1:17" x14ac:dyDescent="0.3">
      <c r="A84" s="3">
        <v>40087</v>
      </c>
      <c r="B84" s="61">
        <v>7591096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10</v>
      </c>
      <c r="I84" s="192">
        <f t="shared" si="3"/>
        <v>6545812.1971304556</v>
      </c>
      <c r="J84" s="36">
        <f t="shared" si="4"/>
        <v>-1045283.8028695444</v>
      </c>
      <c r="K84" s="5">
        <f t="shared" si="5"/>
        <v>-0.13769866734257402</v>
      </c>
    </row>
    <row r="85" spans="1:17" x14ac:dyDescent="0.3">
      <c r="A85" s="3">
        <v>40118</v>
      </c>
      <c r="B85" s="61">
        <v>7256083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10</v>
      </c>
      <c r="I85" s="192">
        <f t="shared" si="3"/>
        <v>6564823.4814369883</v>
      </c>
      <c r="J85" s="36">
        <f t="shared" si="4"/>
        <v>-691259.51856301166</v>
      </c>
      <c r="K85" s="5">
        <f t="shared" si="5"/>
        <v>-9.5266208857177029E-2</v>
      </c>
    </row>
    <row r="86" spans="1:17" s="31" customFormat="1" x14ac:dyDescent="0.3">
      <c r="A86" s="3">
        <v>40148</v>
      </c>
      <c r="B86" s="61">
        <v>6942046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10</v>
      </c>
      <c r="I86" s="192">
        <f t="shared" si="3"/>
        <v>6419219.8632223681</v>
      </c>
      <c r="J86" s="36">
        <f t="shared" si="4"/>
        <v>-522826.13677763194</v>
      </c>
      <c r="K86" s="5">
        <f t="shared" si="5"/>
        <v>-7.5312974990029161E-2</v>
      </c>
      <c r="L86" s="27"/>
      <c r="M86" s="27"/>
      <c r="N86" s="27"/>
      <c r="O86" s="27"/>
      <c r="P86" s="27"/>
      <c r="Q86" s="27"/>
    </row>
    <row r="87" spans="1:17" x14ac:dyDescent="0.3">
      <c r="A87" s="3">
        <v>40179</v>
      </c>
      <c r="B87" s="59">
        <v>6922167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10</v>
      </c>
      <c r="I87" s="192">
        <f t="shared" si="3"/>
        <v>6161534.4570995755</v>
      </c>
      <c r="J87" s="36">
        <f t="shared" si="4"/>
        <v>-760632.54290042445</v>
      </c>
      <c r="K87" s="5">
        <f t="shared" si="5"/>
        <v>-0.10988358745179427</v>
      </c>
    </row>
    <row r="88" spans="1:17" x14ac:dyDescent="0.3">
      <c r="A88" s="3">
        <v>40210</v>
      </c>
      <c r="B88" s="59">
        <v>6769873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10</v>
      </c>
      <c r="I88" s="192">
        <f t="shared" si="3"/>
        <v>7117320.4434195999</v>
      </c>
      <c r="J88" s="36">
        <f t="shared" si="4"/>
        <v>347447.44341959991</v>
      </c>
      <c r="K88" s="5">
        <f t="shared" si="5"/>
        <v>5.1322594001335022E-2</v>
      </c>
    </row>
    <row r="89" spans="1:17" x14ac:dyDescent="0.3">
      <c r="A89" s="3">
        <v>40238</v>
      </c>
      <c r="B89" s="59">
        <v>6183539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10</v>
      </c>
      <c r="I89" s="192">
        <f t="shared" si="3"/>
        <v>6159079.8960896796</v>
      </c>
      <c r="J89" s="36">
        <f t="shared" si="4"/>
        <v>-24459.103910320438</v>
      </c>
      <c r="K89" s="5">
        <f t="shared" si="5"/>
        <v>-3.9555186617761182E-3</v>
      </c>
    </row>
    <row r="90" spans="1:17" x14ac:dyDescent="0.3">
      <c r="A90" s="3">
        <v>40269</v>
      </c>
      <c r="B90" s="59">
        <v>6688111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10</v>
      </c>
      <c r="I90" s="192">
        <f t="shared" si="3"/>
        <v>6883999.6073091682</v>
      </c>
      <c r="J90" s="36">
        <f t="shared" si="4"/>
        <v>195888.6073091682</v>
      </c>
      <c r="K90" s="5">
        <f t="shared" si="5"/>
        <v>2.9289078382396496E-2</v>
      </c>
    </row>
    <row r="91" spans="1:17" x14ac:dyDescent="0.3">
      <c r="A91" s="3">
        <v>40299</v>
      </c>
      <c r="B91" s="59">
        <v>6399287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10</v>
      </c>
      <c r="I91" s="192">
        <f t="shared" si="3"/>
        <v>6768716.5682503069</v>
      </c>
      <c r="J91" s="36">
        <f t="shared" si="4"/>
        <v>369429.56825030688</v>
      </c>
      <c r="K91" s="5">
        <f t="shared" si="5"/>
        <v>5.7729801499808789E-2</v>
      </c>
    </row>
    <row r="92" spans="1:17" x14ac:dyDescent="0.3">
      <c r="A92" s="3">
        <v>40330</v>
      </c>
      <c r="B92" s="59">
        <v>6643174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10</v>
      </c>
      <c r="I92" s="192">
        <f t="shared" si="3"/>
        <v>7874816.5979724554</v>
      </c>
      <c r="J92" s="36">
        <f t="shared" si="4"/>
        <v>1231642.5979724554</v>
      </c>
      <c r="K92" s="5">
        <f t="shared" si="5"/>
        <v>0.18539971976836003</v>
      </c>
    </row>
    <row r="93" spans="1:17" x14ac:dyDescent="0.3">
      <c r="A93" s="3">
        <v>40360</v>
      </c>
      <c r="B93" s="59">
        <v>6816956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10</v>
      </c>
      <c r="I93" s="192">
        <f t="shared" si="3"/>
        <v>6754978.5794220753</v>
      </c>
      <c r="J93" s="36">
        <f t="shared" si="4"/>
        <v>-61977.420577924699</v>
      </c>
      <c r="K93" s="5">
        <f t="shared" si="5"/>
        <v>-9.0916562433327568E-3</v>
      </c>
    </row>
    <row r="94" spans="1:17" x14ac:dyDescent="0.3">
      <c r="A94" s="3">
        <v>40391</v>
      </c>
      <c r="B94" s="59">
        <v>7350724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10</v>
      </c>
      <c r="I94" s="192">
        <f t="shared" si="3"/>
        <v>7093383.7931658328</v>
      </c>
      <c r="J94" s="36">
        <f t="shared" si="4"/>
        <v>-257340.20683416724</v>
      </c>
      <c r="K94" s="5">
        <f t="shared" si="5"/>
        <v>-3.5008824550366364E-2</v>
      </c>
    </row>
    <row r="95" spans="1:17" x14ac:dyDescent="0.3">
      <c r="A95" s="3">
        <v>40422</v>
      </c>
      <c r="B95" s="59">
        <v>7400612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10</v>
      </c>
      <c r="I95" s="192">
        <f t="shared" si="3"/>
        <v>7130544.9755584616</v>
      </c>
      <c r="J95" s="36">
        <f t="shared" si="4"/>
        <v>-270067.02444153838</v>
      </c>
      <c r="K95" s="5">
        <f t="shared" si="5"/>
        <v>-3.6492525812937951E-2</v>
      </c>
    </row>
    <row r="96" spans="1:17" x14ac:dyDescent="0.3">
      <c r="A96" s="3">
        <v>40452</v>
      </c>
      <c r="B96" s="59">
        <v>6682210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10</v>
      </c>
      <c r="I96" s="192">
        <f t="shared" si="3"/>
        <v>6694244.5568308504</v>
      </c>
      <c r="J96" s="36">
        <f t="shared" si="4"/>
        <v>12034.55683085043</v>
      </c>
      <c r="K96" s="5">
        <f t="shared" si="5"/>
        <v>1.8009845291977399E-3</v>
      </c>
    </row>
    <row r="97" spans="1:11" x14ac:dyDescent="0.3">
      <c r="A97" s="3">
        <v>40483</v>
      </c>
      <c r="B97" s="59">
        <v>6558043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10</v>
      </c>
      <c r="I97" s="192">
        <f t="shared" si="3"/>
        <v>6463399.0871472415</v>
      </c>
      <c r="J97" s="36">
        <f t="shared" si="4"/>
        <v>-94643.912852758542</v>
      </c>
      <c r="K97" s="5">
        <f t="shared" si="5"/>
        <v>-1.44317310595186E-2</v>
      </c>
    </row>
    <row r="98" spans="1:11" x14ac:dyDescent="0.3">
      <c r="A98" s="3">
        <v>40513</v>
      </c>
      <c r="B98" s="59">
        <v>6368445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10</v>
      </c>
      <c r="I98" s="192">
        <f t="shared" si="3"/>
        <v>6416029.7482791729</v>
      </c>
      <c r="J98" s="36">
        <f t="shared" si="4"/>
        <v>47584.748279172927</v>
      </c>
      <c r="K98" s="5">
        <f t="shared" si="5"/>
        <v>7.4719571699485392E-3</v>
      </c>
    </row>
    <row r="99" spans="1:11" x14ac:dyDescent="0.3">
      <c r="A99" s="3">
        <v>40544</v>
      </c>
      <c r="B99" s="105">
        <v>6443673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42">
        <v>10</v>
      </c>
      <c r="I99" s="192">
        <f t="shared" si="3"/>
        <v>6031360.869820796</v>
      </c>
      <c r="J99" s="36">
        <f t="shared" si="4"/>
        <v>-412312.13017920405</v>
      </c>
      <c r="K99" s="5">
        <f t="shared" si="5"/>
        <v>-6.398712817661667E-2</v>
      </c>
    </row>
    <row r="100" spans="1:11" x14ac:dyDescent="0.3">
      <c r="A100" s="3">
        <v>40575</v>
      </c>
      <c r="B100" s="105">
        <v>6570423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42">
        <v>10</v>
      </c>
      <c r="I100" s="192">
        <f t="shared" si="3"/>
        <v>7019484.8487207405</v>
      </c>
      <c r="J100" s="36">
        <f t="shared" si="4"/>
        <v>449061.84872074053</v>
      </c>
      <c r="K100" s="5">
        <f t="shared" si="5"/>
        <v>6.8345957135596977E-2</v>
      </c>
    </row>
    <row r="101" spans="1:11" x14ac:dyDescent="0.3">
      <c r="A101" s="3">
        <v>40603</v>
      </c>
      <c r="B101" s="105">
        <v>5927522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42">
        <v>10</v>
      </c>
      <c r="I101" s="192">
        <f t="shared" si="3"/>
        <v>5761050.1061206153</v>
      </c>
      <c r="J101" s="36">
        <f t="shared" si="4"/>
        <v>-166471.89387938473</v>
      </c>
      <c r="K101" s="5">
        <f t="shared" si="5"/>
        <v>-2.8084567864848874E-2</v>
      </c>
    </row>
    <row r="102" spans="1:11" x14ac:dyDescent="0.3">
      <c r="A102" s="3">
        <v>40634</v>
      </c>
      <c r="B102" s="105">
        <v>6620336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42">
        <v>10</v>
      </c>
      <c r="I102" s="192">
        <f t="shared" si="3"/>
        <v>6588004.3624332435</v>
      </c>
      <c r="J102" s="36">
        <f t="shared" si="4"/>
        <v>-32331.637566756457</v>
      </c>
      <c r="K102" s="5">
        <f t="shared" si="5"/>
        <v>-4.8836852943349787E-3</v>
      </c>
    </row>
    <row r="103" spans="1:11" x14ac:dyDescent="0.3">
      <c r="A103" s="3">
        <v>40664</v>
      </c>
      <c r="B103" s="105">
        <v>6116607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42">
        <v>10</v>
      </c>
      <c r="I103" s="192">
        <f t="shared" si="3"/>
        <v>6941832.1984301144</v>
      </c>
      <c r="J103" s="36">
        <f t="shared" si="4"/>
        <v>825225.19843011443</v>
      </c>
      <c r="K103" s="5">
        <f t="shared" si="5"/>
        <v>0.13491551744784558</v>
      </c>
    </row>
    <row r="104" spans="1:11" x14ac:dyDescent="0.3">
      <c r="A104" s="3">
        <v>40695</v>
      </c>
      <c r="B104" s="105">
        <v>6577568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42">
        <v>10</v>
      </c>
      <c r="I104" s="192">
        <f t="shared" si="3"/>
        <v>8002726.2630473571</v>
      </c>
      <c r="J104" s="36">
        <f t="shared" si="4"/>
        <v>1425158.2630473571</v>
      </c>
      <c r="K104" s="5">
        <f t="shared" si="5"/>
        <v>0.21666948377384423</v>
      </c>
    </row>
    <row r="105" spans="1:11" x14ac:dyDescent="0.3">
      <c r="A105" s="3">
        <v>40725</v>
      </c>
      <c r="B105" s="105">
        <v>6856409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42">
        <v>10</v>
      </c>
      <c r="I105" s="192">
        <f t="shared" si="3"/>
        <v>6656021.7759194095</v>
      </c>
      <c r="J105" s="36">
        <f t="shared" si="4"/>
        <v>-200387.22408059053</v>
      </c>
      <c r="K105" s="5">
        <f t="shared" si="5"/>
        <v>-2.9226264664285712E-2</v>
      </c>
    </row>
    <row r="106" spans="1:11" x14ac:dyDescent="0.3">
      <c r="A106" s="3">
        <v>40756</v>
      </c>
      <c r="B106" s="105">
        <v>7306163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42">
        <v>10</v>
      </c>
      <c r="I106" s="192">
        <f t="shared" si="3"/>
        <v>7398492.7487569489</v>
      </c>
      <c r="J106" s="36">
        <f t="shared" si="4"/>
        <v>92329.748756948858</v>
      </c>
      <c r="K106" s="5">
        <f t="shared" si="5"/>
        <v>1.2637241840477534E-2</v>
      </c>
    </row>
    <row r="107" spans="1:11" x14ac:dyDescent="0.3">
      <c r="A107" s="3">
        <v>40787</v>
      </c>
      <c r="B107" s="105">
        <v>7539867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42">
        <v>10</v>
      </c>
      <c r="I107" s="192">
        <f t="shared" si="3"/>
        <v>7146826.7729641255</v>
      </c>
      <c r="J107" s="36">
        <f t="shared" si="4"/>
        <v>-393040.2270358745</v>
      </c>
      <c r="K107" s="5">
        <f t="shared" si="5"/>
        <v>-5.2128270569742743E-2</v>
      </c>
    </row>
    <row r="108" spans="1:11" x14ac:dyDescent="0.3">
      <c r="A108" s="3">
        <v>40817</v>
      </c>
      <c r="B108" s="105">
        <v>7091875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42">
        <v>10</v>
      </c>
      <c r="I108" s="192">
        <f t="shared" si="3"/>
        <v>6833721.5720377965</v>
      </c>
      <c r="J108" s="36">
        <f t="shared" si="4"/>
        <v>-258153.42796220351</v>
      </c>
      <c r="K108" s="5">
        <f t="shared" si="5"/>
        <v>-3.6401294151716369E-2</v>
      </c>
    </row>
    <row r="109" spans="1:11" x14ac:dyDescent="0.3">
      <c r="A109" s="3">
        <v>40848</v>
      </c>
      <c r="B109" s="105">
        <v>6525631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42">
        <v>10</v>
      </c>
      <c r="I109" s="192">
        <f t="shared" si="3"/>
        <v>6654738.9206427392</v>
      </c>
      <c r="J109" s="36">
        <f t="shared" si="4"/>
        <v>129107.92064273916</v>
      </c>
      <c r="K109" s="5">
        <f t="shared" si="5"/>
        <v>1.9784741221613535E-2</v>
      </c>
    </row>
    <row r="110" spans="1:11" x14ac:dyDescent="0.3">
      <c r="A110" s="3">
        <v>40878</v>
      </c>
      <c r="B110" s="105">
        <v>6331942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42">
        <v>10</v>
      </c>
      <c r="I110" s="192">
        <f t="shared" si="3"/>
        <v>6784313.3147591408</v>
      </c>
      <c r="J110" s="36">
        <f t="shared" si="4"/>
        <v>452371.31475914083</v>
      </c>
      <c r="K110" s="5">
        <f t="shared" si="5"/>
        <v>7.1442744541744194E-2</v>
      </c>
    </row>
    <row r="111" spans="1:11" x14ac:dyDescent="0.3">
      <c r="A111" s="3">
        <v>40909</v>
      </c>
      <c r="B111" s="105">
        <v>6179904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42">
        <v>10</v>
      </c>
      <c r="I111" s="192">
        <f t="shared" si="3"/>
        <v>6522222.3416191079</v>
      </c>
      <c r="J111" s="36">
        <f t="shared" si="4"/>
        <v>342318.34161910787</v>
      </c>
      <c r="K111" s="5">
        <f t="shared" si="5"/>
        <v>5.5392177875110658E-2</v>
      </c>
    </row>
    <row r="112" spans="1:11" x14ac:dyDescent="0.3">
      <c r="A112" s="3">
        <v>40940</v>
      </c>
      <c r="B112" s="105">
        <v>6319705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42">
        <v>10</v>
      </c>
      <c r="I112" s="192">
        <f t="shared" si="3"/>
        <v>7151481.0387216602</v>
      </c>
      <c r="J112" s="36">
        <f t="shared" si="4"/>
        <v>831776.03872166015</v>
      </c>
      <c r="K112" s="5">
        <f t="shared" si="5"/>
        <v>0.13161627619036967</v>
      </c>
    </row>
    <row r="113" spans="1:11" x14ac:dyDescent="0.3">
      <c r="A113" s="3">
        <v>40969</v>
      </c>
      <c r="B113" s="105">
        <v>5970171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42">
        <v>10</v>
      </c>
      <c r="I113" s="192">
        <f t="shared" si="3"/>
        <v>6283944.495097152</v>
      </c>
      <c r="J113" s="36">
        <f t="shared" si="4"/>
        <v>313773.49509715196</v>
      </c>
      <c r="K113" s="5">
        <f t="shared" si="5"/>
        <v>5.2556868990377655E-2</v>
      </c>
    </row>
    <row r="114" spans="1:11" x14ac:dyDescent="0.3">
      <c r="A114" s="3">
        <v>41000</v>
      </c>
      <c r="B114" s="105">
        <v>6499928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42">
        <v>10</v>
      </c>
      <c r="I114" s="192">
        <f t="shared" si="3"/>
        <v>6656506.9668889288</v>
      </c>
      <c r="J114" s="36">
        <f t="shared" si="4"/>
        <v>156578.96688892879</v>
      </c>
      <c r="K114" s="5">
        <f t="shared" si="5"/>
        <v>2.4089338664817331E-2</v>
      </c>
    </row>
    <row r="115" spans="1:11" x14ac:dyDescent="0.3">
      <c r="A115" s="3">
        <v>41030</v>
      </c>
      <c r="B115" s="105">
        <v>5793832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42">
        <v>10</v>
      </c>
      <c r="I115" s="192">
        <f t="shared" si="3"/>
        <v>6879839.1339995274</v>
      </c>
      <c r="J115" s="36">
        <f t="shared" si="4"/>
        <v>1086007.1339995274</v>
      </c>
      <c r="K115" s="5">
        <f t="shared" si="5"/>
        <v>0.18744194412256474</v>
      </c>
    </row>
    <row r="116" spans="1:11" x14ac:dyDescent="0.3">
      <c r="A116" s="3">
        <v>41061</v>
      </c>
      <c r="B116" s="105">
        <v>6390914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42">
        <v>10</v>
      </c>
      <c r="I116" s="192">
        <f t="shared" si="3"/>
        <v>7684275.7240769649</v>
      </c>
      <c r="J116" s="36">
        <f t="shared" si="4"/>
        <v>1293361.7240769649</v>
      </c>
      <c r="K116" s="5">
        <f t="shared" si="5"/>
        <v>0.20237507875664809</v>
      </c>
    </row>
    <row r="117" spans="1:11" x14ac:dyDescent="0.3">
      <c r="A117" s="3">
        <v>41091</v>
      </c>
      <c r="B117" s="105">
        <v>6665317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42">
        <v>10</v>
      </c>
      <c r="I117" s="192">
        <f t="shared" si="3"/>
        <v>6422032.5046147052</v>
      </c>
      <c r="J117" s="36">
        <f t="shared" si="4"/>
        <v>-243284.49538529478</v>
      </c>
      <c r="K117" s="5">
        <f t="shared" si="5"/>
        <v>-3.6500063745699536E-2</v>
      </c>
    </row>
    <row r="118" spans="1:11" x14ac:dyDescent="0.3">
      <c r="A118" s="3">
        <v>41122</v>
      </c>
      <c r="B118" s="105">
        <v>7277776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42">
        <v>10</v>
      </c>
      <c r="I118" s="192">
        <f t="shared" si="3"/>
        <v>7060014.4937701654</v>
      </c>
      <c r="J118" s="36">
        <f t="shared" si="4"/>
        <v>-217761.50622983463</v>
      </c>
      <c r="K118" s="5">
        <f t="shared" si="5"/>
        <v>-2.9921435645976824E-2</v>
      </c>
    </row>
    <row r="119" spans="1:11" x14ac:dyDescent="0.3">
      <c r="A119" s="3">
        <v>41153</v>
      </c>
      <c r="B119" s="105">
        <v>7136835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42">
        <v>10</v>
      </c>
      <c r="I119" s="192">
        <f t="shared" si="3"/>
        <v>7106653.4840216301</v>
      </c>
      <c r="J119" s="36">
        <f t="shared" si="4"/>
        <v>-30181.515978369862</v>
      </c>
      <c r="K119" s="5">
        <f t="shared" si="5"/>
        <v>-4.2289776880605843E-3</v>
      </c>
    </row>
    <row r="120" spans="1:11" x14ac:dyDescent="0.3">
      <c r="A120" s="3">
        <v>41183</v>
      </c>
      <c r="B120" s="105">
        <v>6492045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42">
        <v>11</v>
      </c>
      <c r="I120" s="192">
        <f t="shared" si="3"/>
        <v>6755326.8928670613</v>
      </c>
      <c r="J120" s="36">
        <f t="shared" si="4"/>
        <v>263281.89286706131</v>
      </c>
      <c r="K120" s="5">
        <f t="shared" si="5"/>
        <v>4.0554539111645298E-2</v>
      </c>
    </row>
    <row r="121" spans="1:11" x14ac:dyDescent="0.3">
      <c r="A121" s="3">
        <v>41214</v>
      </c>
      <c r="B121" s="105">
        <v>6332984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42">
        <v>11</v>
      </c>
      <c r="I121" s="192">
        <f t="shared" si="3"/>
        <v>6349063.0672074687</v>
      </c>
      <c r="J121" s="36">
        <f t="shared" si="4"/>
        <v>16079.067207468674</v>
      </c>
      <c r="K121" s="5">
        <f t="shared" si="5"/>
        <v>2.5389401279821131E-3</v>
      </c>
    </row>
    <row r="122" spans="1:11" x14ac:dyDescent="0.3">
      <c r="A122" s="3">
        <v>41244</v>
      </c>
      <c r="B122" s="105">
        <v>5768726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42">
        <v>11</v>
      </c>
      <c r="I122" s="192">
        <f t="shared" si="3"/>
        <v>6961571.8222107943</v>
      </c>
      <c r="J122" s="36">
        <f t="shared" si="4"/>
        <v>1192845.8222107943</v>
      </c>
      <c r="K122" s="5">
        <f t="shared" si="5"/>
        <v>0.20677803421601135</v>
      </c>
    </row>
    <row r="123" spans="1:11" x14ac:dyDescent="0.3">
      <c r="A123" s="3">
        <v>41275</v>
      </c>
      <c r="B123" s="105">
        <v>6271283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42">
        <v>11</v>
      </c>
      <c r="I123" s="192">
        <f t="shared" si="3"/>
        <v>6475245.5792904589</v>
      </c>
      <c r="J123" s="36">
        <f t="shared" si="4"/>
        <v>203962.57929045893</v>
      </c>
      <c r="K123" s="5">
        <f t="shared" si="5"/>
        <v>3.2523261873281584E-2</v>
      </c>
    </row>
    <row r="124" spans="1:11" x14ac:dyDescent="0.3">
      <c r="A124" s="3">
        <v>41306</v>
      </c>
      <c r="B124" s="105">
        <v>6472376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42">
        <v>11</v>
      </c>
      <c r="I124" s="192">
        <f t="shared" si="3"/>
        <v>7088736.9649060424</v>
      </c>
      <c r="J124" s="36">
        <f t="shared" si="4"/>
        <v>616360.96490604244</v>
      </c>
      <c r="K124" s="5">
        <f t="shared" si="5"/>
        <v>9.5229474447411963E-2</v>
      </c>
    </row>
    <row r="125" spans="1:11" x14ac:dyDescent="0.3">
      <c r="A125" s="3">
        <v>41334</v>
      </c>
      <c r="B125" s="105">
        <v>5759394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42">
        <v>11</v>
      </c>
      <c r="I125" s="192">
        <f t="shared" si="3"/>
        <v>5806201.2655718261</v>
      </c>
      <c r="J125" s="36">
        <f t="shared" si="4"/>
        <v>46807.265571826138</v>
      </c>
      <c r="K125" s="5">
        <f t="shared" si="5"/>
        <v>8.127116424371408E-3</v>
      </c>
    </row>
    <row r="126" spans="1:11" x14ac:dyDescent="0.3">
      <c r="A126" s="3">
        <v>41365</v>
      </c>
      <c r="B126" s="105">
        <v>6287655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42">
        <v>11</v>
      </c>
      <c r="I126" s="192">
        <f t="shared" si="3"/>
        <v>6603486.2531575821</v>
      </c>
      <c r="J126" s="36">
        <f t="shared" si="4"/>
        <v>315831.25315758213</v>
      </c>
      <c r="K126" s="5">
        <f t="shared" si="5"/>
        <v>5.0230372556633936E-2</v>
      </c>
    </row>
    <row r="127" spans="1:11" x14ac:dyDescent="0.3">
      <c r="A127" s="3">
        <v>41395</v>
      </c>
      <c r="B127" s="105">
        <v>6190002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42">
        <v>11</v>
      </c>
      <c r="I127" s="192">
        <f t="shared" si="3"/>
        <v>7076862.7058073794</v>
      </c>
      <c r="J127" s="36">
        <f t="shared" si="4"/>
        <v>886860.70580737945</v>
      </c>
      <c r="K127" s="5">
        <f t="shared" si="5"/>
        <v>0.1432730887336352</v>
      </c>
    </row>
    <row r="128" spans="1:11" x14ac:dyDescent="0.3">
      <c r="A128" s="3">
        <v>41426</v>
      </c>
      <c r="B128" s="105">
        <v>6529850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42">
        <v>11</v>
      </c>
      <c r="I128" s="192">
        <f t="shared" si="3"/>
        <v>8074999.061374669</v>
      </c>
      <c r="J128" s="36">
        <f t="shared" si="4"/>
        <v>1545149.061374669</v>
      </c>
      <c r="K128" s="5">
        <f t="shared" si="5"/>
        <v>0.23662856901378576</v>
      </c>
    </row>
    <row r="129" spans="1:11" x14ac:dyDescent="0.3">
      <c r="A129" s="3">
        <v>41456</v>
      </c>
      <c r="B129" s="105">
        <v>6851836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42">
        <v>11</v>
      </c>
      <c r="I129" s="192">
        <f t="shared" si="3"/>
        <v>7071339.2427953593</v>
      </c>
      <c r="J129" s="36">
        <f t="shared" si="4"/>
        <v>219503.24279535934</v>
      </c>
      <c r="K129" s="5">
        <f t="shared" si="5"/>
        <v>3.2035682522955793E-2</v>
      </c>
    </row>
    <row r="130" spans="1:11" x14ac:dyDescent="0.3">
      <c r="A130" s="3">
        <v>41487</v>
      </c>
      <c r="B130" s="105">
        <v>7451969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42">
        <v>11</v>
      </c>
      <c r="I130" s="192">
        <f t="shared" si="3"/>
        <v>7697646.4850614369</v>
      </c>
      <c r="J130" s="36">
        <f t="shared" si="4"/>
        <v>245677.48506143689</v>
      </c>
      <c r="K130" s="5">
        <f t="shared" si="5"/>
        <v>3.2968130310450421E-2</v>
      </c>
    </row>
    <row r="131" spans="1:11" x14ac:dyDescent="0.3">
      <c r="A131" s="3">
        <v>41518</v>
      </c>
      <c r="B131" s="105">
        <v>7376956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42">
        <v>11</v>
      </c>
      <c r="I131" s="192">
        <f t="shared" si="3"/>
        <v>7276821.4825015161</v>
      </c>
      <c r="J131" s="36">
        <f t="shared" si="4"/>
        <v>-100134.51749848388</v>
      </c>
      <c r="K131" s="5">
        <f t="shared" si="5"/>
        <v>-1.357396160401172E-2</v>
      </c>
    </row>
    <row r="132" spans="1:11" x14ac:dyDescent="0.3">
      <c r="A132" s="3">
        <v>41548</v>
      </c>
      <c r="B132" s="105">
        <v>6807968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42">
        <v>11</v>
      </c>
      <c r="I132" s="192">
        <f t="shared" ref="I132:I195" si="6">$N$18+C132*$N$19+D132*$N$20+E132*$N$21+F132*$N$22+G132*$N$23</f>
        <v>6802160.3328862758</v>
      </c>
      <c r="J132" s="36">
        <f t="shared" ref="J132:J133" si="7">I132-B132</f>
        <v>-5807.6671137241647</v>
      </c>
      <c r="K132" s="5">
        <f t="shared" ref="K132:K133" si="8">J132/B132</f>
        <v>-8.5306909693526247E-4</v>
      </c>
    </row>
    <row r="133" spans="1:11" x14ac:dyDescent="0.3">
      <c r="A133" s="3">
        <v>41579</v>
      </c>
      <c r="B133" s="105">
        <v>6819877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42">
        <v>11</v>
      </c>
      <c r="I133" s="192">
        <f t="shared" si="6"/>
        <v>6315055.4871600978</v>
      </c>
      <c r="J133" s="36">
        <f t="shared" si="7"/>
        <v>-504821.51283990219</v>
      </c>
      <c r="K133" s="5">
        <f t="shared" si="8"/>
        <v>-7.4022084685677197E-2</v>
      </c>
    </row>
    <row r="134" spans="1:11" x14ac:dyDescent="0.3">
      <c r="A134" s="3">
        <v>41609</v>
      </c>
      <c r="B134" s="105">
        <v>6357067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42">
        <v>11</v>
      </c>
      <c r="I134" s="192">
        <f t="shared" ca="1" si="6"/>
        <v>6955021.0283161867</v>
      </c>
      <c r="J134" s="36">
        <f t="shared" ref="J134" ca="1" si="9">I134-B134</f>
        <v>597954.02831618674</v>
      </c>
      <c r="K134" s="5">
        <f t="shared" ref="K134" ca="1" si="10">J134/B134</f>
        <v>9.4061306623980323E-2</v>
      </c>
    </row>
    <row r="135" spans="1:11" x14ac:dyDescent="0.3">
      <c r="A135" s="3">
        <v>41640</v>
      </c>
      <c r="B135" s="6">
        <v>6019739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7">
        <v>11</v>
      </c>
      <c r="I135" s="192">
        <f t="shared" si="6"/>
        <v>6040642.7937324513</v>
      </c>
      <c r="J135" s="36"/>
      <c r="K135" s="5"/>
    </row>
    <row r="136" spans="1:11" x14ac:dyDescent="0.3">
      <c r="A136" s="3">
        <v>41671</v>
      </c>
      <c r="B136" s="6">
        <v>6843927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7">
        <v>11</v>
      </c>
      <c r="I136" s="192">
        <f t="shared" si="6"/>
        <v>6887669.3993473668</v>
      </c>
      <c r="J136" s="36"/>
      <c r="K136" s="5"/>
    </row>
    <row r="137" spans="1:11" x14ac:dyDescent="0.3">
      <c r="A137" s="3">
        <v>41699</v>
      </c>
      <c r="B137" s="6">
        <v>6410375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7">
        <v>11</v>
      </c>
      <c r="I137" s="192">
        <f t="shared" si="6"/>
        <v>5441613.2847033618</v>
      </c>
      <c r="J137" s="36"/>
      <c r="K137" s="5"/>
    </row>
    <row r="138" spans="1:11" x14ac:dyDescent="0.3">
      <c r="A138" s="3">
        <v>41730</v>
      </c>
      <c r="B138" s="6">
        <v>6942653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7">
        <v>11</v>
      </c>
      <c r="I138" s="192">
        <f t="shared" si="6"/>
        <v>6614939.7574958615</v>
      </c>
      <c r="J138" s="36"/>
      <c r="K138" s="5"/>
    </row>
    <row r="139" spans="1:11" x14ac:dyDescent="0.3">
      <c r="A139" s="3">
        <v>41760</v>
      </c>
      <c r="B139" s="6">
        <v>5316046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7">
        <v>11</v>
      </c>
      <c r="I139" s="192">
        <f t="shared" si="6"/>
        <v>7041377.5197883127</v>
      </c>
      <c r="J139" s="36"/>
      <c r="K139" s="5"/>
    </row>
    <row r="140" spans="1:11" x14ac:dyDescent="0.3">
      <c r="A140" s="3">
        <v>41791</v>
      </c>
      <c r="B140" s="6">
        <v>8042268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7">
        <v>11</v>
      </c>
      <c r="I140" s="192">
        <f t="shared" si="6"/>
        <v>8051887.2602382256</v>
      </c>
      <c r="J140" s="36"/>
      <c r="K140" s="5"/>
    </row>
    <row r="141" spans="1:11" x14ac:dyDescent="0.3">
      <c r="A141" s="3">
        <v>41821</v>
      </c>
      <c r="B141" s="6">
        <v>7197165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7">
        <v>11</v>
      </c>
      <c r="I141" s="192">
        <f t="shared" si="6"/>
        <v>7690668.7698750217</v>
      </c>
      <c r="J141" s="36"/>
      <c r="K141" s="5"/>
    </row>
    <row r="142" spans="1:11" x14ac:dyDescent="0.3">
      <c r="A142" s="3">
        <v>41852</v>
      </c>
      <c r="B142" s="6">
        <v>7321614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7">
        <v>11</v>
      </c>
      <c r="I142" s="192">
        <f t="shared" si="6"/>
        <v>7639025.1839800682</v>
      </c>
      <c r="J142" s="36"/>
      <c r="K142" s="5"/>
    </row>
    <row r="143" spans="1:11" x14ac:dyDescent="0.3">
      <c r="A143" s="3">
        <v>41883</v>
      </c>
      <c r="B143" s="6">
        <v>7520343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7">
        <v>11</v>
      </c>
      <c r="I143" s="192">
        <f t="shared" si="6"/>
        <v>7198829.21550324</v>
      </c>
      <c r="J143" s="36"/>
      <c r="K143" s="5"/>
    </row>
    <row r="144" spans="1:11" x14ac:dyDescent="0.3">
      <c r="A144" s="3">
        <v>41913</v>
      </c>
      <c r="B144" s="6">
        <v>6484431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7">
        <v>11</v>
      </c>
      <c r="I144" s="192">
        <f t="shared" si="6"/>
        <v>6873615.3007110478</v>
      </c>
      <c r="J144" s="36"/>
      <c r="K144" s="5"/>
    </row>
    <row r="145" spans="1:11" x14ac:dyDescent="0.3">
      <c r="A145" s="3">
        <v>41944</v>
      </c>
      <c r="B145" s="6">
        <v>7211313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7">
        <v>11</v>
      </c>
      <c r="I145" s="192">
        <f t="shared" si="6"/>
        <v>6497656.2918505967</v>
      </c>
      <c r="J145" s="36"/>
      <c r="K145" s="5"/>
    </row>
    <row r="146" spans="1:11" x14ac:dyDescent="0.3">
      <c r="A146" s="3">
        <v>41974</v>
      </c>
      <c r="B146" s="6">
        <v>6090472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7">
        <v>11</v>
      </c>
      <c r="I146" s="192">
        <f t="shared" si="6"/>
        <v>6740108.5845950227</v>
      </c>
      <c r="J146" s="36"/>
      <c r="K146" s="5"/>
    </row>
    <row r="147" spans="1:11" x14ac:dyDescent="0.3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7"/>
      <c r="I147" s="192">
        <f t="shared" ca="1" si="6"/>
        <v>6371485.2218928616</v>
      </c>
      <c r="J147" s="36"/>
      <c r="K147" s="5"/>
    </row>
    <row r="148" spans="1:11" x14ac:dyDescent="0.3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7"/>
      <c r="I148" s="192">
        <f t="shared" ca="1" si="6"/>
        <v>7184781.2773621306</v>
      </c>
      <c r="J148" s="36"/>
      <c r="K148" s="5"/>
    </row>
    <row r="149" spans="1:11" x14ac:dyDescent="0.3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7"/>
      <c r="I149" s="192">
        <f t="shared" ca="1" si="6"/>
        <v>5733316.5350378444</v>
      </c>
      <c r="J149" s="36"/>
      <c r="K149" s="5"/>
    </row>
    <row r="150" spans="1:11" x14ac:dyDescent="0.3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7"/>
      <c r="I150" s="192">
        <f t="shared" ca="1" si="6"/>
        <v>6744519.7656648122</v>
      </c>
      <c r="J150" s="36"/>
      <c r="K150" s="5"/>
    </row>
    <row r="151" spans="1:11" x14ac:dyDescent="0.3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7"/>
      <c r="I151" s="192">
        <f t="shared" ca="1" si="6"/>
        <v>7075802.6072399663</v>
      </c>
      <c r="J151" s="36"/>
      <c r="K151" s="5"/>
    </row>
    <row r="152" spans="1:11" x14ac:dyDescent="0.3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7"/>
      <c r="I152" s="192">
        <f t="shared" ca="1" si="6"/>
        <v>7828177.0327950595</v>
      </c>
      <c r="J152" s="36"/>
      <c r="K152" s="5"/>
    </row>
    <row r="153" spans="1:11" x14ac:dyDescent="0.3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7"/>
      <c r="I153" s="192">
        <f t="shared" ca="1" si="6"/>
        <v>7417721.9766515028</v>
      </c>
      <c r="J153" s="36"/>
      <c r="K153" s="5"/>
    </row>
    <row r="154" spans="1:11" x14ac:dyDescent="0.3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7"/>
      <c r="I154" s="192">
        <f t="shared" ca="1" si="6"/>
        <v>7349666.5587889776</v>
      </c>
      <c r="J154" s="36"/>
      <c r="K154" s="5"/>
    </row>
    <row r="155" spans="1:11" x14ac:dyDescent="0.3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7"/>
      <c r="I155" s="192">
        <f t="shared" ca="1" si="6"/>
        <v>7121527.3126759101</v>
      </c>
      <c r="J155" s="36"/>
      <c r="K155" s="5"/>
    </row>
    <row r="156" spans="1:11" x14ac:dyDescent="0.3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7"/>
      <c r="I156" s="192">
        <f t="shared" ca="1" si="6"/>
        <v>6924418.609990309</v>
      </c>
      <c r="J156" s="36"/>
      <c r="K156" s="5"/>
    </row>
    <row r="157" spans="1:11" x14ac:dyDescent="0.3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7"/>
      <c r="I157" s="192">
        <f t="shared" ca="1" si="6"/>
        <v>6631145.4767493606</v>
      </c>
      <c r="J157" s="36"/>
      <c r="K157" s="5"/>
    </row>
    <row r="158" spans="1:11" x14ac:dyDescent="0.3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7"/>
      <c r="I158" s="192">
        <f t="shared" ca="1" si="6"/>
        <v>6934182.7849822342</v>
      </c>
      <c r="J158" s="36"/>
      <c r="K158" s="5"/>
    </row>
    <row r="159" spans="1:11" x14ac:dyDescent="0.3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7"/>
      <c r="I159" s="192">
        <f t="shared" ca="1" si="6"/>
        <v>6386956.8089303654</v>
      </c>
      <c r="J159" s="36"/>
      <c r="K159" s="5"/>
    </row>
    <row r="160" spans="1:11" x14ac:dyDescent="0.3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7"/>
      <c r="I160" s="192">
        <f t="shared" ca="1" si="6"/>
        <v>6999208.6007564925</v>
      </c>
      <c r="J160" s="36"/>
      <c r="K160" s="5"/>
    </row>
    <row r="161" spans="1:11" x14ac:dyDescent="0.3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7"/>
      <c r="I161" s="192">
        <f t="shared" ca="1" si="6"/>
        <v>5748192.729710578</v>
      </c>
      <c r="J161" s="36"/>
      <c r="K161" s="5"/>
    </row>
    <row r="162" spans="1:11" x14ac:dyDescent="0.3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7"/>
      <c r="I162" s="192">
        <f t="shared" ca="1" si="6"/>
        <v>6756383.3050532993</v>
      </c>
      <c r="J162" s="36"/>
      <c r="K162" s="5"/>
    </row>
    <row r="163" spans="1:11" x14ac:dyDescent="0.3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7"/>
      <c r="I163" s="192">
        <f t="shared" ca="1" si="6"/>
        <v>7086095.6413937798</v>
      </c>
      <c r="J163" s="36"/>
      <c r="K163" s="5"/>
    </row>
    <row r="164" spans="1:11" x14ac:dyDescent="0.3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7"/>
      <c r="I164" s="192">
        <f t="shared" ca="1" si="6"/>
        <v>7830872.453923936</v>
      </c>
      <c r="J164" s="36"/>
      <c r="K164" s="5"/>
    </row>
    <row r="165" spans="1:11" x14ac:dyDescent="0.3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7"/>
      <c r="I165" s="192">
        <f t="shared" ca="1" si="6"/>
        <v>7420811.4392194003</v>
      </c>
      <c r="J165" s="36"/>
      <c r="K165" s="5"/>
    </row>
    <row r="166" spans="1:11" x14ac:dyDescent="0.3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7"/>
      <c r="I166" s="192">
        <f t="shared" ca="1" si="6"/>
        <v>7352184.6925321501</v>
      </c>
      <c r="J166" s="36"/>
      <c r="K166" s="5"/>
    </row>
    <row r="167" spans="1:11" x14ac:dyDescent="0.3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7"/>
      <c r="I167" s="192">
        <f t="shared" ca="1" si="6"/>
        <v>7130629.8952600099</v>
      </c>
      <c r="J167" s="36"/>
      <c r="K167" s="5"/>
    </row>
    <row r="168" spans="1:11" x14ac:dyDescent="0.3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7"/>
      <c r="I168" s="192">
        <f t="shared" ca="1" si="6"/>
        <v>6960247.4093355006</v>
      </c>
      <c r="J168" s="36"/>
      <c r="K168" s="5"/>
    </row>
    <row r="169" spans="1:11" x14ac:dyDescent="0.3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7"/>
      <c r="I169" s="192">
        <f t="shared" ca="1" si="6"/>
        <v>6668279.4130955338</v>
      </c>
      <c r="J169" s="36"/>
      <c r="K169" s="5"/>
    </row>
    <row r="170" spans="1:11" x14ac:dyDescent="0.3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7"/>
      <c r="I170" s="192">
        <f t="shared" ca="1" si="6"/>
        <v>6972238.3517162967</v>
      </c>
      <c r="J170" s="36"/>
      <c r="K170" s="5"/>
    </row>
    <row r="171" spans="1:11" x14ac:dyDescent="0.3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7"/>
      <c r="I171" s="192">
        <f t="shared" ca="1" si="6"/>
        <v>6406722.5658146907</v>
      </c>
      <c r="J171" s="36"/>
      <c r="K171" s="5"/>
    </row>
    <row r="172" spans="1:11" x14ac:dyDescent="0.3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7"/>
      <c r="I172" s="192">
        <f t="shared" ca="1" si="6"/>
        <v>7218992.3906305954</v>
      </c>
      <c r="J172" s="36"/>
      <c r="K172" s="5"/>
    </row>
    <row r="173" spans="1:11" x14ac:dyDescent="0.3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7"/>
      <c r="I173" s="192">
        <f t="shared" ca="1" si="6"/>
        <v>5767363.0942301312</v>
      </c>
      <c r="J173" s="36"/>
      <c r="K173" s="5"/>
    </row>
    <row r="174" spans="1:11" x14ac:dyDescent="0.3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7"/>
      <c r="I174" s="192">
        <f t="shared" ca="1" si="6"/>
        <v>6774187.2954097446</v>
      </c>
      <c r="J174" s="36"/>
      <c r="K174" s="5"/>
    </row>
    <row r="175" spans="1:11" x14ac:dyDescent="0.3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7"/>
      <c r="I175" s="192">
        <f t="shared" ca="1" si="6"/>
        <v>7102329.1265155496</v>
      </c>
      <c r="J175" s="36"/>
      <c r="K175" s="5"/>
    </row>
    <row r="176" spans="1:11" x14ac:dyDescent="0.3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7"/>
      <c r="I176" s="192">
        <f t="shared" ca="1" si="6"/>
        <v>7839508.326020767</v>
      </c>
      <c r="J176" s="36"/>
      <c r="K176" s="5"/>
    </row>
    <row r="177" spans="1:11" x14ac:dyDescent="0.3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7"/>
      <c r="I177" s="192">
        <f t="shared" ca="1" si="6"/>
        <v>7426588.2717328425</v>
      </c>
      <c r="J177" s="36"/>
      <c r="K177" s="5"/>
    </row>
    <row r="178" spans="1:11" x14ac:dyDescent="0.3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7"/>
      <c r="I178" s="192">
        <f t="shared" ca="1" si="6"/>
        <v>7357390.1962208673</v>
      </c>
      <c r="J178" s="36"/>
      <c r="K178" s="5"/>
    </row>
    <row r="179" spans="1:11" x14ac:dyDescent="0.3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7"/>
      <c r="I179" s="192">
        <f t="shared" ca="1" si="6"/>
        <v>7142419.8477896545</v>
      </c>
      <c r="J179" s="36"/>
      <c r="K179" s="5"/>
    </row>
    <row r="180" spans="1:11" x14ac:dyDescent="0.3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7"/>
      <c r="I180" s="192">
        <f t="shared" ca="1" si="6"/>
        <v>6975701.6996098841</v>
      </c>
      <c r="J180" s="36"/>
      <c r="K180" s="5"/>
    </row>
    <row r="181" spans="1:11" x14ac:dyDescent="0.3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7"/>
      <c r="I181" s="192">
        <f t="shared" ca="1" si="6"/>
        <v>6685038.8403709009</v>
      </c>
      <c r="J181" s="36"/>
      <c r="K181" s="5"/>
    </row>
    <row r="182" spans="1:11" x14ac:dyDescent="0.3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7"/>
      <c r="I182" s="192">
        <f t="shared" ca="1" si="6"/>
        <v>6989919.4093795512</v>
      </c>
      <c r="J182" s="36"/>
      <c r="K182" s="5"/>
    </row>
    <row r="183" spans="1:11" x14ac:dyDescent="0.3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7"/>
      <c r="I183" s="192">
        <f t="shared" ca="1" si="6"/>
        <v>6418979.8446991611</v>
      </c>
      <c r="J183" s="36"/>
      <c r="K183" s="5"/>
    </row>
    <row r="184" spans="1:11" x14ac:dyDescent="0.3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7"/>
      <c r="I184" s="192">
        <f t="shared" ca="1" si="6"/>
        <v>7230736.5541883819</v>
      </c>
      <c r="J184" s="36"/>
      <c r="K184" s="5"/>
    </row>
    <row r="185" spans="1:11" x14ac:dyDescent="0.3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7"/>
      <c r="I185" s="192">
        <f t="shared" ca="1" si="6"/>
        <v>5779024.9807498315</v>
      </c>
      <c r="J185" s="36"/>
      <c r="K185" s="5"/>
    </row>
    <row r="186" spans="1:11" x14ac:dyDescent="0.3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7"/>
      <c r="I186" s="192">
        <f t="shared" ca="1" si="6"/>
        <v>6783197.039767202</v>
      </c>
      <c r="J186" s="36"/>
      <c r="K186" s="5"/>
    </row>
    <row r="187" spans="1:11" x14ac:dyDescent="0.3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7"/>
      <c r="I187" s="192">
        <f t="shared" ca="1" si="6"/>
        <v>7109768.3656383352</v>
      </c>
      <c r="J187" s="36"/>
      <c r="K187" s="5"/>
    </row>
    <row r="188" spans="1:11" x14ac:dyDescent="0.3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7"/>
      <c r="I188" s="192">
        <f t="shared" ca="1" si="6"/>
        <v>7839349.9521186156</v>
      </c>
      <c r="J188" s="36"/>
      <c r="K188" s="5"/>
    </row>
    <row r="189" spans="1:11" x14ac:dyDescent="0.3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7"/>
      <c r="I189" s="192">
        <f t="shared" ca="1" si="6"/>
        <v>7424264.3706666883</v>
      </c>
      <c r="J189" s="36"/>
      <c r="K189" s="5"/>
    </row>
    <row r="190" spans="1:11" x14ac:dyDescent="0.3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7"/>
      <c r="I190" s="192">
        <f t="shared" ca="1" si="6"/>
        <v>7354494.9663299881</v>
      </c>
      <c r="J190" s="36"/>
      <c r="K190" s="5"/>
    </row>
    <row r="191" spans="1:11" x14ac:dyDescent="0.3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7"/>
      <c r="I191" s="192">
        <f t="shared" ca="1" si="6"/>
        <v>7146109.0667397007</v>
      </c>
      <c r="J191" s="36"/>
      <c r="K191" s="5"/>
    </row>
    <row r="192" spans="1:11" x14ac:dyDescent="0.3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7"/>
      <c r="I192" s="192">
        <f t="shared" ca="1" si="6"/>
        <v>6985733.5668201605</v>
      </c>
      <c r="J192" s="36"/>
      <c r="K192" s="5"/>
    </row>
    <row r="193" spans="1:11" x14ac:dyDescent="0.3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7"/>
      <c r="I193" s="192">
        <f t="shared" ca="1" si="6"/>
        <v>6696375.8445821572</v>
      </c>
      <c r="J193" s="36"/>
      <c r="K193" s="5"/>
    </row>
    <row r="194" spans="1:11" x14ac:dyDescent="0.3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7"/>
      <c r="I194" s="192">
        <f t="shared" ca="1" si="6"/>
        <v>7002178.0439786986</v>
      </c>
      <c r="J194" s="36"/>
      <c r="K194" s="5"/>
    </row>
    <row r="195" spans="1:11" x14ac:dyDescent="0.3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7"/>
      <c r="I195" s="192">
        <f t="shared" ca="1" si="6"/>
        <v>6438346.576563336</v>
      </c>
      <c r="J195" s="36"/>
      <c r="K195" s="5"/>
    </row>
    <row r="196" spans="1:11" x14ac:dyDescent="0.3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7"/>
      <c r="I196" s="192">
        <f t="shared" ref="I196:I206" ca="1" si="11">$N$18+C196*$N$19+D196*$N$20+E196*$N$21+F196*$N$22+G196*$N$23</f>
        <v>7249590.1707258746</v>
      </c>
      <c r="J196" s="36"/>
      <c r="K196" s="5"/>
    </row>
    <row r="197" spans="1:11" x14ac:dyDescent="0.3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7"/>
      <c r="I197" s="192">
        <f t="shared" ca="1" si="11"/>
        <v>5797796.3202492343</v>
      </c>
      <c r="J197" s="36"/>
      <c r="K197" s="5"/>
    </row>
    <row r="198" spans="1:11" x14ac:dyDescent="0.3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7"/>
      <c r="I198" s="192">
        <f t="shared" ca="1" si="11"/>
        <v>6802806.8019517139</v>
      </c>
      <c r="J198" s="36"/>
      <c r="K198" s="5"/>
    </row>
    <row r="199" spans="1:11" x14ac:dyDescent="0.3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7"/>
      <c r="I199" s="192">
        <f t="shared" ca="1" si="11"/>
        <v>7127807.6225881716</v>
      </c>
      <c r="J199" s="36"/>
      <c r="K199" s="5"/>
    </row>
    <row r="200" spans="1:11" x14ac:dyDescent="0.3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7"/>
      <c r="I200" s="192">
        <f t="shared" ca="1" si="11"/>
        <v>7849791.5960435132</v>
      </c>
      <c r="J200" s="36"/>
      <c r="K200" s="5"/>
    </row>
    <row r="201" spans="1:11" x14ac:dyDescent="0.3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7"/>
      <c r="I201" s="192">
        <f t="shared" ca="1" si="11"/>
        <v>7434872.0790149868</v>
      </c>
      <c r="J201" s="36"/>
      <c r="K201" s="5"/>
    </row>
    <row r="202" spans="1:11" x14ac:dyDescent="0.3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7"/>
      <c r="I202" s="192">
        <f t="shared" ca="1" si="11"/>
        <v>7364531.3458535615</v>
      </c>
      <c r="J202" s="36"/>
      <c r="K202" s="5"/>
    </row>
    <row r="203" spans="1:11" x14ac:dyDescent="0.3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7"/>
      <c r="I203" s="192">
        <f t="shared" ca="1" si="11"/>
        <v>7162729.8951042015</v>
      </c>
      <c r="J203" s="36"/>
      <c r="K203" s="5"/>
    </row>
    <row r="204" spans="1:11" x14ac:dyDescent="0.3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7"/>
      <c r="I204" s="192">
        <f t="shared" ca="1" si="11"/>
        <v>7009861.0870031463</v>
      </c>
      <c r="J204" s="36"/>
      <c r="K204" s="5"/>
    </row>
    <row r="205" spans="1:11" x14ac:dyDescent="0.3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7"/>
      <c r="I205" s="192">
        <f t="shared" ca="1" si="11"/>
        <v>6721808.5017661285</v>
      </c>
      <c r="J205" s="36"/>
      <c r="K205" s="5"/>
    </row>
    <row r="206" spans="1:11" x14ac:dyDescent="0.3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7"/>
      <c r="I206" s="192">
        <f t="shared" ca="1" si="11"/>
        <v>7028532.3315505553</v>
      </c>
      <c r="J206" s="36"/>
      <c r="K206" s="5"/>
    </row>
    <row r="207" spans="1:11" x14ac:dyDescent="0.3">
      <c r="A207" s="3"/>
      <c r="E207" s="33"/>
      <c r="F207" s="10"/>
      <c r="G207" s="10"/>
      <c r="H207" s="17"/>
    </row>
    <row r="208" spans="1:11" x14ac:dyDescent="0.3">
      <c r="A208" s="3"/>
      <c r="C208" s="18"/>
      <c r="D208" s="63" t="s">
        <v>60</v>
      </c>
      <c r="I208" s="47">
        <f ca="1">SUM(I3:I206)</f>
        <v>1419094308.8891778</v>
      </c>
    </row>
    <row r="209" spans="1:11" x14ac:dyDescent="0.3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3">
      <c r="A210" s="16">
        <v>2003</v>
      </c>
      <c r="B210" s="6">
        <f>SUM(B3:B14)</f>
        <v>96172091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83184176.869984075</v>
      </c>
      <c r="J210" s="36">
        <f>I210-B210</f>
        <v>-12987914.130015925</v>
      </c>
      <c r="K210" s="5">
        <f>J210/B210</f>
        <v>-0.13504868195094069</v>
      </c>
    </row>
    <row r="211" spans="1:11" x14ac:dyDescent="0.3">
      <c r="A211">
        <v>2004</v>
      </c>
      <c r="B211" s="6">
        <f>SUM(B15:B26)</f>
        <v>65676068</v>
      </c>
      <c r="C211" s="107">
        <f>+B211-B210</f>
        <v>-30496023</v>
      </c>
      <c r="D211" s="109">
        <f>+C211/B210</f>
        <v>-0.31709847090669996</v>
      </c>
      <c r="E211" s="109">
        <f>RATE(1,0,-B$210,B211)</f>
        <v>-0.31709847090670001</v>
      </c>
      <c r="F211" s="179"/>
      <c r="G211" s="179"/>
      <c r="H211"/>
      <c r="I211" s="6">
        <f>SUM(I15:I26)</f>
        <v>83904026.888931945</v>
      </c>
      <c r="J211" s="36">
        <f t="shared" ref="J211:J226" si="12">I211-B211</f>
        <v>18227958.888931945</v>
      </c>
      <c r="K211" s="5">
        <f t="shared" ref="K211:K226" si="13">J211/B211</f>
        <v>0.27754339509076492</v>
      </c>
    </row>
    <row r="212" spans="1:11" x14ac:dyDescent="0.3">
      <c r="A212" s="16">
        <v>2005</v>
      </c>
      <c r="B212" s="6">
        <f>SUM(B27:B38)</f>
        <v>67016961</v>
      </c>
      <c r="C212" s="107">
        <f t="shared" ref="C212:C226" si="14">+B212-B211</f>
        <v>1340893</v>
      </c>
      <c r="D212" s="109">
        <f t="shared" ref="D212:D226" si="15">+C212/B211</f>
        <v>2.0416767337533056E-2</v>
      </c>
      <c r="E212" s="109">
        <f>RATE(2,0,-B$210,B212)</f>
        <v>-0.1652280726286709</v>
      </c>
      <c r="F212" s="179"/>
      <c r="G212" s="179"/>
      <c r="H212"/>
      <c r="I212" s="6">
        <f>SUM(I27:I38)</f>
        <v>81098879.097613961</v>
      </c>
      <c r="J212" s="36">
        <f t="shared" si="12"/>
        <v>14081918.097613961</v>
      </c>
      <c r="K212" s="5">
        <f t="shared" si="13"/>
        <v>0.21012468914569193</v>
      </c>
    </row>
    <row r="213" spans="1:11" x14ac:dyDescent="0.3">
      <c r="A213">
        <v>2006</v>
      </c>
      <c r="B213" s="6">
        <f>SUM(B39:B50)</f>
        <v>80518764</v>
      </c>
      <c r="C213" s="107">
        <f t="shared" si="14"/>
        <v>13501803</v>
      </c>
      <c r="D213" s="109">
        <f t="shared" si="15"/>
        <v>0.20146844617439458</v>
      </c>
      <c r="E213" s="109">
        <f>RATE(3,0,-B$210,B213)</f>
        <v>-5.7497132227355058E-2</v>
      </c>
      <c r="F213" s="179"/>
      <c r="G213" s="179"/>
      <c r="H213"/>
      <c r="I213" s="6">
        <f>SUM(I39:I50)</f>
        <v>83899704.216832429</v>
      </c>
      <c r="J213" s="36">
        <f t="shared" si="12"/>
        <v>3380940.2168324292</v>
      </c>
      <c r="K213" s="5">
        <f t="shared" si="13"/>
        <v>4.1989469893408064E-2</v>
      </c>
    </row>
    <row r="214" spans="1:11" x14ac:dyDescent="0.3">
      <c r="A214" s="16">
        <v>2007</v>
      </c>
      <c r="B214" s="6">
        <f>SUM(B51:B62)</f>
        <v>103869997</v>
      </c>
      <c r="C214" s="107">
        <f t="shared" si="14"/>
        <v>23351233</v>
      </c>
      <c r="D214" s="109">
        <f t="shared" si="15"/>
        <v>0.2900098292616613</v>
      </c>
      <c r="E214" s="109">
        <f>RATE(4,0,-B$210,B214)</f>
        <v>1.9436701972856671E-2</v>
      </c>
      <c r="F214" s="179"/>
      <c r="G214" s="179"/>
      <c r="H214"/>
      <c r="I214" s="6">
        <f>SUM(I51:I62)</f>
        <v>86480557.831863225</v>
      </c>
      <c r="J214" s="36">
        <f t="shared" si="12"/>
        <v>-17389439.168136775</v>
      </c>
      <c r="K214" s="5">
        <f t="shared" si="13"/>
        <v>-0.16741541995169959</v>
      </c>
    </row>
    <row r="215" spans="1:11" x14ac:dyDescent="0.3">
      <c r="A215">
        <v>2008</v>
      </c>
      <c r="B215" s="6">
        <f>SUM(B63:B74)</f>
        <v>102433272</v>
      </c>
      <c r="C215" s="107">
        <f t="shared" si="14"/>
        <v>-1436725</v>
      </c>
      <c r="D215" s="109">
        <f t="shared" si="15"/>
        <v>-1.3831953802790618E-2</v>
      </c>
      <c r="E215" s="109">
        <f>RATE(5,0,-B$210,B215)</f>
        <v>1.2694374201591701E-2</v>
      </c>
      <c r="F215" s="179"/>
      <c r="G215" s="179"/>
      <c r="H215"/>
      <c r="I215" s="6">
        <f>SUM(I63:I74)</f>
        <v>87886889.728537157</v>
      </c>
      <c r="J215" s="36">
        <f t="shared" si="12"/>
        <v>-14546382.271462843</v>
      </c>
      <c r="K215" s="5">
        <f t="shared" si="13"/>
        <v>-0.14200837274301698</v>
      </c>
    </row>
    <row r="216" spans="1:11" x14ac:dyDescent="0.3">
      <c r="A216" s="16">
        <v>2009</v>
      </c>
      <c r="B216" s="6">
        <f>SUM(B75:B86)</f>
        <v>87237589</v>
      </c>
      <c r="C216" s="107">
        <f t="shared" si="14"/>
        <v>-15195683</v>
      </c>
      <c r="D216" s="109">
        <f t="shared" si="15"/>
        <v>-0.14834714056581147</v>
      </c>
      <c r="E216" s="109">
        <f>RATE(6,0,-B$210,B216)</f>
        <v>-1.6119320003027477E-2</v>
      </c>
      <c r="F216" s="179"/>
      <c r="G216" s="179"/>
      <c r="H216"/>
      <c r="I216" s="6">
        <f>SUM(I75:I86)</f>
        <v>83435217.086295396</v>
      </c>
      <c r="J216" s="36">
        <f t="shared" si="12"/>
        <v>-3802371.9137046039</v>
      </c>
      <c r="K216" s="5">
        <f t="shared" si="13"/>
        <v>-4.3586393861763002E-2</v>
      </c>
    </row>
    <row r="217" spans="1:11" x14ac:dyDescent="0.3">
      <c r="A217">
        <v>2010</v>
      </c>
      <c r="B217" s="6">
        <f>SUM(B87:B98)</f>
        <v>80783141</v>
      </c>
      <c r="C217" s="107">
        <f t="shared" si="14"/>
        <v>-6454448</v>
      </c>
      <c r="D217" s="109">
        <f t="shared" si="15"/>
        <v>-7.398700576193136E-2</v>
      </c>
      <c r="E217" s="109">
        <f>RATE(7,0,-B$210,B217)</f>
        <v>-2.4602432717810593E-2</v>
      </c>
      <c r="F217" s="179"/>
      <c r="G217" s="179"/>
      <c r="H217"/>
      <c r="I217" s="6">
        <f>SUM(I87:I98)</f>
        <v>81518048.310544401</v>
      </c>
      <c r="J217" s="36">
        <f t="shared" si="12"/>
        <v>734907.31054440141</v>
      </c>
      <c r="K217" s="5">
        <f t="shared" si="13"/>
        <v>9.0972856643987323E-3</v>
      </c>
    </row>
    <row r="218" spans="1:11" x14ac:dyDescent="0.3">
      <c r="A218">
        <v>2011</v>
      </c>
      <c r="B218" s="6">
        <f>SUM(B99:B110)</f>
        <v>79908016</v>
      </c>
      <c r="C218" s="107">
        <f t="shared" si="14"/>
        <v>-875125</v>
      </c>
      <c r="D218" s="109">
        <f t="shared" si="15"/>
        <v>-1.0833015269856862E-2</v>
      </c>
      <c r="E218" s="109">
        <f>RATE(8,0,-B$210,B218)</f>
        <v>-2.2891792793781555E-2</v>
      </c>
      <c r="F218" s="179"/>
      <c r="G218" s="179"/>
      <c r="H218"/>
      <c r="I218" s="6">
        <f>SUM(I99:I110)</f>
        <v>81818573.75365302</v>
      </c>
      <c r="J218" s="36">
        <f t="shared" si="12"/>
        <v>1910557.7536530197</v>
      </c>
      <c r="K218" s="5">
        <f t="shared" si="13"/>
        <v>2.3909463021244574E-2</v>
      </c>
    </row>
    <row r="219" spans="1:11" x14ac:dyDescent="0.3">
      <c r="A219">
        <v>2012</v>
      </c>
      <c r="B219" s="6">
        <f>SUM(B111:B122)</f>
        <v>76828137</v>
      </c>
      <c r="C219" s="107">
        <f t="shared" si="14"/>
        <v>-3079879</v>
      </c>
      <c r="D219" s="109">
        <f t="shared" si="15"/>
        <v>-3.8542804016057662E-2</v>
      </c>
      <c r="E219" s="109">
        <f>RATE(9,0,-B$210,B219)</f>
        <v>-2.4643300256595783E-2</v>
      </c>
      <c r="F219" s="179"/>
      <c r="G219" s="179"/>
      <c r="H219"/>
      <c r="I219" s="6">
        <f>SUM(I111:I122)</f>
        <v>81832931.965095162</v>
      </c>
      <c r="J219" s="36">
        <f t="shared" si="12"/>
        <v>5004794.9650951624</v>
      </c>
      <c r="K219" s="5">
        <f t="shared" si="13"/>
        <v>6.5142734947421177E-2</v>
      </c>
    </row>
    <row r="220" spans="1:11" x14ac:dyDescent="0.3">
      <c r="A220">
        <v>2013</v>
      </c>
      <c r="B220" s="6">
        <f>SUM(B123:B134)</f>
        <v>79176233</v>
      </c>
      <c r="C220" s="107">
        <f t="shared" si="14"/>
        <v>2348096</v>
      </c>
      <c r="D220" s="109">
        <f t="shared" si="15"/>
        <v>3.0562969397526847E-2</v>
      </c>
      <c r="E220" s="109">
        <f>RATE(10,0,-B$210,B220)</f>
        <v>-1.9258443918046941E-2</v>
      </c>
      <c r="F220" s="179"/>
      <c r="G220" s="179"/>
      <c r="H220"/>
      <c r="I220" s="6">
        <f ca="1">SUM(I123:I134)</f>
        <v>83243575.888828829</v>
      </c>
      <c r="J220" s="36">
        <f t="shared" ca="1" si="12"/>
        <v>4067342.8888288289</v>
      </c>
      <c r="K220" s="5">
        <f t="shared" ca="1" si="13"/>
        <v>5.1370755272340737E-2</v>
      </c>
    </row>
    <row r="221" spans="1:11" x14ac:dyDescent="0.3">
      <c r="A221">
        <v>2014</v>
      </c>
      <c r="B221" s="6">
        <f>SUM(B135:B146)</f>
        <v>81400346</v>
      </c>
      <c r="C221" s="107">
        <f t="shared" ref="C221" si="16">+B221-B220</f>
        <v>2224113</v>
      </c>
      <c r="D221" s="109">
        <f t="shared" ref="D221" si="17">+C221/B220</f>
        <v>2.8090664530604784E-2</v>
      </c>
      <c r="E221" s="109">
        <f>RATE(10,0,-B$210,B221)</f>
        <v>-1.6537693497742218E-2</v>
      </c>
      <c r="F221" s="103"/>
      <c r="G221" s="179"/>
      <c r="H221"/>
      <c r="I221" s="6">
        <f>SUM(I135:I146)</f>
        <v>82718033.361820579</v>
      </c>
      <c r="J221" s="36">
        <f t="shared" si="12"/>
        <v>1317687.3618205786</v>
      </c>
      <c r="K221" s="5">
        <f t="shared" si="13"/>
        <v>1.6187736619947275E-2</v>
      </c>
    </row>
    <row r="222" spans="1:11" x14ac:dyDescent="0.3">
      <c r="A222">
        <v>2015</v>
      </c>
      <c r="B222" s="6">
        <f t="shared" ref="B222:B226" ca="1" si="18">+I222</f>
        <v>83316745.159830973</v>
      </c>
      <c r="C222" s="107">
        <f t="shared" ca="1" si="14"/>
        <v>1916399.1598309726</v>
      </c>
      <c r="D222" s="109">
        <f t="shared" ca="1" si="15"/>
        <v>2.3542887149779101E-2</v>
      </c>
      <c r="E222" s="109">
        <f ca="1">RATE(12,0,-B$210,B222)</f>
        <v>-1.1886264372804295E-2</v>
      </c>
      <c r="F222" s="103"/>
      <c r="G222" s="179"/>
      <c r="H222"/>
      <c r="I222" s="6">
        <f ca="1">SUM(I147:I158)</f>
        <v>83316745.159830973</v>
      </c>
      <c r="J222" s="36">
        <f t="shared" ca="1" si="12"/>
        <v>0</v>
      </c>
      <c r="K222" s="5">
        <f t="shared" ca="1" si="13"/>
        <v>0</v>
      </c>
    </row>
    <row r="223" spans="1:11" x14ac:dyDescent="0.3">
      <c r="A223">
        <v>2016</v>
      </c>
      <c r="B223" s="6">
        <f t="shared" ca="1" si="18"/>
        <v>83312100.740927339</v>
      </c>
      <c r="C223" s="107">
        <f t="shared" ca="1" si="14"/>
        <v>-4644.4189036339521</v>
      </c>
      <c r="D223" s="109">
        <f t="shared" ca="1" si="15"/>
        <v>-5.5744123161848376E-5</v>
      </c>
      <c r="E223" s="109">
        <f ca="1">RATE(13,0,-B$210,B223)</f>
        <v>-1.0981214903357921E-2</v>
      </c>
      <c r="F223" s="103"/>
      <c r="G223" s="179"/>
      <c r="H223"/>
      <c r="I223" s="6">
        <f ca="1">SUM(I159:I170)</f>
        <v>83312100.740927339</v>
      </c>
      <c r="J223" s="36">
        <f t="shared" ca="1" si="12"/>
        <v>0</v>
      </c>
      <c r="K223" s="5">
        <f t="shared" ca="1" si="13"/>
        <v>0</v>
      </c>
    </row>
    <row r="224" spans="1:11" x14ac:dyDescent="0.3">
      <c r="A224">
        <v>2017</v>
      </c>
      <c r="B224" s="6">
        <f t="shared" ca="1" si="18"/>
        <v>83686161.063725188</v>
      </c>
      <c r="C224" s="107">
        <f t="shared" ca="1" si="14"/>
        <v>374060.32279784977</v>
      </c>
      <c r="D224" s="109">
        <f t="shared" ca="1" si="15"/>
        <v>4.4898678519828929E-3</v>
      </c>
      <c r="E224" s="109">
        <f ca="1">RATE(14,0,-B$210,B224)</f>
        <v>-9.8840836750378348E-3</v>
      </c>
      <c r="F224" s="103"/>
      <c r="G224" s="179"/>
      <c r="H224"/>
      <c r="I224" s="6">
        <f ca="1">SUM(I171:I182)</f>
        <v>83686161.063725188</v>
      </c>
      <c r="J224" s="36">
        <f t="shared" ca="1" si="12"/>
        <v>0</v>
      </c>
      <c r="K224" s="5">
        <f t="shared" ca="1" si="13"/>
        <v>0</v>
      </c>
    </row>
    <row r="225" spans="1:11" x14ac:dyDescent="0.3">
      <c r="A225">
        <v>2018</v>
      </c>
      <c r="B225" s="6">
        <f t="shared" ca="1" si="18"/>
        <v>83770212.596278936</v>
      </c>
      <c r="C225" s="107">
        <f t="shared" ca="1" si="14"/>
        <v>84051.532553747296</v>
      </c>
      <c r="D225" s="109">
        <f t="shared" ca="1" si="15"/>
        <v>1.0043659726456313E-3</v>
      </c>
      <c r="E225" s="109">
        <f ca="1">RATE(15,0,-B$210,B225)</f>
        <v>-9.1618861443033463E-3</v>
      </c>
      <c r="F225" s="103"/>
      <c r="G225" s="179"/>
      <c r="H225"/>
      <c r="I225" s="6">
        <f ca="1">SUM(I183:I194)</f>
        <v>83770212.596278936</v>
      </c>
      <c r="J225" s="36">
        <f t="shared" ca="1" si="12"/>
        <v>0</v>
      </c>
      <c r="K225" s="5">
        <f t="shared" ca="1" si="13"/>
        <v>0</v>
      </c>
    </row>
    <row r="226" spans="1:11" x14ac:dyDescent="0.3">
      <c r="A226">
        <v>2019</v>
      </c>
      <c r="B226" s="6">
        <f t="shared" ca="1" si="18"/>
        <v>83988474.328414425</v>
      </c>
      <c r="C226" s="107">
        <f t="shared" ca="1" si="14"/>
        <v>218261.73213548958</v>
      </c>
      <c r="D226" s="109">
        <f t="shared" ca="1" si="15"/>
        <v>2.6054814160180934E-3</v>
      </c>
      <c r="E226" s="109">
        <f ca="1">RATE(16,0,-B$210,B226)</f>
        <v>-8.4304888170034318E-3</v>
      </c>
      <c r="F226" s="103"/>
      <c r="G226" s="179"/>
      <c r="H226"/>
      <c r="I226" s="6">
        <f ca="1">SUM(I195:I206)</f>
        <v>83988474.328414425</v>
      </c>
      <c r="J226" s="36">
        <f t="shared" ca="1" si="12"/>
        <v>0</v>
      </c>
      <c r="K226" s="5">
        <f t="shared" ca="1" si="13"/>
        <v>0</v>
      </c>
    </row>
    <row r="227" spans="1:11" x14ac:dyDescent="0.3">
      <c r="C227" s="101"/>
      <c r="D227" s="179"/>
      <c r="F227" s="179"/>
      <c r="G227" s="179"/>
      <c r="H227"/>
      <c r="J227" s="179"/>
      <c r="K227" s="179"/>
    </row>
    <row r="228" spans="1:11" x14ac:dyDescent="0.3">
      <c r="A228" t="s">
        <v>9</v>
      </c>
      <c r="B228" s="6">
        <f ca="1">SUM(B210:B226)</f>
        <v>1419094308.8891768</v>
      </c>
      <c r="C228" s="101"/>
      <c r="D228" s="179"/>
      <c r="F228" s="179"/>
      <c r="G228" s="179"/>
      <c r="H228"/>
      <c r="I228" s="6">
        <f ca="1">SUM(I210:I226)</f>
        <v>1419094308.8891773</v>
      </c>
      <c r="J228" s="183">
        <f ca="1">I228-B228</f>
        <v>0</v>
      </c>
      <c r="K228" s="179"/>
    </row>
    <row r="229" spans="1:11" x14ac:dyDescent="0.3">
      <c r="C229" s="179"/>
      <c r="D229" s="179"/>
      <c r="F229" s="179"/>
      <c r="G229" s="179"/>
      <c r="H229"/>
      <c r="I229" s="179"/>
      <c r="J229" s="62"/>
      <c r="K229" s="179"/>
    </row>
    <row r="230" spans="1:11" x14ac:dyDescent="0.3">
      <c r="C230" s="179"/>
      <c r="D230" s="179"/>
      <c r="F230" s="179"/>
      <c r="G230" s="179"/>
      <c r="H230"/>
      <c r="I230" s="6">
        <f ca="1">SUM(I210:I226)</f>
        <v>1419094308.8891773</v>
      </c>
      <c r="J230" s="183">
        <f ca="1">I208-I230</f>
        <v>0</v>
      </c>
      <c r="K230" s="179"/>
    </row>
    <row r="231" spans="1:11" x14ac:dyDescent="0.3">
      <c r="C231" s="179"/>
      <c r="D231" s="179"/>
      <c r="F231" s="179"/>
      <c r="G231" s="179"/>
      <c r="H231"/>
      <c r="I231" s="23"/>
      <c r="J231" s="184" t="s">
        <v>69</v>
      </c>
      <c r="K231" s="18"/>
    </row>
    <row r="232" spans="1:11" x14ac:dyDescent="0.3">
      <c r="I232" s="11"/>
      <c r="J232" s="11"/>
      <c r="K232" s="11"/>
    </row>
    <row r="244" spans="9:11" x14ac:dyDescent="0.3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71"/>
  <sheetViews>
    <sheetView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RowHeight="12.45" x14ac:dyDescent="0.3"/>
  <cols>
    <col min="1" max="1" width="11.84375" customWidth="1"/>
    <col min="2" max="2" width="18" style="6" customWidth="1"/>
    <col min="3" max="3" width="11.69140625" style="1" customWidth="1"/>
    <col min="4" max="4" width="13.3828125" style="1" customWidth="1"/>
    <col min="5" max="5" width="14.3828125" style="34" customWidth="1"/>
    <col min="6" max="6" width="10.15234375" style="1" customWidth="1"/>
    <col min="7" max="8" width="12.3828125" style="1" customWidth="1"/>
    <col min="9" max="9" width="14" style="6" bestFit="1" customWidth="1"/>
    <col min="10" max="10" width="22" style="6" customWidth="1"/>
    <col min="11" max="11" width="11.53515625" style="6" customWidth="1"/>
    <col min="12" max="12" width="9.3046875" style="6" customWidth="1"/>
    <col min="13" max="13" width="27.3046875" style="6" bestFit="1" customWidth="1"/>
    <col min="14" max="14" width="15.53515625" style="6" bestFit="1" customWidth="1"/>
    <col min="15" max="15" width="24.3046875" style="6" bestFit="1" customWidth="1"/>
    <col min="16" max="16" width="22.69140625" style="6" bestFit="1" customWidth="1"/>
    <col min="17" max="17" width="9.53515625" style="6" bestFit="1" customWidth="1"/>
    <col min="18" max="21" width="15.53515625" bestFit="1" customWidth="1"/>
  </cols>
  <sheetData>
    <row r="2" spans="1:18" ht="42" customHeight="1" x14ac:dyDescent="0.3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2.9" thickBot="1" x14ac:dyDescent="0.35">
      <c r="A3" s="3">
        <v>37622</v>
      </c>
      <c r="B3" s="59">
        <v>12159799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61">
        <v>2</v>
      </c>
      <c r="I3" s="192">
        <f>$N$18+C3*$N$19+D3*$N$20+E3*$N$21+F3*$N$22+G3*$N$23</f>
        <v>9121529.9475709572</v>
      </c>
      <c r="J3" s="36">
        <f>I3-B3</f>
        <v>-3038269.0524290428</v>
      </c>
      <c r="K3" s="5">
        <f>J3/B3</f>
        <v>-0.24986178245454901</v>
      </c>
      <c r="M3"/>
      <c r="N3"/>
      <c r="O3"/>
      <c r="P3"/>
      <c r="Q3"/>
    </row>
    <row r="4" spans="1:18" ht="12.9" x14ac:dyDescent="0.35">
      <c r="A4" s="3">
        <v>37653</v>
      </c>
      <c r="B4" s="59">
        <v>15334488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61">
        <v>2</v>
      </c>
      <c r="I4" s="192">
        <f t="shared" ref="I4:I67" si="0">$N$18+C4*$N$19+D4*$N$20+E4*$N$21+F4*$N$22+G4*$N$23</f>
        <v>9527037.8236515336</v>
      </c>
      <c r="J4" s="36">
        <f t="shared" ref="J4:J67" si="1">I4-B4</f>
        <v>-5807450.1763484664</v>
      </c>
      <c r="K4" s="5">
        <f t="shared" ref="K4:K67" si="2">J4/B4</f>
        <v>-0.37871823150198863</v>
      </c>
      <c r="M4" s="53" t="s">
        <v>19</v>
      </c>
      <c r="N4" s="53"/>
      <c r="O4"/>
      <c r="P4"/>
      <c r="Q4"/>
    </row>
    <row r="5" spans="1:18" x14ac:dyDescent="0.3">
      <c r="A5" s="3">
        <v>37681</v>
      </c>
      <c r="B5" s="59">
        <v>14027949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61">
        <v>2</v>
      </c>
      <c r="I5" s="192">
        <f t="shared" si="0"/>
        <v>8998818.8072394505</v>
      </c>
      <c r="J5" s="36">
        <f t="shared" si="1"/>
        <v>-5029130.1927605495</v>
      </c>
      <c r="K5" s="5">
        <f t="shared" si="2"/>
        <v>-0.35850787543927837</v>
      </c>
      <c r="M5" s="35" t="s">
        <v>20</v>
      </c>
      <c r="N5" s="95">
        <v>0.71113686991198288</v>
      </c>
      <c r="O5"/>
      <c r="P5"/>
      <c r="Q5"/>
    </row>
    <row r="6" spans="1:18" x14ac:dyDescent="0.3">
      <c r="A6" s="3">
        <v>37712</v>
      </c>
      <c r="B6" s="59">
        <v>16091782.488984304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2</v>
      </c>
      <c r="I6" s="192">
        <f t="shared" si="0"/>
        <v>8239623.3921073657</v>
      </c>
      <c r="J6" s="36">
        <f t="shared" si="1"/>
        <v>-7852159.0968769379</v>
      </c>
      <c r="K6" s="5">
        <f t="shared" si="2"/>
        <v>-0.4879608024935812</v>
      </c>
      <c r="M6" s="35" t="s">
        <v>21</v>
      </c>
      <c r="N6" s="95">
        <v>0.50571564774821243</v>
      </c>
      <c r="O6"/>
      <c r="P6"/>
      <c r="Q6"/>
    </row>
    <row r="7" spans="1:18" x14ac:dyDescent="0.3">
      <c r="A7" s="3">
        <v>37742</v>
      </c>
      <c r="B7" s="59">
        <v>12996205.511015696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2</v>
      </c>
      <c r="I7" s="192">
        <f t="shared" si="0"/>
        <v>7620782.513040781</v>
      </c>
      <c r="J7" s="36">
        <f t="shared" si="1"/>
        <v>-5375422.9979749154</v>
      </c>
      <c r="K7" s="5">
        <f t="shared" si="2"/>
        <v>-0.41361480421486568</v>
      </c>
      <c r="M7" s="35" t="s">
        <v>22</v>
      </c>
      <c r="N7" s="95">
        <v>0.48780679440575636</v>
      </c>
      <c r="O7"/>
      <c r="P7"/>
      <c r="Q7"/>
    </row>
    <row r="8" spans="1:18" x14ac:dyDescent="0.3">
      <c r="A8" s="3">
        <v>37773</v>
      </c>
      <c r="B8" s="59">
        <v>14700512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2</v>
      </c>
      <c r="I8" s="192">
        <f t="shared" si="0"/>
        <v>7331401.6750795832</v>
      </c>
      <c r="J8" s="36">
        <f t="shared" si="1"/>
        <v>-7369110.3249204168</v>
      </c>
      <c r="K8" s="5">
        <f t="shared" si="2"/>
        <v>-0.50128256246587988</v>
      </c>
      <c r="M8" s="35" t="s">
        <v>23</v>
      </c>
      <c r="N8" s="67">
        <v>2383560.5307983141</v>
      </c>
      <c r="O8"/>
      <c r="P8"/>
      <c r="Q8"/>
    </row>
    <row r="9" spans="1:18" ht="12.9" thickBot="1" x14ac:dyDescent="0.35">
      <c r="A9" s="3">
        <v>37803</v>
      </c>
      <c r="B9" s="59">
        <v>13956069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61">
        <v>3</v>
      </c>
      <c r="I9" s="192">
        <f t="shared" si="0"/>
        <v>7888577.803846783</v>
      </c>
      <c r="J9" s="36">
        <f t="shared" si="1"/>
        <v>-6067491.196153217</v>
      </c>
      <c r="K9" s="5">
        <f t="shared" si="2"/>
        <v>-0.43475646302359333</v>
      </c>
      <c r="M9" s="51" t="s">
        <v>24</v>
      </c>
      <c r="N9" s="68">
        <v>144</v>
      </c>
      <c r="O9"/>
      <c r="P9"/>
      <c r="Q9"/>
    </row>
    <row r="10" spans="1:18" x14ac:dyDescent="0.3">
      <c r="A10" s="3">
        <v>37834</v>
      </c>
      <c r="B10" s="59">
        <v>11751775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61">
        <v>3</v>
      </c>
      <c r="I10" s="192">
        <f t="shared" si="0"/>
        <v>8018404.0191435469</v>
      </c>
      <c r="J10" s="36">
        <f t="shared" si="1"/>
        <v>-3733370.9808564531</v>
      </c>
      <c r="K10" s="5">
        <f t="shared" si="2"/>
        <v>-0.31768570967844884</v>
      </c>
      <c r="M10"/>
      <c r="N10"/>
      <c r="O10"/>
      <c r="P10"/>
      <c r="Q10"/>
    </row>
    <row r="11" spans="1:18" ht="12.9" thickBot="1" x14ac:dyDescent="0.35">
      <c r="A11" s="3">
        <v>37865</v>
      </c>
      <c r="B11" s="59">
        <v>14022194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61">
        <v>3</v>
      </c>
      <c r="I11" s="192">
        <f t="shared" si="0"/>
        <v>8366027.3327241503</v>
      </c>
      <c r="J11" s="36">
        <f t="shared" si="1"/>
        <v>-5656166.6672758497</v>
      </c>
      <c r="K11" s="5">
        <f t="shared" si="2"/>
        <v>-0.40337244423204027</v>
      </c>
      <c r="M11" t="s">
        <v>25</v>
      </c>
      <c r="N11"/>
      <c r="O11"/>
      <c r="P11"/>
      <c r="Q11"/>
    </row>
    <row r="12" spans="1:18" ht="12.9" x14ac:dyDescent="0.35">
      <c r="A12" s="3">
        <v>37895</v>
      </c>
      <c r="B12" s="59">
        <v>15169809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61">
        <v>3</v>
      </c>
      <c r="I12" s="192">
        <f t="shared" si="0"/>
        <v>9067744.5314566903</v>
      </c>
      <c r="J12" s="36">
        <f t="shared" si="1"/>
        <v>-6102064.4685433097</v>
      </c>
      <c r="K12" s="5">
        <f t="shared" si="2"/>
        <v>-0.40225057998708552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3">
      <c r="A13" s="3">
        <v>37926</v>
      </c>
      <c r="B13" s="59">
        <v>14680145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61">
        <v>3</v>
      </c>
      <c r="I13" s="192">
        <f t="shared" si="0"/>
        <v>9461591.2827109993</v>
      </c>
      <c r="J13" s="36">
        <f t="shared" si="1"/>
        <v>-5218553.7172890007</v>
      </c>
      <c r="K13" s="5">
        <f t="shared" si="2"/>
        <v>-0.35548379919196987</v>
      </c>
      <c r="M13" s="35" t="s">
        <v>26</v>
      </c>
      <c r="N13" s="67">
        <v>5</v>
      </c>
      <c r="O13" s="67">
        <v>802159971980033.5</v>
      </c>
      <c r="P13" s="67">
        <v>160431994396006.69</v>
      </c>
      <c r="Q13" s="67">
        <v>28.238304154812905</v>
      </c>
      <c r="R13" s="67">
        <v>1.246385542847512E-19</v>
      </c>
    </row>
    <row r="14" spans="1:18" x14ac:dyDescent="0.3">
      <c r="A14" s="3">
        <v>37956</v>
      </c>
      <c r="B14" s="59">
        <v>14366484.5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61">
        <v>3</v>
      </c>
      <c r="I14" s="192">
        <f t="shared" si="0"/>
        <v>9279269.1432930417</v>
      </c>
      <c r="J14" s="36">
        <f t="shared" si="1"/>
        <v>-5087215.3567069583</v>
      </c>
      <c r="K14" s="5">
        <f t="shared" si="2"/>
        <v>-0.35410300666853872</v>
      </c>
      <c r="M14" s="35" t="s">
        <v>27</v>
      </c>
      <c r="N14" s="67">
        <v>138</v>
      </c>
      <c r="O14" s="67">
        <v>784027790949176.75</v>
      </c>
      <c r="P14" s="67">
        <v>5681360803979.542</v>
      </c>
      <c r="Q14" s="67"/>
      <c r="R14" s="67"/>
    </row>
    <row r="15" spans="1:18" ht="12.9" thickBot="1" x14ac:dyDescent="0.35">
      <c r="A15" s="3">
        <v>37987</v>
      </c>
      <c r="B15" s="59">
        <v>12464314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61">
        <v>3</v>
      </c>
      <c r="I15" s="192">
        <f t="shared" si="0"/>
        <v>9362768.6900874898</v>
      </c>
      <c r="J15" s="36">
        <f t="shared" si="1"/>
        <v>-3101545.3099125102</v>
      </c>
      <c r="K15" s="5">
        <f t="shared" si="2"/>
        <v>-0.24883401604873803</v>
      </c>
      <c r="M15" s="51" t="s">
        <v>9</v>
      </c>
      <c r="N15" s="68">
        <v>143</v>
      </c>
      <c r="O15" s="68">
        <v>1586187762929210.2</v>
      </c>
      <c r="P15" s="68"/>
      <c r="Q15" s="68"/>
      <c r="R15" s="68"/>
    </row>
    <row r="16" spans="1:18" ht="12.9" thickBot="1" x14ac:dyDescent="0.35">
      <c r="A16" s="3">
        <v>38018</v>
      </c>
      <c r="B16" s="59">
        <v>12419310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61">
        <v>3</v>
      </c>
      <c r="I16" s="192">
        <f t="shared" si="0"/>
        <v>9343246.4182520621</v>
      </c>
      <c r="J16" s="36">
        <f t="shared" si="1"/>
        <v>-3076063.5817479379</v>
      </c>
      <c r="K16" s="5">
        <f t="shared" si="2"/>
        <v>-0.24768393588274534</v>
      </c>
      <c r="M16"/>
      <c r="N16"/>
      <c r="O16"/>
      <c r="P16"/>
      <c r="Q16"/>
    </row>
    <row r="17" spans="1:21" ht="12.9" x14ac:dyDescent="0.35">
      <c r="A17" s="3">
        <v>38047</v>
      </c>
      <c r="B17" s="59">
        <v>11160560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61">
        <v>3</v>
      </c>
      <c r="I17" s="192">
        <f t="shared" si="0"/>
        <v>8987037.8376021795</v>
      </c>
      <c r="J17" s="36">
        <f t="shared" si="1"/>
        <v>-2173522.1623978205</v>
      </c>
      <c r="K17" s="5">
        <f t="shared" si="2"/>
        <v>-0.19475027797868749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3">
      <c r="A18" s="3">
        <v>38078</v>
      </c>
      <c r="B18" s="59">
        <v>11229906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61">
        <v>3</v>
      </c>
      <c r="I18" s="192">
        <f t="shared" si="0"/>
        <v>8593678.2149267942</v>
      </c>
      <c r="J18" s="36">
        <f t="shared" si="1"/>
        <v>-2636227.7850732058</v>
      </c>
      <c r="K18" s="5">
        <f t="shared" si="2"/>
        <v>-0.23475065464245257</v>
      </c>
      <c r="M18" s="35" t="s">
        <v>28</v>
      </c>
      <c r="N18" s="67">
        <v>21941623.726113044</v>
      </c>
      <c r="O18" s="67">
        <v>7785315.773985168</v>
      </c>
      <c r="P18" s="67">
        <v>2.8183344597828057</v>
      </c>
      <c r="Q18" s="67">
        <v>5.5373189396322915E-3</v>
      </c>
      <c r="R18" s="67">
        <v>6547691.2704083994</v>
      </c>
      <c r="S18" s="67">
        <v>37335556.181817688</v>
      </c>
      <c r="T18" s="67">
        <v>6547691.2704083994</v>
      </c>
      <c r="U18" s="67">
        <v>37335556.181817688</v>
      </c>
    </row>
    <row r="19" spans="1:21" x14ac:dyDescent="0.3">
      <c r="A19" s="3">
        <v>38108</v>
      </c>
      <c r="B19" s="59">
        <v>10076064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61">
        <v>3</v>
      </c>
      <c r="I19" s="192">
        <f t="shared" si="0"/>
        <v>8062466.6277449895</v>
      </c>
      <c r="J19" s="36">
        <f t="shared" si="1"/>
        <v>-2013597.3722550105</v>
      </c>
      <c r="K19" s="5">
        <f t="shared" si="2"/>
        <v>-0.19983967670858488</v>
      </c>
      <c r="M19" s="35" t="s">
        <v>3</v>
      </c>
      <c r="N19" s="67">
        <v>1973.632700107687</v>
      </c>
      <c r="O19" s="67">
        <v>1214.8691584415631</v>
      </c>
      <c r="P19" s="67">
        <v>1.6245640004883057</v>
      </c>
      <c r="Q19" s="67">
        <v>0.10653733814909673</v>
      </c>
      <c r="R19" s="67">
        <v>-428.53238997897142</v>
      </c>
      <c r="S19" s="67">
        <v>4375.797790194345</v>
      </c>
      <c r="T19" s="67">
        <v>-428.53238997897142</v>
      </c>
      <c r="U19" s="67">
        <v>4375.797790194345</v>
      </c>
    </row>
    <row r="20" spans="1:21" x14ac:dyDescent="0.3">
      <c r="A20" s="3">
        <v>38139</v>
      </c>
      <c r="B20" s="59">
        <v>10438431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61">
        <v>3</v>
      </c>
      <c r="I20" s="192">
        <f t="shared" si="0"/>
        <v>7798260.1360449353</v>
      </c>
      <c r="J20" s="36">
        <f t="shared" si="1"/>
        <v>-2640170.8639550647</v>
      </c>
      <c r="K20" s="5">
        <f t="shared" si="2"/>
        <v>-0.25292794136925989</v>
      </c>
      <c r="M20" s="35" t="s">
        <v>4</v>
      </c>
      <c r="N20" s="67">
        <v>2543.2519326214856</v>
      </c>
      <c r="O20" s="67">
        <v>9398.2491608526016</v>
      </c>
      <c r="P20" s="67">
        <v>0.27060911975127544</v>
      </c>
      <c r="Q20" s="67">
        <v>0.78709599150578435</v>
      </c>
      <c r="R20" s="67">
        <v>-16039.939421990795</v>
      </c>
      <c r="S20" s="67">
        <v>21126.443287233767</v>
      </c>
      <c r="T20" s="67">
        <v>-16039.939421990795</v>
      </c>
      <c r="U20" s="67">
        <v>21126.443287233767</v>
      </c>
    </row>
    <row r="21" spans="1:21" x14ac:dyDescent="0.3">
      <c r="A21" s="3">
        <v>38169</v>
      </c>
      <c r="B21" s="59">
        <v>10556569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61">
        <v>3</v>
      </c>
      <c r="I21" s="192">
        <f t="shared" si="0"/>
        <v>7593682.0066652773</v>
      </c>
      <c r="J21" s="36">
        <f t="shared" si="1"/>
        <v>-2962886.9933347227</v>
      </c>
      <c r="K21" s="5">
        <f t="shared" si="2"/>
        <v>-0.28066761021831266</v>
      </c>
      <c r="M21" s="35" t="s">
        <v>218</v>
      </c>
      <c r="N21" s="67">
        <v>-156767262.95192373</v>
      </c>
      <c r="O21" s="67">
        <v>13341822.013745852</v>
      </c>
      <c r="P21" s="67">
        <v>-11.750064031015336</v>
      </c>
      <c r="Q21" s="67">
        <v>1.5871291499992169E-22</v>
      </c>
      <c r="R21" s="67">
        <v>-183148094.87680593</v>
      </c>
      <c r="S21" s="67">
        <v>-130386431.02704152</v>
      </c>
      <c r="T21" s="67">
        <v>-183148094.87680593</v>
      </c>
      <c r="U21" s="67">
        <v>-130386431.02704152</v>
      </c>
    </row>
    <row r="22" spans="1:21" x14ac:dyDescent="0.3">
      <c r="A22" s="3">
        <v>38200</v>
      </c>
      <c r="B22" s="59">
        <v>4679798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61">
        <v>2</v>
      </c>
      <c r="I22" s="192">
        <f t="shared" si="0"/>
        <v>7588488.8868450141</v>
      </c>
      <c r="J22" s="36">
        <f t="shared" si="1"/>
        <v>2908690.8868450141</v>
      </c>
      <c r="K22" s="5">
        <f t="shared" si="2"/>
        <v>0.62154197400080391</v>
      </c>
      <c r="M22" s="35" t="s">
        <v>5</v>
      </c>
      <c r="N22" s="67">
        <v>-200628.10991376438</v>
      </c>
      <c r="O22" s="67">
        <v>254650.27791635404</v>
      </c>
      <c r="P22" s="67">
        <v>-0.78785741588574065</v>
      </c>
      <c r="Q22" s="67">
        <v>0.43213129034507214</v>
      </c>
      <c r="R22" s="67">
        <v>-704149.00641609787</v>
      </c>
      <c r="S22" s="67">
        <v>302892.78658856906</v>
      </c>
      <c r="T22" s="67">
        <v>-704149.00641609787</v>
      </c>
      <c r="U22" s="67">
        <v>302892.78658856906</v>
      </c>
    </row>
    <row r="23" spans="1:21" ht="12.9" thickBot="1" x14ac:dyDescent="0.35">
      <c r="A23" s="3">
        <v>38231</v>
      </c>
      <c r="B23" s="59">
        <v>7568908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61">
        <v>2</v>
      </c>
      <c r="I23" s="192">
        <f t="shared" si="0"/>
        <v>8062980.2435851283</v>
      </c>
      <c r="J23" s="36">
        <f t="shared" si="1"/>
        <v>494072.24358512834</v>
      </c>
      <c r="K23" s="5">
        <f t="shared" si="2"/>
        <v>6.5276555559286534E-2</v>
      </c>
      <c r="M23" s="51" t="s">
        <v>17</v>
      </c>
      <c r="N23" s="68">
        <v>298659.44114148547</v>
      </c>
      <c r="O23" s="68">
        <v>513520.17717840255</v>
      </c>
      <c r="P23" s="68">
        <v>0.58159241722984512</v>
      </c>
      <c r="Q23" s="68">
        <v>0.56179005712141272</v>
      </c>
      <c r="R23" s="68">
        <v>-716725.82409603859</v>
      </c>
      <c r="S23" s="68">
        <v>1314044.7063790094</v>
      </c>
      <c r="T23" s="68">
        <v>-716725.82409603859</v>
      </c>
      <c r="U23" s="68">
        <v>1314044.7063790094</v>
      </c>
    </row>
    <row r="24" spans="1:21" x14ac:dyDescent="0.3">
      <c r="A24" s="3">
        <v>38261</v>
      </c>
      <c r="B24" s="59">
        <v>6828234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2</v>
      </c>
      <c r="I24" s="192">
        <f t="shared" si="0"/>
        <v>7392114.1932415646</v>
      </c>
      <c r="J24" s="36">
        <f t="shared" si="1"/>
        <v>563880.19324156456</v>
      </c>
      <c r="K24" s="5">
        <f t="shared" si="2"/>
        <v>8.2580677996911725E-2</v>
      </c>
      <c r="M24"/>
      <c r="N24"/>
      <c r="O24"/>
      <c r="P24"/>
      <c r="Q24"/>
    </row>
    <row r="25" spans="1:21" x14ac:dyDescent="0.3">
      <c r="A25" s="3">
        <v>38292</v>
      </c>
      <c r="B25" s="59">
        <v>7250002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2</v>
      </c>
      <c r="I25" s="192">
        <f t="shared" si="0"/>
        <v>7890168.751061555</v>
      </c>
      <c r="J25" s="36">
        <f t="shared" si="1"/>
        <v>640166.751061555</v>
      </c>
      <c r="K25" s="5">
        <f t="shared" si="2"/>
        <v>8.8298837857086795E-2</v>
      </c>
      <c r="M25"/>
      <c r="N25"/>
      <c r="O25"/>
      <c r="P25"/>
      <c r="Q25"/>
    </row>
    <row r="26" spans="1:21" x14ac:dyDescent="0.3">
      <c r="A26" s="3">
        <v>38322</v>
      </c>
      <c r="B26" s="59">
        <v>7472100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2</v>
      </c>
      <c r="I26" s="192">
        <f t="shared" si="0"/>
        <v>7868105.5868923469</v>
      </c>
      <c r="J26" s="36">
        <f t="shared" si="1"/>
        <v>396005.58689234685</v>
      </c>
      <c r="K26" s="5">
        <f t="shared" si="2"/>
        <v>5.299789709617736E-2</v>
      </c>
      <c r="M26"/>
      <c r="N26"/>
      <c r="O26"/>
      <c r="P26"/>
      <c r="Q26"/>
    </row>
    <row r="27" spans="1:21" x14ac:dyDescent="0.3">
      <c r="A27" s="3">
        <v>38353</v>
      </c>
      <c r="B27" s="59">
        <v>6007595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2</v>
      </c>
      <c r="I27" s="192">
        <f t="shared" si="0"/>
        <v>5906252.5641781194</v>
      </c>
      <c r="J27" s="36">
        <f t="shared" si="1"/>
        <v>-101342.43582188059</v>
      </c>
      <c r="K27" s="5">
        <f t="shared" si="2"/>
        <v>-1.6869052561279612E-2</v>
      </c>
      <c r="M27"/>
      <c r="N27"/>
      <c r="O27"/>
      <c r="P27"/>
      <c r="Q27"/>
    </row>
    <row r="28" spans="1:21" x14ac:dyDescent="0.3">
      <c r="A28" s="3">
        <v>38384</v>
      </c>
      <c r="B28" s="59">
        <v>6533504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2</v>
      </c>
      <c r="I28" s="192">
        <f t="shared" si="0"/>
        <v>6200250.1927026138</v>
      </c>
      <c r="J28" s="36">
        <f t="shared" si="1"/>
        <v>-333253.80729738623</v>
      </c>
      <c r="K28" s="5">
        <f t="shared" si="2"/>
        <v>-5.1006903385593126E-2</v>
      </c>
    </row>
    <row r="29" spans="1:21" x14ac:dyDescent="0.3">
      <c r="A29" s="3">
        <v>38412</v>
      </c>
      <c r="B29" s="59">
        <v>5745442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2</v>
      </c>
      <c r="I29" s="192">
        <f t="shared" si="0"/>
        <v>5874920.6178616006</v>
      </c>
      <c r="J29" s="36">
        <f t="shared" si="1"/>
        <v>129478.61786160059</v>
      </c>
      <c r="K29" s="5">
        <f t="shared" si="2"/>
        <v>2.2535884595406341E-2</v>
      </c>
    </row>
    <row r="30" spans="1:21" x14ac:dyDescent="0.3">
      <c r="A30" s="3">
        <v>38443</v>
      </c>
      <c r="B30" s="59">
        <v>5866282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61">
        <v>2</v>
      </c>
      <c r="I30" s="192">
        <f t="shared" si="0"/>
        <v>6987125.0212154314</v>
      </c>
      <c r="J30" s="36">
        <f t="shared" si="1"/>
        <v>1120843.0212154314</v>
      </c>
      <c r="K30" s="5">
        <f t="shared" si="2"/>
        <v>0.19106531551252248</v>
      </c>
    </row>
    <row r="31" spans="1:21" x14ac:dyDescent="0.3">
      <c r="A31" s="3">
        <v>38473</v>
      </c>
      <c r="B31" s="59">
        <v>4245124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61">
        <v>2</v>
      </c>
      <c r="I31" s="192">
        <f t="shared" si="0"/>
        <v>6571739.1960296948</v>
      </c>
      <c r="J31" s="36">
        <f t="shared" si="1"/>
        <v>2326615.1960296948</v>
      </c>
      <c r="K31" s="5">
        <f t="shared" si="2"/>
        <v>0.54806766446155508</v>
      </c>
    </row>
    <row r="32" spans="1:21" x14ac:dyDescent="0.3">
      <c r="A32" s="3">
        <v>38504</v>
      </c>
      <c r="B32" s="59">
        <v>4759004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61">
        <v>2</v>
      </c>
      <c r="I32" s="192">
        <f t="shared" si="0"/>
        <v>6302119.9794630641</v>
      </c>
      <c r="J32" s="36">
        <f t="shared" si="1"/>
        <v>1543115.9794630641</v>
      </c>
      <c r="K32" s="5">
        <f t="shared" si="2"/>
        <v>0.32425187696061281</v>
      </c>
    </row>
    <row r="33" spans="1:11" x14ac:dyDescent="0.3">
      <c r="A33" s="3">
        <v>38534</v>
      </c>
      <c r="B33" s="59">
        <v>5063378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61">
        <v>2</v>
      </c>
      <c r="I33" s="192">
        <f t="shared" si="0"/>
        <v>7179877.868158021</v>
      </c>
      <c r="J33" s="36">
        <f t="shared" si="1"/>
        <v>2116499.868158021</v>
      </c>
      <c r="K33" s="5">
        <f t="shared" si="2"/>
        <v>0.41800155314456494</v>
      </c>
    </row>
    <row r="34" spans="1:11" x14ac:dyDescent="0.3">
      <c r="A34" s="3">
        <v>38565</v>
      </c>
      <c r="B34" s="59">
        <v>2558029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61">
        <v>2</v>
      </c>
      <c r="I34" s="192">
        <f t="shared" si="0"/>
        <v>7061089.539249816</v>
      </c>
      <c r="J34" s="36">
        <f t="shared" si="1"/>
        <v>4503060.539249816</v>
      </c>
      <c r="K34" s="5">
        <f t="shared" si="2"/>
        <v>1.7603633654074351</v>
      </c>
    </row>
    <row r="35" spans="1:11" x14ac:dyDescent="0.3">
      <c r="A35" s="3">
        <v>38596</v>
      </c>
      <c r="B35" s="59">
        <v>5748577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61">
        <v>2</v>
      </c>
      <c r="I35" s="192">
        <f t="shared" si="0"/>
        <v>7441556.865065882</v>
      </c>
      <c r="J35" s="36">
        <f t="shared" si="1"/>
        <v>1692979.865065882</v>
      </c>
      <c r="K35" s="5">
        <f t="shared" si="2"/>
        <v>0.29450416425941273</v>
      </c>
    </row>
    <row r="36" spans="1:11" x14ac:dyDescent="0.3">
      <c r="A36" s="3">
        <v>38626</v>
      </c>
      <c r="B36" s="59">
        <v>5257080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2</v>
      </c>
      <c r="I36" s="192">
        <f t="shared" si="0"/>
        <v>5960375.7663993556</v>
      </c>
      <c r="J36" s="36">
        <f t="shared" si="1"/>
        <v>703295.76639935561</v>
      </c>
      <c r="K36" s="5">
        <f t="shared" si="2"/>
        <v>0.13378068555155251</v>
      </c>
    </row>
    <row r="37" spans="1:11" x14ac:dyDescent="0.3">
      <c r="A37" s="3">
        <v>38657</v>
      </c>
      <c r="B37" s="59">
        <v>5644531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2</v>
      </c>
      <c r="I37" s="192">
        <f t="shared" si="0"/>
        <v>6504525.8830556199</v>
      </c>
      <c r="J37" s="36">
        <f t="shared" si="1"/>
        <v>859994.8830556199</v>
      </c>
      <c r="K37" s="5">
        <f t="shared" si="2"/>
        <v>0.15235896180845138</v>
      </c>
    </row>
    <row r="38" spans="1:11" x14ac:dyDescent="0.3">
      <c r="A38" s="3">
        <v>38687</v>
      </c>
      <c r="B38" s="59">
        <v>5476287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2</v>
      </c>
      <c r="I38" s="192">
        <f t="shared" si="0"/>
        <v>6484041.6250464981</v>
      </c>
      <c r="J38" s="36">
        <f t="shared" si="1"/>
        <v>1007754.6250464981</v>
      </c>
      <c r="K38" s="5">
        <f t="shared" si="2"/>
        <v>0.18402151403797831</v>
      </c>
    </row>
    <row r="39" spans="1:11" x14ac:dyDescent="0.3">
      <c r="A39" s="3">
        <v>38718</v>
      </c>
      <c r="B39" s="60">
        <v>4556858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61">
        <v>2</v>
      </c>
      <c r="I39" s="192">
        <f t="shared" si="0"/>
        <v>6320427.474207568</v>
      </c>
      <c r="J39" s="36">
        <f t="shared" si="1"/>
        <v>1763569.474207568</v>
      </c>
      <c r="K39" s="5">
        <f t="shared" si="2"/>
        <v>0.3870143581844262</v>
      </c>
    </row>
    <row r="40" spans="1:11" x14ac:dyDescent="0.3">
      <c r="A40" s="3">
        <v>38749</v>
      </c>
      <c r="B40" s="60">
        <v>5213640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61">
        <v>2</v>
      </c>
      <c r="I40" s="192">
        <f t="shared" si="0"/>
        <v>7022177.6185743101</v>
      </c>
      <c r="J40" s="36">
        <f t="shared" si="1"/>
        <v>1808537.6185743101</v>
      </c>
      <c r="K40" s="5">
        <f t="shared" si="2"/>
        <v>0.34688578777481954</v>
      </c>
    </row>
    <row r="41" spans="1:11" x14ac:dyDescent="0.3">
      <c r="A41" s="3">
        <v>38777</v>
      </c>
      <c r="B41" s="60">
        <v>5061031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61">
        <v>2</v>
      </c>
      <c r="I41" s="192">
        <f t="shared" si="0"/>
        <v>6571325.0040064473</v>
      </c>
      <c r="J41" s="36">
        <f t="shared" si="1"/>
        <v>1510294.0040064473</v>
      </c>
      <c r="K41" s="5">
        <f t="shared" si="2"/>
        <v>0.29841627210077298</v>
      </c>
    </row>
    <row r="42" spans="1:11" x14ac:dyDescent="0.3">
      <c r="A42" s="3">
        <v>38808</v>
      </c>
      <c r="B42" s="60">
        <v>5324775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61">
        <v>2</v>
      </c>
      <c r="I42" s="192">
        <f t="shared" si="0"/>
        <v>6983769.8456252515</v>
      </c>
      <c r="J42" s="36">
        <f t="shared" si="1"/>
        <v>1658994.8456252515</v>
      </c>
      <c r="K42" s="5">
        <f t="shared" si="2"/>
        <v>0.3115614923870495</v>
      </c>
    </row>
    <row r="43" spans="1:11" x14ac:dyDescent="0.3">
      <c r="A43" s="3">
        <v>38838</v>
      </c>
      <c r="B43" s="60">
        <v>4314623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61">
        <v>2</v>
      </c>
      <c r="I43" s="192">
        <f t="shared" si="0"/>
        <v>6517676.8227327783</v>
      </c>
      <c r="J43" s="36">
        <f t="shared" si="1"/>
        <v>2203053.8227327783</v>
      </c>
      <c r="K43" s="5">
        <f t="shared" si="2"/>
        <v>0.51060169630875707</v>
      </c>
    </row>
    <row r="44" spans="1:11" x14ac:dyDescent="0.3">
      <c r="A44" s="3">
        <v>38869</v>
      </c>
      <c r="B44" s="60">
        <v>5115928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61">
        <v>2</v>
      </c>
      <c r="I44" s="192">
        <f t="shared" si="0"/>
        <v>6183112.6817122484</v>
      </c>
      <c r="J44" s="36">
        <f t="shared" si="1"/>
        <v>1067184.6817122484</v>
      </c>
      <c r="K44" s="5">
        <f t="shared" si="2"/>
        <v>0.20860041066102736</v>
      </c>
    </row>
    <row r="45" spans="1:11" x14ac:dyDescent="0.3">
      <c r="A45" s="3">
        <v>38899</v>
      </c>
      <c r="B45" s="60">
        <v>5489699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61">
        <v>2</v>
      </c>
      <c r="I45" s="192">
        <f t="shared" si="0"/>
        <v>5652522.047499639</v>
      </c>
      <c r="J45" s="36">
        <f t="shared" si="1"/>
        <v>162823.04749963898</v>
      </c>
      <c r="K45" s="5">
        <f t="shared" si="2"/>
        <v>2.9659740452006381E-2</v>
      </c>
    </row>
    <row r="46" spans="1:11" x14ac:dyDescent="0.3">
      <c r="A46" s="3">
        <v>38930</v>
      </c>
      <c r="B46" s="60">
        <v>3330944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61">
        <v>2</v>
      </c>
      <c r="I46" s="192">
        <f t="shared" si="0"/>
        <v>5592997.9315080801</v>
      </c>
      <c r="J46" s="36">
        <f t="shared" si="1"/>
        <v>2262053.9315080801</v>
      </c>
      <c r="K46" s="5">
        <f t="shared" si="2"/>
        <v>0.67910296045447782</v>
      </c>
    </row>
    <row r="47" spans="1:11" x14ac:dyDescent="0.3">
      <c r="A47" s="3">
        <v>38961</v>
      </c>
      <c r="B47" s="60">
        <v>5290589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61">
        <v>2</v>
      </c>
      <c r="I47" s="192">
        <f t="shared" si="0"/>
        <v>6027306.9317686129</v>
      </c>
      <c r="J47" s="36">
        <f t="shared" si="1"/>
        <v>736717.93176861294</v>
      </c>
      <c r="K47" s="5">
        <f t="shared" si="2"/>
        <v>0.13925064520578198</v>
      </c>
    </row>
    <row r="48" spans="1:11" x14ac:dyDescent="0.3">
      <c r="A48" s="3">
        <v>38991</v>
      </c>
      <c r="B48" s="60">
        <v>5101474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61">
        <v>2</v>
      </c>
      <c r="I48" s="192">
        <f t="shared" si="0"/>
        <v>6059364.6815985162</v>
      </c>
      <c r="J48" s="36">
        <f t="shared" si="1"/>
        <v>957890.68159851618</v>
      </c>
      <c r="K48" s="5">
        <f t="shared" si="2"/>
        <v>0.18776743380413508</v>
      </c>
    </row>
    <row r="49" spans="1:11" x14ac:dyDescent="0.3">
      <c r="A49" s="3">
        <v>39022</v>
      </c>
      <c r="B49" s="60">
        <v>5392532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61">
        <v>2</v>
      </c>
      <c r="I49" s="192">
        <f t="shared" si="0"/>
        <v>6443343.2693522833</v>
      </c>
      <c r="J49" s="36">
        <f t="shared" si="1"/>
        <v>1050811.2693522833</v>
      </c>
      <c r="K49" s="5">
        <f t="shared" si="2"/>
        <v>0.19486416943882454</v>
      </c>
    </row>
    <row r="50" spans="1:11" x14ac:dyDescent="0.3">
      <c r="A50" s="3">
        <v>39052</v>
      </c>
      <c r="B50" s="60">
        <v>5462353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61">
        <v>2</v>
      </c>
      <c r="I50" s="192">
        <f t="shared" si="0"/>
        <v>6149313.5191082312</v>
      </c>
      <c r="J50" s="36">
        <f t="shared" si="1"/>
        <v>686960.51910823118</v>
      </c>
      <c r="K50" s="5">
        <f t="shared" si="2"/>
        <v>0.12576274713630392</v>
      </c>
    </row>
    <row r="51" spans="1:11" x14ac:dyDescent="0.3">
      <c r="A51" s="3">
        <v>39083</v>
      </c>
      <c r="B51" s="60">
        <v>4545991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61">
        <v>2</v>
      </c>
      <c r="I51" s="192">
        <f t="shared" si="0"/>
        <v>7133670.9161987929</v>
      </c>
      <c r="J51" s="36">
        <f t="shared" si="1"/>
        <v>2587679.9161987929</v>
      </c>
      <c r="K51" s="5">
        <f t="shared" si="2"/>
        <v>0.56922240193585794</v>
      </c>
    </row>
    <row r="52" spans="1:11" x14ac:dyDescent="0.3">
      <c r="A52" s="3">
        <v>39114</v>
      </c>
      <c r="B52" s="60">
        <v>5217876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61">
        <v>2</v>
      </c>
      <c r="I52" s="192">
        <f t="shared" si="0"/>
        <v>7973180.6230330504</v>
      </c>
      <c r="J52" s="36">
        <f t="shared" si="1"/>
        <v>2755304.6230330504</v>
      </c>
      <c r="K52" s="5">
        <f t="shared" si="2"/>
        <v>0.52805099681039769</v>
      </c>
    </row>
    <row r="53" spans="1:11" x14ac:dyDescent="0.3">
      <c r="A53" s="3">
        <v>39142</v>
      </c>
      <c r="B53" s="60">
        <v>5122252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61">
        <v>2</v>
      </c>
      <c r="I53" s="192">
        <f t="shared" si="0"/>
        <v>7244440.5242900271</v>
      </c>
      <c r="J53" s="36">
        <f t="shared" si="1"/>
        <v>2122188.5242900271</v>
      </c>
      <c r="K53" s="5">
        <f t="shared" si="2"/>
        <v>0.41430771549116036</v>
      </c>
    </row>
    <row r="54" spans="1:11" x14ac:dyDescent="0.3">
      <c r="A54" s="3">
        <v>39173</v>
      </c>
      <c r="B54" s="60">
        <v>5766945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61">
        <v>2</v>
      </c>
      <c r="I54" s="192">
        <f t="shared" si="0"/>
        <v>7525577.9647882935</v>
      </c>
      <c r="J54" s="36">
        <f t="shared" si="1"/>
        <v>1758632.9647882935</v>
      </c>
      <c r="K54" s="5">
        <f t="shared" si="2"/>
        <v>0.3049505352987229</v>
      </c>
    </row>
    <row r="55" spans="1:11" x14ac:dyDescent="0.3">
      <c r="A55" s="3">
        <v>39203</v>
      </c>
      <c r="B55" s="60">
        <v>5127178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61">
        <v>2</v>
      </c>
      <c r="I55" s="192">
        <f t="shared" si="0"/>
        <v>6926668.3400289714</v>
      </c>
      <c r="J55" s="36">
        <f t="shared" si="1"/>
        <v>1799490.3400289714</v>
      </c>
      <c r="K55" s="5">
        <f t="shared" si="2"/>
        <v>0.35097091226966792</v>
      </c>
    </row>
    <row r="56" spans="1:11" x14ac:dyDescent="0.3">
      <c r="A56" s="3">
        <v>39234</v>
      </c>
      <c r="B56" s="60">
        <v>5685202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61">
        <v>2</v>
      </c>
      <c r="I56" s="192">
        <f t="shared" si="0"/>
        <v>6769167.1006672634</v>
      </c>
      <c r="J56" s="36">
        <f t="shared" si="1"/>
        <v>1083965.1006672634</v>
      </c>
      <c r="K56" s="5">
        <f t="shared" si="2"/>
        <v>0.19066430720795205</v>
      </c>
    </row>
    <row r="57" spans="1:11" x14ac:dyDescent="0.3">
      <c r="A57" s="3">
        <v>39264</v>
      </c>
      <c r="B57" s="60">
        <v>5692333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61">
        <v>2</v>
      </c>
      <c r="I57" s="192">
        <f t="shared" si="0"/>
        <v>5812017.3747512186</v>
      </c>
      <c r="J57" s="36">
        <f t="shared" si="1"/>
        <v>119684.37475121859</v>
      </c>
      <c r="K57" s="5">
        <f t="shared" si="2"/>
        <v>2.1025539923827118E-2</v>
      </c>
    </row>
    <row r="58" spans="1:11" x14ac:dyDescent="0.3">
      <c r="A58" s="3">
        <v>39295</v>
      </c>
      <c r="B58" s="60">
        <v>4060885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61">
        <v>2</v>
      </c>
      <c r="I58" s="192">
        <f t="shared" si="0"/>
        <v>5920239.5403478267</v>
      </c>
      <c r="J58" s="36">
        <f t="shared" si="1"/>
        <v>1859354.5403478267</v>
      </c>
      <c r="K58" s="5">
        <f t="shared" si="2"/>
        <v>0.45786929212421101</v>
      </c>
    </row>
    <row r="59" spans="1:11" x14ac:dyDescent="0.3">
      <c r="A59" s="3">
        <v>39326</v>
      </c>
      <c r="B59" s="60">
        <v>5553257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61">
        <v>2</v>
      </c>
      <c r="I59" s="192">
        <f t="shared" si="0"/>
        <v>6259287.0569618847</v>
      </c>
      <c r="J59" s="36">
        <f t="shared" si="1"/>
        <v>706030.05696188472</v>
      </c>
      <c r="K59" s="5">
        <f t="shared" si="2"/>
        <v>0.12713801233436248</v>
      </c>
    </row>
    <row r="60" spans="1:11" x14ac:dyDescent="0.3">
      <c r="A60" s="3">
        <v>39356</v>
      </c>
      <c r="B60" s="60">
        <v>4722610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61">
        <v>2</v>
      </c>
      <c r="I60" s="192">
        <f t="shared" si="0"/>
        <v>6658332.438921418</v>
      </c>
      <c r="J60" s="36">
        <f t="shared" si="1"/>
        <v>1935722.438921418</v>
      </c>
      <c r="K60" s="5">
        <f t="shared" si="2"/>
        <v>0.4098840342356066</v>
      </c>
    </row>
    <row r="61" spans="1:11" x14ac:dyDescent="0.3">
      <c r="A61" s="3">
        <v>39387</v>
      </c>
      <c r="B61" s="60">
        <v>5138930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61">
        <v>2</v>
      </c>
      <c r="I61" s="192">
        <f t="shared" si="0"/>
        <v>7278554.8608780745</v>
      </c>
      <c r="J61" s="36">
        <f t="shared" si="1"/>
        <v>2139624.8608780745</v>
      </c>
      <c r="K61" s="5">
        <f t="shared" si="2"/>
        <v>0.41635610153827246</v>
      </c>
    </row>
    <row r="62" spans="1:11" x14ac:dyDescent="0.3">
      <c r="A62" s="3">
        <v>39417</v>
      </c>
      <c r="B62" s="60">
        <v>5178387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61">
        <v>2</v>
      </c>
      <c r="I62" s="192">
        <f t="shared" si="0"/>
        <v>6826042.4048153767</v>
      </c>
      <c r="J62" s="36">
        <f t="shared" si="1"/>
        <v>1647655.4048153767</v>
      </c>
      <c r="K62" s="5">
        <f t="shared" si="2"/>
        <v>0.31817927181096678</v>
      </c>
    </row>
    <row r="63" spans="1:11" x14ac:dyDescent="0.3">
      <c r="A63" s="3">
        <v>39448</v>
      </c>
      <c r="B63" s="61">
        <v>3766565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61">
        <v>2</v>
      </c>
      <c r="I63" s="192">
        <f t="shared" si="0"/>
        <v>6229701.1965659903</v>
      </c>
      <c r="J63" s="36">
        <f t="shared" si="1"/>
        <v>2463136.1965659903</v>
      </c>
      <c r="K63" s="5">
        <f t="shared" si="2"/>
        <v>0.65394761448853012</v>
      </c>
    </row>
    <row r="64" spans="1:11" x14ac:dyDescent="0.3">
      <c r="A64" s="3">
        <v>39479</v>
      </c>
      <c r="B64" s="61">
        <v>3664377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61">
        <v>2</v>
      </c>
      <c r="I64" s="192">
        <f t="shared" si="0"/>
        <v>6403594.9293411123</v>
      </c>
      <c r="J64" s="36">
        <f t="shared" si="1"/>
        <v>2739217.9293411123</v>
      </c>
      <c r="K64" s="5">
        <f t="shared" si="2"/>
        <v>0.74752623142791041</v>
      </c>
    </row>
    <row r="65" spans="1:17" x14ac:dyDescent="0.3">
      <c r="A65" s="3">
        <v>39508</v>
      </c>
      <c r="B65" s="61">
        <v>3693203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61">
        <v>2</v>
      </c>
      <c r="I65" s="192">
        <f t="shared" si="0"/>
        <v>6522834.4661471732</v>
      </c>
      <c r="J65" s="36">
        <f t="shared" si="1"/>
        <v>2829631.4661471732</v>
      </c>
      <c r="K65" s="5">
        <f t="shared" si="2"/>
        <v>0.76617274115372835</v>
      </c>
    </row>
    <row r="66" spans="1:17" x14ac:dyDescent="0.3">
      <c r="A66" s="3">
        <v>39539</v>
      </c>
      <c r="B66" s="61">
        <v>3278711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2</v>
      </c>
      <c r="I66" s="192">
        <f t="shared" si="0"/>
        <v>4906049.6998348106</v>
      </c>
      <c r="J66" s="36">
        <f t="shared" si="1"/>
        <v>1627338.6998348106</v>
      </c>
      <c r="K66" s="5">
        <f t="shared" si="2"/>
        <v>0.49633490107387035</v>
      </c>
    </row>
    <row r="67" spans="1:17" x14ac:dyDescent="0.3">
      <c r="A67" s="3">
        <v>39569</v>
      </c>
      <c r="B67" s="61">
        <v>3060394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2</v>
      </c>
      <c r="I67" s="192">
        <f t="shared" si="0"/>
        <v>4718052.8392017372</v>
      </c>
      <c r="J67" s="36">
        <f t="shared" si="1"/>
        <v>1657658.8392017372</v>
      </c>
      <c r="K67" s="5">
        <f t="shared" si="2"/>
        <v>0.54164883319001966</v>
      </c>
    </row>
    <row r="68" spans="1:17" x14ac:dyDescent="0.3">
      <c r="A68" s="3">
        <v>39600</v>
      </c>
      <c r="B68" s="61">
        <v>3072635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2</v>
      </c>
      <c r="I68" s="192">
        <f t="shared" ref="I68:I131" si="3">$N$18+C68*$N$19+D68*$N$20+E68*$N$21+F68*$N$22+G68*$N$23</f>
        <v>4412615.0227192929</v>
      </c>
      <c r="J68" s="36">
        <f t="shared" ref="J68:J131" si="4">I68-B68</f>
        <v>1339980.0227192929</v>
      </c>
      <c r="K68" s="5">
        <f t="shared" ref="K68:K131" si="5">J68/B68</f>
        <v>0.43610126901480095</v>
      </c>
    </row>
    <row r="69" spans="1:17" x14ac:dyDescent="0.3">
      <c r="A69" s="3">
        <v>39630</v>
      </c>
      <c r="B69" s="61">
        <v>3517541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2</v>
      </c>
      <c r="I69" s="192">
        <f t="shared" si="3"/>
        <v>5220107.7394186007</v>
      </c>
      <c r="J69" s="36">
        <f t="shared" si="4"/>
        <v>1702566.7394186007</v>
      </c>
      <c r="K69" s="5">
        <f t="shared" si="5"/>
        <v>0.48402186056071578</v>
      </c>
    </row>
    <row r="70" spans="1:17" x14ac:dyDescent="0.3">
      <c r="A70" s="3">
        <v>39661</v>
      </c>
      <c r="B70" s="61">
        <v>2956895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2</v>
      </c>
      <c r="I70" s="192">
        <f t="shared" si="3"/>
        <v>5165257.8021024028</v>
      </c>
      <c r="J70" s="36">
        <f t="shared" si="4"/>
        <v>2208362.8021024028</v>
      </c>
      <c r="K70" s="5">
        <f t="shared" si="5"/>
        <v>0.74685195182865904</v>
      </c>
    </row>
    <row r="71" spans="1:17" x14ac:dyDescent="0.3">
      <c r="A71" s="3">
        <v>39692</v>
      </c>
      <c r="B71" s="61">
        <v>2964191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</v>
      </c>
      <c r="I71" s="192">
        <f t="shared" si="3"/>
        <v>5701508.5406189281</v>
      </c>
      <c r="J71" s="36">
        <f t="shared" si="4"/>
        <v>2737317.5406189281</v>
      </c>
      <c r="K71" s="5">
        <f t="shared" si="5"/>
        <v>0.92346192961888363</v>
      </c>
    </row>
    <row r="72" spans="1:17" x14ac:dyDescent="0.3">
      <c r="A72" s="3">
        <v>39722</v>
      </c>
      <c r="B72" s="61">
        <v>5786813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61">
        <v>3</v>
      </c>
      <c r="I72" s="192">
        <f t="shared" si="3"/>
        <v>3880275.5251658056</v>
      </c>
      <c r="J72" s="36">
        <f t="shared" si="4"/>
        <v>-1906537.4748341944</v>
      </c>
      <c r="K72" s="5">
        <f t="shared" si="5"/>
        <v>-0.32946243032809153</v>
      </c>
    </row>
    <row r="73" spans="1:17" x14ac:dyDescent="0.3">
      <c r="A73" s="3">
        <v>39753</v>
      </c>
      <c r="B73" s="61">
        <v>5505321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61">
        <v>3</v>
      </c>
      <c r="I73" s="192">
        <f t="shared" si="3"/>
        <v>4210571.3034766465</v>
      </c>
      <c r="J73" s="36">
        <f t="shared" si="4"/>
        <v>-1294749.6965233535</v>
      </c>
      <c r="K73" s="5">
        <f t="shared" si="5"/>
        <v>-0.23518150831229523</v>
      </c>
    </row>
    <row r="74" spans="1:17" x14ac:dyDescent="0.3">
      <c r="A74" s="3">
        <v>39783</v>
      </c>
      <c r="B74" s="61">
        <v>5194375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61">
        <v>3</v>
      </c>
      <c r="I74" s="192">
        <f t="shared" si="3"/>
        <v>3928580.7127032531</v>
      </c>
      <c r="J74" s="36">
        <f t="shared" si="4"/>
        <v>-1265794.2872967469</v>
      </c>
      <c r="K74" s="5">
        <f t="shared" si="5"/>
        <v>-0.24368558051676031</v>
      </c>
    </row>
    <row r="75" spans="1:17" s="14" customFormat="1" x14ac:dyDescent="0.3">
      <c r="A75" s="3">
        <v>39814</v>
      </c>
      <c r="B75" s="61">
        <v>4191683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61">
        <v>2</v>
      </c>
      <c r="I75" s="192">
        <f t="shared" si="3"/>
        <v>4061026.3504603682</v>
      </c>
      <c r="J75" s="36">
        <f t="shared" si="4"/>
        <v>-130656.64953963179</v>
      </c>
      <c r="K75" s="5">
        <f t="shared" si="5"/>
        <v>-3.1170450995371499E-2</v>
      </c>
      <c r="L75" s="11"/>
      <c r="M75" s="11"/>
      <c r="N75" s="11"/>
      <c r="O75" s="11"/>
      <c r="P75" s="11"/>
      <c r="Q75" s="11"/>
    </row>
    <row r="76" spans="1:17" x14ac:dyDescent="0.3">
      <c r="A76" s="3">
        <v>39845</v>
      </c>
      <c r="B76" s="61">
        <v>3622325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61">
        <v>2</v>
      </c>
      <c r="I76" s="192">
        <f t="shared" si="3"/>
        <v>4487257.3698920757</v>
      </c>
      <c r="J76" s="36">
        <f t="shared" si="4"/>
        <v>864932.36989207566</v>
      </c>
      <c r="K76" s="5">
        <f t="shared" si="5"/>
        <v>0.23877823494359995</v>
      </c>
    </row>
    <row r="77" spans="1:17" x14ac:dyDescent="0.3">
      <c r="A77" s="3">
        <v>39873</v>
      </c>
      <c r="B77" s="61">
        <v>2717396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61">
        <v>2</v>
      </c>
      <c r="I77" s="192">
        <f t="shared" si="3"/>
        <v>3881869.3149057832</v>
      </c>
      <c r="J77" s="36">
        <f t="shared" si="4"/>
        <v>1164473.3149057832</v>
      </c>
      <c r="K77" s="5">
        <f t="shared" si="5"/>
        <v>0.42852543939336896</v>
      </c>
    </row>
    <row r="78" spans="1:17" x14ac:dyDescent="0.3">
      <c r="A78" s="3">
        <v>39904</v>
      </c>
      <c r="B78" s="61">
        <v>2842222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61">
        <v>2</v>
      </c>
      <c r="I78" s="192">
        <f t="shared" si="3"/>
        <v>3045246.6713660993</v>
      </c>
      <c r="J78" s="36">
        <f t="shared" si="4"/>
        <v>203024.67136609927</v>
      </c>
      <c r="K78" s="5">
        <f t="shared" si="5"/>
        <v>7.143167260196398E-2</v>
      </c>
    </row>
    <row r="79" spans="1:17" x14ac:dyDescent="0.3">
      <c r="A79" s="3">
        <v>39934</v>
      </c>
      <c r="B79" s="61">
        <v>2701951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61">
        <v>1</v>
      </c>
      <c r="I79" s="192">
        <f t="shared" si="3"/>
        <v>2561007.542446861</v>
      </c>
      <c r="J79" s="36">
        <f t="shared" si="4"/>
        <v>-140943.45755313896</v>
      </c>
      <c r="K79" s="5">
        <f t="shared" si="5"/>
        <v>-5.2163587553267603E-2</v>
      </c>
    </row>
    <row r="80" spans="1:17" x14ac:dyDescent="0.3">
      <c r="A80" s="3">
        <v>39965</v>
      </c>
      <c r="B80" s="61">
        <v>2813462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61">
        <v>1</v>
      </c>
      <c r="I80" s="192">
        <f t="shared" si="3"/>
        <v>2308422.1480950015</v>
      </c>
      <c r="J80" s="36">
        <f t="shared" si="4"/>
        <v>-505039.85190499853</v>
      </c>
      <c r="K80" s="5">
        <f t="shared" si="5"/>
        <v>-0.17950832529637811</v>
      </c>
    </row>
    <row r="81" spans="1:17" x14ac:dyDescent="0.3">
      <c r="A81" s="3">
        <v>39995</v>
      </c>
      <c r="B81" s="61">
        <v>2931617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61">
        <v>1</v>
      </c>
      <c r="I81" s="192">
        <f t="shared" si="3"/>
        <v>927526.61719051469</v>
      </c>
      <c r="J81" s="36">
        <f t="shared" si="4"/>
        <v>-2004090.3828094853</v>
      </c>
      <c r="K81" s="5">
        <f t="shared" si="5"/>
        <v>-0.68361262157010461</v>
      </c>
    </row>
    <row r="82" spans="1:17" x14ac:dyDescent="0.3">
      <c r="A82" s="3">
        <v>40026</v>
      </c>
      <c r="B82" s="61">
        <v>3253407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61">
        <v>1</v>
      </c>
      <c r="I82" s="192">
        <f t="shared" si="3"/>
        <v>1052727.6018896932</v>
      </c>
      <c r="J82" s="36">
        <f t="shared" si="4"/>
        <v>-2200679.3981103068</v>
      </c>
      <c r="K82" s="5">
        <f t="shared" si="5"/>
        <v>-0.67642302303717516</v>
      </c>
    </row>
    <row r="83" spans="1:17" x14ac:dyDescent="0.3">
      <c r="A83" s="3">
        <v>40057</v>
      </c>
      <c r="B83" s="61">
        <v>3293269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61">
        <v>1</v>
      </c>
      <c r="I83" s="192">
        <f t="shared" si="3"/>
        <v>1479330.5557694158</v>
      </c>
      <c r="J83" s="36">
        <f t="shared" si="4"/>
        <v>-1813938.4442305842</v>
      </c>
      <c r="K83" s="5">
        <f t="shared" si="5"/>
        <v>-0.5508017851656164</v>
      </c>
    </row>
    <row r="84" spans="1:17" x14ac:dyDescent="0.3">
      <c r="A84" s="3">
        <v>40087</v>
      </c>
      <c r="B84" s="61">
        <v>3145414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61">
        <v>1</v>
      </c>
      <c r="I84" s="192">
        <f t="shared" si="3"/>
        <v>912294.31909646117</v>
      </c>
      <c r="J84" s="36">
        <f t="shared" si="4"/>
        <v>-2233119.6809035391</v>
      </c>
      <c r="K84" s="5">
        <f t="shared" si="5"/>
        <v>-0.70996049515375048</v>
      </c>
    </row>
    <row r="85" spans="1:17" x14ac:dyDescent="0.3">
      <c r="A85" s="3">
        <v>40118</v>
      </c>
      <c r="B85" s="61">
        <v>2862881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61">
        <v>1</v>
      </c>
      <c r="I85" s="192">
        <f t="shared" si="3"/>
        <v>1230353.5746666363</v>
      </c>
      <c r="J85" s="36">
        <f t="shared" si="4"/>
        <v>-1632527.4253333637</v>
      </c>
      <c r="K85" s="5">
        <f t="shared" si="5"/>
        <v>-0.57023935865073105</v>
      </c>
    </row>
    <row r="86" spans="1:17" s="31" customFormat="1" x14ac:dyDescent="0.3">
      <c r="A86" s="3">
        <v>40148</v>
      </c>
      <c r="B86" s="61">
        <v>2204662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61">
        <v>1</v>
      </c>
      <c r="I86" s="192">
        <f t="shared" si="3"/>
        <v>1267302.028230642</v>
      </c>
      <c r="J86" s="36">
        <f t="shared" si="4"/>
        <v>-937359.97176935803</v>
      </c>
      <c r="K86" s="5">
        <f t="shared" si="5"/>
        <v>-0.42517173687819632</v>
      </c>
      <c r="L86" s="27"/>
      <c r="M86" s="27"/>
      <c r="N86" s="27"/>
      <c r="O86" s="27"/>
      <c r="P86" s="27"/>
      <c r="Q86" s="27"/>
    </row>
    <row r="87" spans="1:17" x14ac:dyDescent="0.3">
      <c r="A87" s="3">
        <v>40179</v>
      </c>
      <c r="B87" s="59">
        <v>2338497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</v>
      </c>
      <c r="I87" s="192">
        <f t="shared" si="3"/>
        <v>956469.76154357474</v>
      </c>
      <c r="J87" s="36">
        <f t="shared" si="4"/>
        <v>-1382027.2384564253</v>
      </c>
      <c r="K87" s="5">
        <f t="shared" si="5"/>
        <v>-0.5909895280842461</v>
      </c>
    </row>
    <row r="88" spans="1:17" x14ac:dyDescent="0.3">
      <c r="A88" s="3">
        <v>40210</v>
      </c>
      <c r="B88" s="59">
        <v>2504282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</v>
      </c>
      <c r="I88" s="192">
        <f t="shared" si="3"/>
        <v>1329215.3348023631</v>
      </c>
      <c r="J88" s="36">
        <f t="shared" si="4"/>
        <v>-1175066.6651976369</v>
      </c>
      <c r="K88" s="5">
        <f t="shared" si="5"/>
        <v>-0.46922298095727116</v>
      </c>
    </row>
    <row r="89" spans="1:17" x14ac:dyDescent="0.3">
      <c r="A89" s="3">
        <v>40238</v>
      </c>
      <c r="B89" s="59">
        <v>2178313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</v>
      </c>
      <c r="I89" s="192">
        <f t="shared" si="3"/>
        <v>684946.71562394709</v>
      </c>
      <c r="J89" s="36">
        <f t="shared" si="4"/>
        <v>-1493366.2843760529</v>
      </c>
      <c r="K89" s="5">
        <f t="shared" si="5"/>
        <v>-0.6855609292034951</v>
      </c>
    </row>
    <row r="90" spans="1:17" x14ac:dyDescent="0.3">
      <c r="A90" s="3">
        <v>40269</v>
      </c>
      <c r="B90" s="59">
        <v>2685540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</v>
      </c>
      <c r="I90" s="192">
        <f t="shared" si="3"/>
        <v>1183047.2164274233</v>
      </c>
      <c r="J90" s="36">
        <f t="shared" si="4"/>
        <v>-1502492.7835725767</v>
      </c>
      <c r="K90" s="5">
        <f t="shared" si="5"/>
        <v>-0.55947510875748518</v>
      </c>
    </row>
    <row r="91" spans="1:17" x14ac:dyDescent="0.3">
      <c r="A91" s="3">
        <v>40299</v>
      </c>
      <c r="B91" s="59">
        <v>2719789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</v>
      </c>
      <c r="I91" s="192">
        <f t="shared" si="3"/>
        <v>800047.27212730632</v>
      </c>
      <c r="J91" s="36">
        <f t="shared" si="4"/>
        <v>-1919741.7278726937</v>
      </c>
      <c r="K91" s="5">
        <f t="shared" si="5"/>
        <v>-0.70584215462033773</v>
      </c>
    </row>
    <row r="92" spans="1:17" x14ac:dyDescent="0.3">
      <c r="A92" s="3">
        <v>40330</v>
      </c>
      <c r="B92" s="59">
        <v>2764026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</v>
      </c>
      <c r="I92" s="192">
        <f t="shared" si="3"/>
        <v>559625.41090191249</v>
      </c>
      <c r="J92" s="36">
        <f t="shared" si="4"/>
        <v>-2204400.5890980875</v>
      </c>
      <c r="K92" s="5">
        <f t="shared" si="5"/>
        <v>-0.79753250841276002</v>
      </c>
    </row>
    <row r="93" spans="1:17" x14ac:dyDescent="0.3">
      <c r="A93" s="3">
        <v>40360</v>
      </c>
      <c r="B93" s="59">
        <v>2736535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61">
        <v>1</v>
      </c>
      <c r="I93" s="192">
        <f t="shared" si="3"/>
        <v>210929.71473749448</v>
      </c>
      <c r="J93" s="36">
        <f t="shared" si="4"/>
        <v>-2525605.2852625055</v>
      </c>
      <c r="K93" s="5">
        <f t="shared" si="5"/>
        <v>-0.92292087814060686</v>
      </c>
    </row>
    <row r="94" spans="1:17" x14ac:dyDescent="0.3">
      <c r="A94" s="3">
        <v>40391</v>
      </c>
      <c r="B94" s="59">
        <v>3218359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61">
        <v>1</v>
      </c>
      <c r="I94" s="192">
        <f t="shared" si="3"/>
        <v>141161.17236015666</v>
      </c>
      <c r="J94" s="36">
        <f t="shared" si="4"/>
        <v>-3077197.8276398433</v>
      </c>
      <c r="K94" s="5">
        <f t="shared" si="5"/>
        <v>-0.95613877371661871</v>
      </c>
    </row>
    <row r="95" spans="1:17" x14ac:dyDescent="0.3">
      <c r="A95" s="3">
        <v>40422</v>
      </c>
      <c r="B95" s="59">
        <v>3274455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61">
        <v>1</v>
      </c>
      <c r="I95" s="192">
        <f t="shared" si="3"/>
        <v>603742.06831000582</v>
      </c>
      <c r="J95" s="36">
        <f t="shared" si="4"/>
        <v>-2670712.9316899944</v>
      </c>
      <c r="K95" s="5">
        <f t="shared" si="5"/>
        <v>-0.81562059386676389</v>
      </c>
    </row>
    <row r="96" spans="1:17" x14ac:dyDescent="0.3">
      <c r="A96" s="3">
        <v>40452</v>
      </c>
      <c r="B96" s="59">
        <v>3318812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</v>
      </c>
      <c r="I96" s="192">
        <f t="shared" si="3"/>
        <v>1930522.4884856103</v>
      </c>
      <c r="J96" s="36">
        <f t="shared" si="4"/>
        <v>-1388289.5115143897</v>
      </c>
      <c r="K96" s="5">
        <f t="shared" si="5"/>
        <v>-0.41830917554666841</v>
      </c>
    </row>
    <row r="97" spans="1:11" x14ac:dyDescent="0.3">
      <c r="A97" s="3">
        <v>40483</v>
      </c>
      <c r="B97" s="59">
        <v>2858543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</v>
      </c>
      <c r="I97" s="192">
        <f t="shared" si="3"/>
        <v>2410222.2621946</v>
      </c>
      <c r="J97" s="36">
        <f t="shared" si="4"/>
        <v>-448320.73780540004</v>
      </c>
      <c r="K97" s="5">
        <f t="shared" si="5"/>
        <v>-0.1568354010436086</v>
      </c>
    </row>
    <row r="98" spans="1:11" x14ac:dyDescent="0.3">
      <c r="A98" s="3">
        <v>40513</v>
      </c>
      <c r="B98" s="59">
        <v>2805612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</v>
      </c>
      <c r="I98" s="192">
        <f t="shared" si="3"/>
        <v>2383619.7428151434</v>
      </c>
      <c r="J98" s="36">
        <f t="shared" si="4"/>
        <v>-421992.25718485657</v>
      </c>
      <c r="K98" s="5">
        <f t="shared" si="5"/>
        <v>-0.15041005569724417</v>
      </c>
    </row>
    <row r="99" spans="1:11" x14ac:dyDescent="0.3">
      <c r="A99" s="3">
        <v>40544</v>
      </c>
      <c r="B99" s="105">
        <v>2686101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61">
        <v>1</v>
      </c>
      <c r="I99" s="192">
        <f t="shared" si="3"/>
        <v>3428370.3005289985</v>
      </c>
      <c r="J99" s="36">
        <f t="shared" si="4"/>
        <v>742269.30052899849</v>
      </c>
      <c r="K99" s="5">
        <f t="shared" si="5"/>
        <v>0.27633707761882315</v>
      </c>
    </row>
    <row r="100" spans="1:11" x14ac:dyDescent="0.3">
      <c r="A100" s="3">
        <v>40575</v>
      </c>
      <c r="B100" s="105">
        <v>2882506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61">
        <v>1</v>
      </c>
      <c r="I100" s="192">
        <f t="shared" si="3"/>
        <v>3780195.3671666458</v>
      </c>
      <c r="J100" s="36">
        <f t="shared" si="4"/>
        <v>897689.36716664582</v>
      </c>
      <c r="K100" s="5">
        <f t="shared" si="5"/>
        <v>0.31142671243933084</v>
      </c>
    </row>
    <row r="101" spans="1:11" x14ac:dyDescent="0.3">
      <c r="A101" s="3">
        <v>40603</v>
      </c>
      <c r="B101" s="105">
        <v>2542043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61">
        <v>1</v>
      </c>
      <c r="I101" s="192">
        <f t="shared" si="3"/>
        <v>3330132.2056788262</v>
      </c>
      <c r="J101" s="36">
        <f t="shared" si="4"/>
        <v>788089.2056788262</v>
      </c>
      <c r="K101" s="5">
        <f t="shared" si="5"/>
        <v>0.31002198061906355</v>
      </c>
    </row>
    <row r="102" spans="1:11" x14ac:dyDescent="0.3">
      <c r="A102" s="3">
        <v>40634</v>
      </c>
      <c r="B102" s="105">
        <v>2789869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61">
        <v>1</v>
      </c>
      <c r="I102" s="192">
        <f t="shared" si="3"/>
        <v>2647969.292414315</v>
      </c>
      <c r="J102" s="36">
        <f t="shared" si="4"/>
        <v>-141899.70758568496</v>
      </c>
      <c r="K102" s="5">
        <f t="shared" si="5"/>
        <v>-5.0862498413253437E-2</v>
      </c>
    </row>
    <row r="103" spans="1:11" x14ac:dyDescent="0.3">
      <c r="A103" s="3">
        <v>40664</v>
      </c>
      <c r="B103" s="105">
        <v>2721007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61">
        <v>1</v>
      </c>
      <c r="I103" s="192">
        <f t="shared" si="3"/>
        <v>2073353.8135210967</v>
      </c>
      <c r="J103" s="36">
        <f t="shared" si="4"/>
        <v>-647653.18647890328</v>
      </c>
      <c r="K103" s="5">
        <f t="shared" si="5"/>
        <v>-0.23801966936465188</v>
      </c>
    </row>
    <row r="104" spans="1:11" x14ac:dyDescent="0.3">
      <c r="A104" s="3">
        <v>40695</v>
      </c>
      <c r="B104" s="105">
        <v>3001831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61">
        <v>1</v>
      </c>
      <c r="I104" s="192">
        <f t="shared" si="3"/>
        <v>1803501.4894816624</v>
      </c>
      <c r="J104" s="36">
        <f t="shared" si="4"/>
        <v>-1198329.5105183376</v>
      </c>
      <c r="K104" s="5">
        <f t="shared" si="5"/>
        <v>-0.3991995253957793</v>
      </c>
    </row>
    <row r="105" spans="1:11" x14ac:dyDescent="0.3">
      <c r="A105" s="3">
        <v>40725</v>
      </c>
      <c r="B105" s="105">
        <v>3204634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61">
        <v>1</v>
      </c>
      <c r="I105" s="192">
        <f t="shared" si="3"/>
        <v>4637644.0227220943</v>
      </c>
      <c r="J105" s="36">
        <f t="shared" si="4"/>
        <v>1433010.0227220943</v>
      </c>
      <c r="K105" s="5">
        <f t="shared" si="5"/>
        <v>0.44716807682939591</v>
      </c>
    </row>
    <row r="106" spans="1:11" x14ac:dyDescent="0.3">
      <c r="A106" s="3">
        <v>40756</v>
      </c>
      <c r="B106" s="105">
        <v>3925006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61">
        <v>1</v>
      </c>
      <c r="I106" s="192">
        <f t="shared" si="3"/>
        <v>4490176.3448623447</v>
      </c>
      <c r="J106" s="36">
        <f t="shared" si="4"/>
        <v>565170.34486234467</v>
      </c>
      <c r="K106" s="5">
        <f t="shared" si="5"/>
        <v>0.14399222443541351</v>
      </c>
    </row>
    <row r="107" spans="1:11" x14ac:dyDescent="0.3">
      <c r="A107" s="3">
        <v>40787</v>
      </c>
      <c r="B107" s="105">
        <v>3836000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61">
        <v>1</v>
      </c>
      <c r="I107" s="192">
        <f t="shared" si="3"/>
        <v>4961936.8302551359</v>
      </c>
      <c r="J107" s="36">
        <f t="shared" si="4"/>
        <v>1125936.8302551359</v>
      </c>
      <c r="K107" s="5">
        <f t="shared" si="5"/>
        <v>0.29351846461291342</v>
      </c>
    </row>
    <row r="108" spans="1:11" x14ac:dyDescent="0.3">
      <c r="A108" s="3">
        <v>40817</v>
      </c>
      <c r="B108" s="105">
        <v>3713124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1</v>
      </c>
      <c r="I108" s="192">
        <f t="shared" si="3"/>
        <v>4864693.7488197386</v>
      </c>
      <c r="J108" s="36">
        <f t="shared" si="4"/>
        <v>1151569.7488197386</v>
      </c>
      <c r="K108" s="5">
        <f t="shared" si="5"/>
        <v>0.31013500998612992</v>
      </c>
    </row>
    <row r="109" spans="1:11" x14ac:dyDescent="0.3">
      <c r="A109" s="3">
        <v>40848</v>
      </c>
      <c r="B109" s="105">
        <v>3269758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1</v>
      </c>
      <c r="I109" s="192">
        <f t="shared" si="3"/>
        <v>5310841.7666268963</v>
      </c>
      <c r="J109" s="36">
        <f t="shared" si="4"/>
        <v>2041083.7666268963</v>
      </c>
      <c r="K109" s="5">
        <f t="shared" si="5"/>
        <v>0.62423083501191723</v>
      </c>
    </row>
    <row r="110" spans="1:11" x14ac:dyDescent="0.3">
      <c r="A110" s="3">
        <v>40878</v>
      </c>
      <c r="B110" s="105">
        <v>3168820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1</v>
      </c>
      <c r="I110" s="192">
        <f t="shared" si="3"/>
        <v>5169768.5506411949</v>
      </c>
      <c r="J110" s="36">
        <f t="shared" si="4"/>
        <v>2000948.5506411949</v>
      </c>
      <c r="K110" s="5">
        <f t="shared" si="5"/>
        <v>0.6314491042852528</v>
      </c>
    </row>
    <row r="111" spans="1:11" x14ac:dyDescent="0.3">
      <c r="A111" s="3">
        <v>40909</v>
      </c>
      <c r="B111" s="105">
        <v>2959871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61">
        <v>1</v>
      </c>
      <c r="I111" s="192">
        <f t="shared" si="3"/>
        <v>4543428.1253501708</v>
      </c>
      <c r="J111" s="36">
        <f t="shared" si="4"/>
        <v>1583557.1253501708</v>
      </c>
      <c r="K111" s="5">
        <f t="shared" si="5"/>
        <v>0.53500883158427204</v>
      </c>
    </row>
    <row r="112" spans="1:11" x14ac:dyDescent="0.3">
      <c r="A112" s="3">
        <v>40940</v>
      </c>
      <c r="B112" s="105">
        <v>3287020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61">
        <v>1</v>
      </c>
      <c r="I112" s="192">
        <f t="shared" si="3"/>
        <v>4797056.6192096444</v>
      </c>
      <c r="J112" s="36">
        <f t="shared" si="4"/>
        <v>1510036.6192096444</v>
      </c>
      <c r="K112" s="5">
        <f t="shared" si="5"/>
        <v>0.45939380326546364</v>
      </c>
    </row>
    <row r="113" spans="1:11" x14ac:dyDescent="0.3">
      <c r="A113" s="3">
        <v>40969</v>
      </c>
      <c r="B113" s="105">
        <v>2969109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61">
        <v>1</v>
      </c>
      <c r="I113" s="192">
        <f t="shared" si="3"/>
        <v>4424466.8871488683</v>
      </c>
      <c r="J113" s="36">
        <f t="shared" si="4"/>
        <v>1455357.8871488683</v>
      </c>
      <c r="K113" s="5">
        <f t="shared" si="5"/>
        <v>0.49016654058469</v>
      </c>
    </row>
    <row r="114" spans="1:11" x14ac:dyDescent="0.3">
      <c r="A114" s="3">
        <v>41000</v>
      </c>
      <c r="B114" s="105">
        <v>3450052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</v>
      </c>
      <c r="I114" s="192">
        <f t="shared" si="3"/>
        <v>3717906.6385462824</v>
      </c>
      <c r="J114" s="36">
        <f t="shared" si="4"/>
        <v>267854.63854628243</v>
      </c>
      <c r="K114" s="5">
        <f t="shared" si="5"/>
        <v>7.7637855471825473E-2</v>
      </c>
    </row>
    <row r="115" spans="1:11" x14ac:dyDescent="0.3">
      <c r="A115" s="3">
        <v>41030</v>
      </c>
      <c r="B115" s="105">
        <v>3188267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</v>
      </c>
      <c r="I115" s="192">
        <f t="shared" si="3"/>
        <v>3123522.6182191595</v>
      </c>
      <c r="J115" s="36">
        <f t="shared" si="4"/>
        <v>-64744.381780840456</v>
      </c>
      <c r="K115" s="5">
        <f t="shared" si="5"/>
        <v>-2.0307076471587998E-2</v>
      </c>
    </row>
    <row r="116" spans="1:11" x14ac:dyDescent="0.3">
      <c r="A116" s="3">
        <v>41061</v>
      </c>
      <c r="B116" s="105">
        <v>3602012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</v>
      </c>
      <c r="I116" s="192">
        <f t="shared" si="3"/>
        <v>2973517.882149118</v>
      </c>
      <c r="J116" s="36">
        <f t="shared" si="4"/>
        <v>-628494.117850882</v>
      </c>
      <c r="K116" s="5">
        <f t="shared" si="5"/>
        <v>-0.17448418213234215</v>
      </c>
    </row>
    <row r="117" spans="1:11" x14ac:dyDescent="0.3">
      <c r="A117" s="3">
        <v>41091</v>
      </c>
      <c r="B117" s="105">
        <v>3485626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61">
        <v>1</v>
      </c>
      <c r="I117" s="192">
        <f t="shared" si="3"/>
        <v>2164832.9412012519</v>
      </c>
      <c r="J117" s="36">
        <f t="shared" si="4"/>
        <v>-1320793.0587987481</v>
      </c>
      <c r="K117" s="5">
        <f t="shared" si="5"/>
        <v>-0.37892563883754254</v>
      </c>
    </row>
    <row r="118" spans="1:11" x14ac:dyDescent="0.3">
      <c r="A118" s="3">
        <v>41122</v>
      </c>
      <c r="B118" s="105">
        <v>3748751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61">
        <v>1</v>
      </c>
      <c r="I118" s="192">
        <f t="shared" si="3"/>
        <v>2039996.1986190984</v>
      </c>
      <c r="J118" s="36">
        <f t="shared" si="4"/>
        <v>-1708754.8013809016</v>
      </c>
      <c r="K118" s="5">
        <f t="shared" si="5"/>
        <v>-0.45581976540477126</v>
      </c>
    </row>
    <row r="119" spans="1:11" x14ac:dyDescent="0.3">
      <c r="A119" s="3">
        <v>41153</v>
      </c>
      <c r="B119" s="105">
        <v>3917950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61">
        <v>1</v>
      </c>
      <c r="I119" s="192">
        <f t="shared" si="3"/>
        <v>2496993.9610853959</v>
      </c>
      <c r="J119" s="36">
        <f t="shared" si="4"/>
        <v>-1420956.0389146041</v>
      </c>
      <c r="K119" s="5">
        <f t="shared" si="5"/>
        <v>-0.36267845146431277</v>
      </c>
    </row>
    <row r="120" spans="1:11" x14ac:dyDescent="0.3">
      <c r="A120" s="3">
        <v>41183</v>
      </c>
      <c r="B120" s="105">
        <v>3658530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61">
        <v>1</v>
      </c>
      <c r="I120" s="192">
        <f t="shared" si="3"/>
        <v>2050185.4566755111</v>
      </c>
      <c r="J120" s="36">
        <f t="shared" si="4"/>
        <v>-1608344.5433244889</v>
      </c>
      <c r="K120" s="5">
        <f t="shared" si="5"/>
        <v>-0.43961496648229997</v>
      </c>
    </row>
    <row r="121" spans="1:11" x14ac:dyDescent="0.3">
      <c r="A121" s="3">
        <v>41214</v>
      </c>
      <c r="B121" s="105">
        <v>3306121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61">
        <v>1</v>
      </c>
      <c r="I121" s="192">
        <f t="shared" si="3"/>
        <v>2643369.1106406953</v>
      </c>
      <c r="J121" s="36">
        <f t="shared" si="4"/>
        <v>-662751.88935930468</v>
      </c>
      <c r="K121" s="5">
        <f t="shared" si="5"/>
        <v>-0.20046207908279964</v>
      </c>
    </row>
    <row r="122" spans="1:11" x14ac:dyDescent="0.3">
      <c r="A122" s="3">
        <v>41244</v>
      </c>
      <c r="B122" s="105">
        <v>3239428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61">
        <v>1</v>
      </c>
      <c r="I122" s="192">
        <f t="shared" si="3"/>
        <v>2189869.8382279435</v>
      </c>
      <c r="J122" s="36">
        <f t="shared" si="4"/>
        <v>-1049558.1617720565</v>
      </c>
      <c r="K122" s="5">
        <f t="shared" si="5"/>
        <v>-0.3239949033508559</v>
      </c>
    </row>
    <row r="123" spans="1:11" x14ac:dyDescent="0.3">
      <c r="A123" s="3">
        <v>41275</v>
      </c>
      <c r="B123" s="105">
        <v>3277833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61">
        <v>1</v>
      </c>
      <c r="I123" s="192">
        <f t="shared" si="3"/>
        <v>3141206.7426633304</v>
      </c>
      <c r="J123" s="36">
        <f t="shared" si="4"/>
        <v>-136626.2573366696</v>
      </c>
      <c r="K123" s="5">
        <f t="shared" si="5"/>
        <v>-4.1681884750281541E-2</v>
      </c>
    </row>
    <row r="124" spans="1:11" x14ac:dyDescent="0.3">
      <c r="A124" s="3">
        <v>41306</v>
      </c>
      <c r="B124" s="105">
        <v>3479368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61">
        <v>1</v>
      </c>
      <c r="I124" s="192">
        <f t="shared" si="3"/>
        <v>3735393.9048742019</v>
      </c>
      <c r="J124" s="36">
        <f t="shared" si="4"/>
        <v>256025.90487420186</v>
      </c>
      <c r="K124" s="5">
        <f t="shared" si="5"/>
        <v>7.3584025855903096E-2</v>
      </c>
    </row>
    <row r="125" spans="1:11" x14ac:dyDescent="0.3">
      <c r="A125" s="3">
        <v>41334</v>
      </c>
      <c r="B125" s="105">
        <v>3193324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61">
        <v>1</v>
      </c>
      <c r="I125" s="192">
        <f t="shared" si="3"/>
        <v>3300922.4417172316</v>
      </c>
      <c r="J125" s="36">
        <f t="shared" si="4"/>
        <v>107598.44171723165</v>
      </c>
      <c r="K125" s="5">
        <f t="shared" si="5"/>
        <v>3.369480883155973E-2</v>
      </c>
    </row>
    <row r="126" spans="1:11" x14ac:dyDescent="0.3">
      <c r="A126" s="3">
        <v>41365</v>
      </c>
      <c r="B126" s="105">
        <v>3548485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61">
        <v>1</v>
      </c>
      <c r="I126" s="192">
        <f t="shared" si="3"/>
        <v>5343998.7959887069</v>
      </c>
      <c r="J126" s="36">
        <f t="shared" si="4"/>
        <v>1795513.7959887069</v>
      </c>
      <c r="K126" s="5">
        <f t="shared" si="5"/>
        <v>0.50599447256750607</v>
      </c>
    </row>
    <row r="127" spans="1:11" x14ac:dyDescent="0.3">
      <c r="A127" s="3">
        <v>41395</v>
      </c>
      <c r="B127" s="105">
        <v>3540879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61">
        <v>1</v>
      </c>
      <c r="I127" s="192">
        <f t="shared" si="3"/>
        <v>4690946.6594777033</v>
      </c>
      <c r="J127" s="36">
        <f t="shared" si="4"/>
        <v>1150067.6594777033</v>
      </c>
      <c r="K127" s="5">
        <f t="shared" si="5"/>
        <v>0.32479722110744347</v>
      </c>
    </row>
    <row r="128" spans="1:11" x14ac:dyDescent="0.3">
      <c r="A128" s="3">
        <v>41426</v>
      </c>
      <c r="B128" s="105">
        <v>3666680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61">
        <v>1</v>
      </c>
      <c r="I128" s="192">
        <f t="shared" si="3"/>
        <v>4488564.5253227828</v>
      </c>
      <c r="J128" s="36">
        <f t="shared" si="4"/>
        <v>821884.52532278281</v>
      </c>
      <c r="K128" s="5">
        <f t="shared" si="5"/>
        <v>0.2241495099989044</v>
      </c>
    </row>
    <row r="129" spans="1:11" x14ac:dyDescent="0.3">
      <c r="A129" s="3">
        <v>41456</v>
      </c>
      <c r="B129" s="105">
        <v>3569231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61">
        <v>1</v>
      </c>
      <c r="I129" s="192">
        <f t="shared" si="3"/>
        <v>6291023.7122359155</v>
      </c>
      <c r="J129" s="36">
        <f t="shared" si="4"/>
        <v>2721792.7122359155</v>
      </c>
      <c r="K129" s="5">
        <f t="shared" si="5"/>
        <v>0.76257118472744279</v>
      </c>
    </row>
    <row r="130" spans="1:11" x14ac:dyDescent="0.3">
      <c r="A130" s="3">
        <v>41487</v>
      </c>
      <c r="B130" s="105">
        <v>3684619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61">
        <v>1</v>
      </c>
      <c r="I130" s="192">
        <f t="shared" si="3"/>
        <v>6171546.2623670464</v>
      </c>
      <c r="J130" s="36">
        <f t="shared" si="4"/>
        <v>2486927.2623670464</v>
      </c>
      <c r="K130" s="5">
        <f t="shared" si="5"/>
        <v>0.67494828159086362</v>
      </c>
    </row>
    <row r="131" spans="1:11" x14ac:dyDescent="0.3">
      <c r="A131" s="3">
        <v>41518</v>
      </c>
      <c r="B131" s="105">
        <v>3802385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61">
        <v>1</v>
      </c>
      <c r="I131" s="192">
        <f t="shared" si="3"/>
        <v>6732451.5409948863</v>
      </c>
      <c r="J131" s="36">
        <f t="shared" si="4"/>
        <v>2930066.5409948863</v>
      </c>
      <c r="K131" s="5">
        <f t="shared" si="5"/>
        <v>0.77058649794665357</v>
      </c>
    </row>
    <row r="132" spans="1:11" x14ac:dyDescent="0.3">
      <c r="A132" s="3">
        <v>41548</v>
      </c>
      <c r="B132" s="105">
        <v>3795973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61">
        <v>1</v>
      </c>
      <c r="I132" s="192">
        <f t="shared" ref="I132:I195" si="6">$N$18+C132*$N$19+D132*$N$20+E132*$N$21+F132*$N$22+G132*$N$23</f>
        <v>4550302.3581032921</v>
      </c>
      <c r="J132" s="36">
        <f t="shared" ref="J132:J133" si="7">I132-B132</f>
        <v>754329.35810329206</v>
      </c>
      <c r="K132" s="5">
        <f t="shared" ref="K132:K133" si="8">J132/B132</f>
        <v>0.19871831493619477</v>
      </c>
    </row>
    <row r="133" spans="1:11" x14ac:dyDescent="0.3">
      <c r="A133" s="3">
        <v>41579</v>
      </c>
      <c r="B133" s="105">
        <v>3374463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61">
        <v>1</v>
      </c>
      <c r="I133" s="192">
        <f t="shared" si="6"/>
        <v>5212235.8417647779</v>
      </c>
      <c r="J133" s="36">
        <f t="shared" si="7"/>
        <v>1837772.8417647779</v>
      </c>
      <c r="K133" s="5">
        <f t="shared" si="8"/>
        <v>0.54461194025976223</v>
      </c>
    </row>
    <row r="134" spans="1:11" x14ac:dyDescent="0.3">
      <c r="A134" s="3">
        <v>41609</v>
      </c>
      <c r="B134" s="105">
        <v>3392979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61">
        <v>1</v>
      </c>
      <c r="I134" s="192">
        <f t="shared" ca="1" si="6"/>
        <v>4740973.8750510579</v>
      </c>
      <c r="J134" s="36">
        <f t="shared" ref="J134" ca="1" si="9">I134-B134</f>
        <v>1347994.8750510579</v>
      </c>
      <c r="K134" s="5">
        <f t="shared" ref="K134" ca="1" si="10">J134/B134</f>
        <v>0.39728948368117156</v>
      </c>
    </row>
    <row r="135" spans="1:11" x14ac:dyDescent="0.3">
      <c r="A135" s="3">
        <v>41640</v>
      </c>
      <c r="B135" s="6">
        <v>3344486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1">
        <v>1</v>
      </c>
      <c r="I135" s="192">
        <f t="shared" si="6"/>
        <v>5173335.9730812805</v>
      </c>
      <c r="J135" s="36"/>
      <c r="K135" s="5"/>
    </row>
    <row r="136" spans="1:11" x14ac:dyDescent="0.3">
      <c r="A136" s="3">
        <v>41671</v>
      </c>
      <c r="B136" s="6">
        <v>3641313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1">
        <v>1</v>
      </c>
      <c r="I136" s="192">
        <f t="shared" si="6"/>
        <v>5616441.5520989094</v>
      </c>
      <c r="J136" s="36"/>
      <c r="K136" s="5"/>
    </row>
    <row r="137" spans="1:11" x14ac:dyDescent="0.3">
      <c r="A137" s="3">
        <v>41699</v>
      </c>
      <c r="B137" s="6">
        <v>3195183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1">
        <v>1</v>
      </c>
      <c r="I137" s="192">
        <f t="shared" si="6"/>
        <v>5287756.8016677126</v>
      </c>
      <c r="J137" s="36"/>
      <c r="K137" s="5"/>
    </row>
    <row r="138" spans="1:11" x14ac:dyDescent="0.3">
      <c r="A138" s="3">
        <v>41730</v>
      </c>
      <c r="B138" s="6">
        <v>3465780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1">
        <v>1</v>
      </c>
      <c r="I138" s="192">
        <f t="shared" si="6"/>
        <v>6450843.0736126937</v>
      </c>
      <c r="J138" s="36"/>
      <c r="K138" s="5"/>
    </row>
    <row r="139" spans="1:11" x14ac:dyDescent="0.3">
      <c r="A139" s="3">
        <v>41760</v>
      </c>
      <c r="B139" s="6">
        <v>3295872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1">
        <v>1</v>
      </c>
      <c r="I139" s="192">
        <f t="shared" si="6"/>
        <v>5837479.4180286359</v>
      </c>
      <c r="J139" s="36"/>
      <c r="K139" s="5"/>
    </row>
    <row r="140" spans="1:11" x14ac:dyDescent="0.3">
      <c r="A140" s="3">
        <v>41791</v>
      </c>
      <c r="B140" s="6">
        <v>3402507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1">
        <v>1</v>
      </c>
      <c r="I140" s="192">
        <f t="shared" si="6"/>
        <v>5574448.9330522427</v>
      </c>
      <c r="J140" s="36"/>
      <c r="K140" s="5"/>
    </row>
    <row r="141" spans="1:11" x14ac:dyDescent="0.3">
      <c r="A141" s="3">
        <v>41821</v>
      </c>
      <c r="B141" s="6">
        <v>3555897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1">
        <v>1</v>
      </c>
      <c r="I141" s="192">
        <f t="shared" si="6"/>
        <v>3965648.763882312</v>
      </c>
      <c r="J141" s="36"/>
      <c r="K141" s="5"/>
    </row>
    <row r="142" spans="1:11" x14ac:dyDescent="0.3">
      <c r="A142" s="3">
        <v>41852</v>
      </c>
      <c r="B142" s="6">
        <v>3730175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1">
        <v>1</v>
      </c>
      <c r="I142" s="192">
        <f t="shared" si="6"/>
        <v>3980414.0818235604</v>
      </c>
      <c r="J142" s="36"/>
      <c r="K142" s="5"/>
    </row>
    <row r="143" spans="1:11" x14ac:dyDescent="0.3">
      <c r="A143" s="3">
        <v>41883</v>
      </c>
      <c r="B143" s="6">
        <v>3915106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1">
        <v>1</v>
      </c>
      <c r="I143" s="192">
        <f t="shared" si="6"/>
        <v>4517110.2249677144</v>
      </c>
      <c r="J143" s="36"/>
      <c r="K143" s="5"/>
    </row>
    <row r="144" spans="1:11" x14ac:dyDescent="0.3">
      <c r="A144" s="3">
        <v>41913</v>
      </c>
      <c r="B144" s="6">
        <v>3925976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1">
        <v>1</v>
      </c>
      <c r="I144" s="192">
        <f t="shared" si="6"/>
        <v>5632038.9952446967</v>
      </c>
      <c r="J144" s="36"/>
      <c r="K144" s="5"/>
    </row>
    <row r="145" spans="1:11" x14ac:dyDescent="0.3">
      <c r="A145" s="3">
        <v>41944</v>
      </c>
      <c r="B145" s="6">
        <v>3823200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1">
        <v>1</v>
      </c>
      <c r="I145" s="192">
        <f t="shared" si="6"/>
        <v>6208359.3249127213</v>
      </c>
      <c r="J145" s="36"/>
      <c r="K145" s="5"/>
    </row>
    <row r="146" spans="1:11" x14ac:dyDescent="0.3">
      <c r="A146" s="3">
        <v>41974</v>
      </c>
      <c r="B146" s="6">
        <v>3404940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1">
        <v>1</v>
      </c>
      <c r="I146" s="192">
        <f t="shared" si="6"/>
        <v>5994261.6990230316</v>
      </c>
      <c r="J146" s="36"/>
      <c r="K146" s="5"/>
    </row>
    <row r="147" spans="1:11" x14ac:dyDescent="0.3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1"/>
      <c r="I147" s="192">
        <f t="shared" ca="1" si="6"/>
        <v>5277682.127157989</v>
      </c>
      <c r="J147" s="36"/>
      <c r="K147" s="5"/>
    </row>
    <row r="148" spans="1:11" x14ac:dyDescent="0.3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1"/>
      <c r="I148" s="192">
        <f t="shared" ca="1" si="6"/>
        <v>5742609.1038988307</v>
      </c>
      <c r="J148" s="36"/>
      <c r="K148" s="5"/>
    </row>
    <row r="149" spans="1:11" x14ac:dyDescent="0.3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1"/>
      <c r="I149" s="192">
        <f t="shared" ca="1" si="6"/>
        <v>5417423.3718719762</v>
      </c>
      <c r="J149" s="36"/>
      <c r="K149" s="5"/>
    </row>
    <row r="150" spans="1:11" x14ac:dyDescent="0.3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2">
        <f t="shared" ca="1" si="6"/>
        <v>5252797.8002293333</v>
      </c>
      <c r="J150" s="36"/>
      <c r="K150" s="5"/>
    </row>
    <row r="151" spans="1:11" x14ac:dyDescent="0.3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2">
        <f t="shared" ca="1" si="6"/>
        <v>4697999.9975568857</v>
      </c>
      <c r="J151" s="36"/>
      <c r="K151" s="5"/>
    </row>
    <row r="152" spans="1:11" x14ac:dyDescent="0.3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2">
        <f t="shared" ca="1" si="6"/>
        <v>4512636.6995765129</v>
      </c>
      <c r="J152" s="36"/>
      <c r="K152" s="5"/>
    </row>
    <row r="153" spans="1:11" x14ac:dyDescent="0.3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1"/>
      <c r="I153" s="192">
        <f t="shared" ca="1" si="6"/>
        <v>4334837.0235656677</v>
      </c>
      <c r="J153" s="36"/>
      <c r="K153" s="5"/>
    </row>
    <row r="154" spans="1:11" x14ac:dyDescent="0.3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1"/>
      <c r="I154" s="192">
        <f t="shared" ca="1" si="6"/>
        <v>4352391.8939083805</v>
      </c>
      <c r="J154" s="36"/>
      <c r="K154" s="5"/>
    </row>
    <row r="155" spans="1:11" x14ac:dyDescent="0.3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1"/>
      <c r="I155" s="192">
        <f t="shared" ca="1" si="6"/>
        <v>4833633.0309823789</v>
      </c>
      <c r="J155" s="36"/>
      <c r="K155" s="5"/>
    </row>
    <row r="156" spans="1:11" x14ac:dyDescent="0.3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1"/>
      <c r="I156" s="192">
        <f t="shared" ca="1" si="6"/>
        <v>4006260.4464574084</v>
      </c>
      <c r="J156" s="36"/>
      <c r="K156" s="5"/>
    </row>
    <row r="157" spans="1:11" x14ac:dyDescent="0.3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1"/>
      <c r="I157" s="192">
        <f t="shared" ca="1" si="6"/>
        <v>4530239.7217866946</v>
      </c>
      <c r="J157" s="36"/>
      <c r="K157" s="5"/>
    </row>
    <row r="158" spans="1:11" x14ac:dyDescent="0.3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1"/>
      <c r="I158" s="192">
        <f t="shared" ca="1" si="6"/>
        <v>4276947.6649336265</v>
      </c>
      <c r="J158" s="36"/>
      <c r="K158" s="5"/>
    </row>
    <row r="159" spans="1:11" x14ac:dyDescent="0.3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1"/>
      <c r="I159" s="192">
        <f t="shared" ca="1" si="6"/>
        <v>5718213.6662468566</v>
      </c>
      <c r="J159" s="36"/>
      <c r="K159" s="5"/>
    </row>
    <row r="160" spans="1:11" x14ac:dyDescent="0.3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1"/>
      <c r="I160" s="192">
        <f t="shared" ca="1" si="6"/>
        <v>5982844.4841857022</v>
      </c>
      <c r="J160" s="36"/>
      <c r="K160" s="5"/>
    </row>
    <row r="161" spans="1:11" x14ac:dyDescent="0.3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1"/>
      <c r="I161" s="192">
        <f t="shared" ca="1" si="6"/>
        <v>5858340.0897835139</v>
      </c>
      <c r="J161" s="36"/>
      <c r="K161" s="5"/>
    </row>
    <row r="162" spans="1:11" x14ac:dyDescent="0.3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1"/>
      <c r="I162" s="192">
        <f t="shared" ca="1" si="6"/>
        <v>5650540.9949450027</v>
      </c>
      <c r="J162" s="36"/>
      <c r="K162" s="5"/>
    </row>
    <row r="163" spans="1:11" x14ac:dyDescent="0.3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1"/>
      <c r="I163" s="192">
        <f t="shared" ca="1" si="6"/>
        <v>5096659.3166850656</v>
      </c>
      <c r="J163" s="36"/>
      <c r="K163" s="5"/>
    </row>
    <row r="164" spans="1:11" x14ac:dyDescent="0.3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1"/>
      <c r="I164" s="192">
        <f t="shared" ca="1" si="6"/>
        <v>4913229.9246814316</v>
      </c>
      <c r="J164" s="36"/>
      <c r="K164" s="5"/>
    </row>
    <row r="165" spans="1:11" x14ac:dyDescent="0.3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1"/>
      <c r="I165" s="192">
        <f t="shared" ca="1" si="6"/>
        <v>4863228.7061675964</v>
      </c>
      <c r="J165" s="36"/>
      <c r="K165" s="5"/>
    </row>
    <row r="166" spans="1:11" x14ac:dyDescent="0.3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1"/>
      <c r="I166" s="192">
        <f t="shared" ca="1" si="6"/>
        <v>4880891.94527015</v>
      </c>
      <c r="J166" s="36"/>
      <c r="K166" s="5"/>
    </row>
    <row r="167" spans="1:11" x14ac:dyDescent="0.3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1"/>
      <c r="I167" s="192">
        <f t="shared" ca="1" si="6"/>
        <v>5360601.066498369</v>
      </c>
      <c r="J167" s="36"/>
      <c r="K167" s="5"/>
    </row>
    <row r="168" spans="1:11" x14ac:dyDescent="0.3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1"/>
      <c r="I168" s="192">
        <f t="shared" ca="1" si="6"/>
        <v>5457613.4209529404</v>
      </c>
      <c r="J168" s="36"/>
      <c r="K168" s="5"/>
    </row>
    <row r="169" spans="1:11" x14ac:dyDescent="0.3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1"/>
      <c r="I169" s="192">
        <f t="shared" ca="1" si="6"/>
        <v>5980786.7784320116</v>
      </c>
      <c r="J169" s="36"/>
      <c r="K169" s="5"/>
    </row>
    <row r="170" spans="1:11" x14ac:dyDescent="0.3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1"/>
      <c r="I170" s="192">
        <f t="shared" ca="1" si="6"/>
        <v>5726898.4886932885</v>
      </c>
      <c r="J170" s="36"/>
      <c r="K170" s="5"/>
    </row>
    <row r="171" spans="1:11" x14ac:dyDescent="0.3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1"/>
      <c r="I171" s="192">
        <f t="shared" ca="1" si="6"/>
        <v>6339312.8741490105</v>
      </c>
      <c r="J171" s="36"/>
      <c r="K171" s="5"/>
    </row>
    <row r="172" spans="1:11" x14ac:dyDescent="0.3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1"/>
      <c r="I172" s="192">
        <f t="shared" ca="1" si="6"/>
        <v>6804903.7531133872</v>
      </c>
      <c r="J172" s="36"/>
      <c r="K172" s="5"/>
    </row>
    <row r="173" spans="1:11" x14ac:dyDescent="0.3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1"/>
      <c r="I173" s="192">
        <f t="shared" ca="1" si="6"/>
        <v>6479824.4765083343</v>
      </c>
      <c r="J173" s="36"/>
      <c r="K173" s="5"/>
    </row>
    <row r="174" spans="1:11" x14ac:dyDescent="0.3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1"/>
      <c r="I174" s="192">
        <f t="shared" ca="1" si="6"/>
        <v>6298077.146448262</v>
      </c>
      <c r="J174" s="36"/>
      <c r="K174" s="5"/>
    </row>
    <row r="175" spans="1:11" x14ac:dyDescent="0.3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1"/>
      <c r="I175" s="192">
        <f t="shared" ca="1" si="6"/>
        <v>5745111.5926008392</v>
      </c>
      <c r="J175" s="36"/>
      <c r="K175" s="5"/>
    </row>
    <row r="176" spans="1:11" x14ac:dyDescent="0.3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1"/>
      <c r="I176" s="192">
        <f t="shared" ca="1" si="6"/>
        <v>5563616.106573944</v>
      </c>
      <c r="J176" s="36"/>
      <c r="K176" s="5"/>
    </row>
    <row r="177" spans="1:11" x14ac:dyDescent="0.3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1"/>
      <c r="I177" s="192">
        <f t="shared" ca="1" si="6"/>
        <v>5504622.9349231599</v>
      </c>
      <c r="J177" s="36"/>
      <c r="K177" s="5"/>
    </row>
    <row r="178" spans="1:11" x14ac:dyDescent="0.3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1"/>
      <c r="I178" s="192">
        <f t="shared" ca="1" si="6"/>
        <v>5522394.5427855505</v>
      </c>
      <c r="J178" s="36"/>
      <c r="K178" s="5"/>
    </row>
    <row r="179" spans="1:11" x14ac:dyDescent="0.3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1"/>
      <c r="I179" s="192">
        <f t="shared" ca="1" si="6"/>
        <v>6000571.6481679939</v>
      </c>
      <c r="J179" s="36"/>
      <c r="K179" s="5"/>
    </row>
    <row r="180" spans="1:11" x14ac:dyDescent="0.3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1"/>
      <c r="I180" s="192">
        <f t="shared" ca="1" si="6"/>
        <v>6052228.600398317</v>
      </c>
      <c r="J180" s="36"/>
      <c r="K180" s="5"/>
    </row>
    <row r="181" spans="1:11" x14ac:dyDescent="0.3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1"/>
      <c r="I181" s="192">
        <f t="shared" ca="1" si="6"/>
        <v>6574596.0400271732</v>
      </c>
      <c r="J181" s="36"/>
      <c r="K181" s="5"/>
    </row>
    <row r="182" spans="1:11" x14ac:dyDescent="0.3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1"/>
      <c r="I182" s="192">
        <f t="shared" ca="1" si="6"/>
        <v>6320111.5174027989</v>
      </c>
      <c r="J182" s="36"/>
      <c r="K182" s="5"/>
    </row>
    <row r="183" spans="1:11" x14ac:dyDescent="0.3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1"/>
      <c r="I183" s="192">
        <f t="shared" ca="1" si="6"/>
        <v>6644684.3821386145</v>
      </c>
      <c r="J183" s="36"/>
      <c r="K183" s="5"/>
    </row>
    <row r="184" spans="1:11" x14ac:dyDescent="0.3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1"/>
      <c r="I184" s="192">
        <f t="shared" ca="1" si="6"/>
        <v>7110607.2122147623</v>
      </c>
      <c r="J184" s="36"/>
      <c r="K184" s="5"/>
    </row>
    <row r="185" spans="1:11" x14ac:dyDescent="0.3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1"/>
      <c r="I185" s="192">
        <f t="shared" ca="1" si="6"/>
        <v>6785581.1633206047</v>
      </c>
      <c r="J185" s="36"/>
      <c r="K185" s="5"/>
    </row>
    <row r="186" spans="1:11" x14ac:dyDescent="0.3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1"/>
      <c r="I186" s="192">
        <f t="shared" ca="1" si="6"/>
        <v>6575819.7043921165</v>
      </c>
      <c r="J186" s="36"/>
      <c r="K186" s="5"/>
    </row>
    <row r="187" spans="1:11" x14ac:dyDescent="0.3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1"/>
      <c r="I187" s="192">
        <f t="shared" ca="1" si="6"/>
        <v>6023770.2749572117</v>
      </c>
      <c r="J187" s="36"/>
      <c r="K187" s="5"/>
    </row>
    <row r="188" spans="1:11" x14ac:dyDescent="0.3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1"/>
      <c r="I188" s="192">
        <f t="shared" ca="1" si="6"/>
        <v>5844208.6949070515</v>
      </c>
      <c r="J188" s="36"/>
      <c r="K188" s="5"/>
    </row>
    <row r="189" spans="1:11" x14ac:dyDescent="0.3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1"/>
      <c r="I189" s="192">
        <f t="shared" ca="1" si="6"/>
        <v>5805385.4163736356</v>
      </c>
      <c r="J189" s="36"/>
      <c r="K189" s="5"/>
    </row>
    <row r="190" spans="1:11" x14ac:dyDescent="0.3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1"/>
      <c r="I190" s="192">
        <f t="shared" ca="1" si="6"/>
        <v>5823265.3929958632</v>
      </c>
      <c r="J190" s="36"/>
      <c r="K190" s="5"/>
    </row>
    <row r="191" spans="1:11" x14ac:dyDescent="0.3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1"/>
      <c r="I191" s="192">
        <f t="shared" ca="1" si="6"/>
        <v>6299910.482532531</v>
      </c>
      <c r="J191" s="36"/>
      <c r="K191" s="5"/>
    </row>
    <row r="192" spans="1:11" x14ac:dyDescent="0.3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1"/>
      <c r="I192" s="192">
        <f t="shared" ca="1" si="6"/>
        <v>6418833.6342432741</v>
      </c>
      <c r="J192" s="36"/>
      <c r="K192" s="5"/>
    </row>
    <row r="193" spans="1:11" x14ac:dyDescent="0.3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1"/>
      <c r="I193" s="192">
        <f t="shared" ca="1" si="6"/>
        <v>6940395.1560219079</v>
      </c>
      <c r="J193" s="36"/>
      <c r="K193" s="5"/>
    </row>
    <row r="194" spans="1:11" x14ac:dyDescent="0.3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1"/>
      <c r="I194" s="192">
        <f t="shared" ca="1" si="6"/>
        <v>6685314.400511886</v>
      </c>
      <c r="J194" s="36"/>
      <c r="K194" s="5"/>
    </row>
    <row r="195" spans="1:11" x14ac:dyDescent="0.3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1"/>
      <c r="I195" s="192">
        <f t="shared" ca="1" si="6"/>
        <v>7249004.7898870232</v>
      </c>
      <c r="J195" s="36"/>
      <c r="K195" s="5"/>
    </row>
    <row r="196" spans="1:11" x14ac:dyDescent="0.3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1"/>
      <c r="I196" s="192">
        <f t="shared" ref="I196:I206" ca="1" si="11">$N$18+C196*$N$19+D196*$N$20+E196*$N$21+F196*$N$22+G196*$N$23</f>
        <v>7715259.5710749384</v>
      </c>
      <c r="J196" s="36"/>
      <c r="K196" s="5"/>
    </row>
    <row r="197" spans="1:11" x14ac:dyDescent="0.3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1"/>
      <c r="I197" s="192">
        <f t="shared" ca="1" si="11"/>
        <v>7390286.7498916797</v>
      </c>
      <c r="J197" s="36"/>
      <c r="K197" s="5"/>
    </row>
    <row r="198" spans="1:11" x14ac:dyDescent="0.3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2">
        <f t="shared" ca="1" si="11"/>
        <v>7299287.6473787706</v>
      </c>
      <c r="J198" s="36"/>
      <c r="K198" s="5"/>
    </row>
    <row r="199" spans="1:11" x14ac:dyDescent="0.3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2">
        <f t="shared" ca="1" si="11"/>
        <v>6748154.3423563801</v>
      </c>
      <c r="J199" s="36"/>
      <c r="K199" s="5"/>
    </row>
    <row r="200" spans="1:11" x14ac:dyDescent="0.3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2">
        <f t="shared" ca="1" si="11"/>
        <v>6570526.6682829587</v>
      </c>
      <c r="J200" s="36"/>
      <c r="K200" s="5"/>
    </row>
    <row r="201" spans="1:11" x14ac:dyDescent="0.3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1"/>
      <c r="I201" s="192">
        <f t="shared" ca="1" si="11"/>
        <v>6649915.5291170487</v>
      </c>
      <c r="J201" s="36"/>
      <c r="K201" s="5"/>
    </row>
    <row r="202" spans="1:11" x14ac:dyDescent="0.3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1"/>
      <c r="I202" s="192">
        <f t="shared" ca="1" si="11"/>
        <v>6667903.8744991133</v>
      </c>
      <c r="J202" s="36"/>
      <c r="K202" s="5"/>
    </row>
    <row r="203" spans="1:11" x14ac:dyDescent="0.3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1"/>
      <c r="I203" s="192">
        <f t="shared" ca="1" si="11"/>
        <v>7143016.9481900018</v>
      </c>
      <c r="J203" s="36"/>
      <c r="K203" s="5"/>
    </row>
    <row r="204" spans="1:11" x14ac:dyDescent="0.3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2">
        <f t="shared" ca="1" si="11"/>
        <v>7378153.7418926377</v>
      </c>
      <c r="J204" s="36"/>
      <c r="K204" s="5"/>
    </row>
    <row r="205" spans="1:11" x14ac:dyDescent="0.3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2">
        <f t="shared" ca="1" si="11"/>
        <v>7898909.3458210528</v>
      </c>
      <c r="J205" s="36"/>
      <c r="K205" s="5"/>
    </row>
    <row r="206" spans="1:11" x14ac:dyDescent="0.3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2">
        <f t="shared" ca="1" si="11"/>
        <v>7643232.3574253796</v>
      </c>
      <c r="J206" s="36"/>
      <c r="K206" s="5"/>
    </row>
    <row r="207" spans="1:11" x14ac:dyDescent="0.3">
      <c r="A207" s="3"/>
      <c r="J207" s="11"/>
      <c r="K207" s="11"/>
    </row>
    <row r="208" spans="1:11" x14ac:dyDescent="0.3">
      <c r="A208" s="3"/>
      <c r="C208" s="18"/>
      <c r="D208" s="63" t="s">
        <v>60</v>
      </c>
      <c r="I208" s="47">
        <f ca="1">SUM(I3:I206)</f>
        <v>1105038802.9779925</v>
      </c>
    </row>
    <row r="209" spans="1:11" x14ac:dyDescent="0.3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3">
      <c r="A210" s="16">
        <v>2003</v>
      </c>
      <c r="B210" s="6">
        <f>SUM(B3:B14)</f>
        <v>169257212.5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102920808.27186488</v>
      </c>
      <c r="J210" s="36">
        <f>I210-B210</f>
        <v>-66336404.228135124</v>
      </c>
      <c r="K210" s="5">
        <f>J210/B210</f>
        <v>-0.39192660240777111</v>
      </c>
    </row>
    <row r="211" spans="1:11" x14ac:dyDescent="0.3">
      <c r="A211">
        <v>2004</v>
      </c>
      <c r="B211" s="6">
        <f>SUM(B15:B26)</f>
        <v>112144196</v>
      </c>
      <c r="C211" s="107">
        <f>+B211-B210</f>
        <v>-57113016.5</v>
      </c>
      <c r="D211" s="109">
        <f>+C211/B210</f>
        <v>-0.33743328072356149</v>
      </c>
      <c r="E211" s="109">
        <f>RATE(1,0,-B$210,B211)</f>
        <v>-0.33743328072356149</v>
      </c>
      <c r="F211" s="179"/>
      <c r="G211" s="179"/>
      <c r="H211"/>
      <c r="I211" s="6">
        <f>SUM(I15:I26)</f>
        <v>98542997.592949331</v>
      </c>
      <c r="J211" s="36">
        <f t="shared" ref="J211:J226" si="12">I211-B211</f>
        <v>-13601198.407050669</v>
      </c>
      <c r="K211" s="5">
        <f t="shared" ref="K211:K226" si="13">J211/B211</f>
        <v>-0.12128312380116996</v>
      </c>
    </row>
    <row r="212" spans="1:11" x14ac:dyDescent="0.3">
      <c r="A212" s="16">
        <v>2005</v>
      </c>
      <c r="B212" s="6">
        <f>SUM(B27:B38)</f>
        <v>62904833</v>
      </c>
      <c r="C212" s="107">
        <f t="shared" ref="C212:C226" si="14">+B212-B211</f>
        <v>-49239363</v>
      </c>
      <c r="D212" s="109">
        <f t="shared" ref="D212:D226" si="15">+C212/B211</f>
        <v>-0.43907188027813765</v>
      </c>
      <c r="E212" s="109">
        <f>RATE(2,0,-B$210,B212)</f>
        <v>-0.39036707435210188</v>
      </c>
      <c r="F212" s="179"/>
      <c r="G212" s="179"/>
      <c r="H212"/>
      <c r="I212" s="6">
        <f>SUM(I27:I38)</f>
        <v>78473875.118425697</v>
      </c>
      <c r="J212" s="36">
        <f t="shared" si="12"/>
        <v>15569042.118425697</v>
      </c>
      <c r="K212" s="5">
        <f t="shared" si="13"/>
        <v>0.24750152533471786</v>
      </c>
    </row>
    <row r="213" spans="1:11" x14ac:dyDescent="0.3">
      <c r="A213">
        <v>2006</v>
      </c>
      <c r="B213" s="6">
        <f>SUM(B39:B50)</f>
        <v>59654446</v>
      </c>
      <c r="C213" s="107">
        <f t="shared" si="14"/>
        <v>-3250387</v>
      </c>
      <c r="D213" s="109">
        <f t="shared" si="15"/>
        <v>-5.1671498754316703E-2</v>
      </c>
      <c r="E213" s="109">
        <f>RATE(3,0,-B$210,B213)</f>
        <v>-0.29363059957985366</v>
      </c>
      <c r="F213" s="179"/>
      <c r="G213" s="179"/>
      <c r="H213"/>
      <c r="I213" s="6">
        <f>SUM(I39:I50)</f>
        <v>75523337.827693969</v>
      </c>
      <c r="J213" s="36">
        <f t="shared" si="12"/>
        <v>15868891.827693969</v>
      </c>
      <c r="K213" s="5">
        <f t="shared" si="13"/>
        <v>0.26601356465021853</v>
      </c>
    </row>
    <row r="214" spans="1:11" x14ac:dyDescent="0.3">
      <c r="A214" s="16">
        <v>2007</v>
      </c>
      <c r="B214" s="6">
        <f>SUM(B51:B62)</f>
        <v>61811846</v>
      </c>
      <c r="C214" s="107">
        <f t="shared" si="14"/>
        <v>2157400</v>
      </c>
      <c r="D214" s="109">
        <f t="shared" si="15"/>
        <v>3.6164949046714807E-2</v>
      </c>
      <c r="E214" s="109">
        <f>RATE(4,0,-B$210,B214)</f>
        <v>-0.2226239929459839</v>
      </c>
      <c r="F214" s="179"/>
      <c r="G214" s="179"/>
      <c r="H214"/>
      <c r="I214" s="6">
        <f>SUM(I51:I62)</f>
        <v>82327179.145682201</v>
      </c>
      <c r="J214" s="36">
        <f t="shared" si="12"/>
        <v>20515333.145682201</v>
      </c>
      <c r="K214" s="5">
        <f t="shared" si="13"/>
        <v>0.33189970002970304</v>
      </c>
    </row>
    <row r="215" spans="1:11" x14ac:dyDescent="0.3">
      <c r="A215">
        <v>2008</v>
      </c>
      <c r="B215" s="6">
        <f>SUM(B63:B74)</f>
        <v>46461021</v>
      </c>
      <c r="C215" s="107">
        <f t="shared" si="14"/>
        <v>-15350825</v>
      </c>
      <c r="D215" s="109">
        <f t="shared" si="15"/>
        <v>-0.24834762255765666</v>
      </c>
      <c r="E215" s="109">
        <f>RATE(5,0,-B$210,B215)</f>
        <v>-0.22783819926497662</v>
      </c>
      <c r="F215" s="179"/>
      <c r="G215" s="179"/>
      <c r="H215"/>
      <c r="I215" s="6">
        <f>SUM(I63:I74)</f>
        <v>61299149.777295746</v>
      </c>
      <c r="J215" s="36">
        <f t="shared" si="12"/>
        <v>14838128.777295746</v>
      </c>
      <c r="K215" s="5">
        <f t="shared" si="13"/>
        <v>0.31936725577545416</v>
      </c>
    </row>
    <row r="216" spans="1:11" x14ac:dyDescent="0.3">
      <c r="A216" s="16">
        <v>2009</v>
      </c>
      <c r="B216" s="6">
        <f>SUM(B75:B86)</f>
        <v>36580289</v>
      </c>
      <c r="C216" s="107">
        <f t="shared" si="14"/>
        <v>-9880732</v>
      </c>
      <c r="D216" s="109">
        <f t="shared" si="15"/>
        <v>-0.21266713015196115</v>
      </c>
      <c r="E216" s="109">
        <f>RATE(6,0,-B$210,B216)</f>
        <v>-0.22533014219921019</v>
      </c>
      <c r="F216" s="179"/>
      <c r="G216" s="179"/>
      <c r="H216"/>
      <c r="I216" s="6">
        <f>SUM(I75:I86)</f>
        <v>27214364.094009552</v>
      </c>
      <c r="J216" s="36">
        <f t="shared" si="12"/>
        <v>-9365924.9059904478</v>
      </c>
      <c r="K216" s="5">
        <f t="shared" si="13"/>
        <v>-0.25603747706833174</v>
      </c>
    </row>
    <row r="217" spans="1:11" x14ac:dyDescent="0.3">
      <c r="A217">
        <v>2010</v>
      </c>
      <c r="B217" s="6">
        <f>SUM(B87:B98)</f>
        <v>33402763</v>
      </c>
      <c r="C217" s="107">
        <f t="shared" si="14"/>
        <v>-3177526</v>
      </c>
      <c r="D217" s="109">
        <f t="shared" si="15"/>
        <v>-8.6864431278823415E-2</v>
      </c>
      <c r="E217" s="109">
        <f>RATE(7,0,-B$210,B217)</f>
        <v>-0.20691576791731983</v>
      </c>
      <c r="F217" s="179"/>
      <c r="G217" s="179"/>
      <c r="H217"/>
      <c r="I217" s="6">
        <f>SUM(I87:I98)</f>
        <v>13193549.160329536</v>
      </c>
      <c r="J217" s="36">
        <f t="shared" si="12"/>
        <v>-20209213.839670464</v>
      </c>
      <c r="K217" s="5">
        <f t="shared" si="13"/>
        <v>-0.6050162329287091</v>
      </c>
    </row>
    <row r="218" spans="1:11" x14ac:dyDescent="0.3">
      <c r="A218">
        <v>2011</v>
      </c>
      <c r="B218" s="6">
        <f>SUM(B99:B110)</f>
        <v>37740699</v>
      </c>
      <c r="C218" s="107">
        <f t="shared" si="14"/>
        <v>4337936</v>
      </c>
      <c r="D218" s="109">
        <f t="shared" si="15"/>
        <v>0.12986758011605207</v>
      </c>
      <c r="E218" s="109">
        <f>RATE(8,0,-B$210,B218)</f>
        <v>-0.17104139439277968</v>
      </c>
      <c r="F218" s="179"/>
      <c r="G218" s="179"/>
      <c r="H218"/>
      <c r="I218" s="6">
        <f>SUM(I99:I110)</f>
        <v>46498583.732718945</v>
      </c>
      <c r="J218" s="36">
        <f t="shared" si="12"/>
        <v>8757884.7327189445</v>
      </c>
      <c r="K218" s="5">
        <f t="shared" si="13"/>
        <v>0.23205412100923051</v>
      </c>
    </row>
    <row r="219" spans="1:11" x14ac:dyDescent="0.3">
      <c r="A219">
        <v>2012</v>
      </c>
      <c r="B219" s="6">
        <f>SUM(B111:B122)</f>
        <v>40812737</v>
      </c>
      <c r="C219" s="107">
        <f t="shared" si="14"/>
        <v>3072038</v>
      </c>
      <c r="D219" s="109">
        <f t="shared" si="15"/>
        <v>8.1398545374053624E-2</v>
      </c>
      <c r="E219" s="109">
        <f>RATE(9,0,-B$210,B219)</f>
        <v>-0.14619056729559121</v>
      </c>
      <c r="F219" s="179"/>
      <c r="G219" s="179"/>
      <c r="H219"/>
      <c r="I219" s="6">
        <f>SUM(I111:I122)</f>
        <v>37165146.277073137</v>
      </c>
      <c r="J219" s="36">
        <f t="shared" si="12"/>
        <v>-3647590.7229268625</v>
      </c>
      <c r="K219" s="5">
        <f t="shared" si="13"/>
        <v>-8.9373832559351815E-2</v>
      </c>
    </row>
    <row r="220" spans="1:11" x14ac:dyDescent="0.3">
      <c r="A220">
        <v>2013</v>
      </c>
      <c r="B220" s="6">
        <f>SUM(B123:B134)</f>
        <v>42326219</v>
      </c>
      <c r="C220" s="107">
        <f t="shared" si="14"/>
        <v>1513482</v>
      </c>
      <c r="D220" s="109">
        <f t="shared" si="15"/>
        <v>3.7083570258961071E-2</v>
      </c>
      <c r="E220" s="109">
        <f>RATE(10,0,-B$210,B220)</f>
        <v>-0.12942492476197995</v>
      </c>
      <c r="F220" s="179"/>
      <c r="G220" s="179"/>
      <c r="H220"/>
      <c r="I220" s="6">
        <f ca="1">SUM(I123:I134)</f>
        <v>58399566.660560928</v>
      </c>
      <c r="J220" s="36">
        <f t="shared" ca="1" si="12"/>
        <v>16073347.660560928</v>
      </c>
      <c r="K220" s="5">
        <f t="shared" ca="1" si="13"/>
        <v>0.37974919660461354</v>
      </c>
    </row>
    <row r="221" spans="1:11" x14ac:dyDescent="0.3">
      <c r="A221">
        <v>2014</v>
      </c>
      <c r="B221" s="6">
        <f>SUM(B135:B146)</f>
        <v>42700435</v>
      </c>
      <c r="C221" s="107">
        <f t="shared" ref="C221" si="16">+B221-B220</f>
        <v>374216</v>
      </c>
      <c r="D221" s="109">
        <f t="shared" ref="D221" si="17">+C221/B220</f>
        <v>8.8412338460943079E-3</v>
      </c>
      <c r="E221" s="109">
        <f>RATE(10,0,-B$210,B221)</f>
        <v>-0.12865827421917983</v>
      </c>
      <c r="F221" s="103"/>
      <c r="G221" s="179"/>
      <c r="H221"/>
      <c r="I221" s="6">
        <f>SUM(I135:I146)</f>
        <v>64238138.841395497</v>
      </c>
      <c r="J221" s="36">
        <f t="shared" si="12"/>
        <v>21537703.841395497</v>
      </c>
      <c r="K221" s="5">
        <f t="shared" si="13"/>
        <v>0.50439073609895302</v>
      </c>
    </row>
    <row r="222" spans="1:11" x14ac:dyDescent="0.3">
      <c r="A222">
        <v>2015</v>
      </c>
      <c r="B222" s="6">
        <f t="shared" ref="B222:B226" ca="1" si="18">+I222</f>
        <v>57235458.881925687</v>
      </c>
      <c r="C222" s="107">
        <f t="shared" ca="1" si="14"/>
        <v>14535023.881925687</v>
      </c>
      <c r="D222" s="109">
        <f t="shared" ca="1" si="15"/>
        <v>0.34039521803292372</v>
      </c>
      <c r="E222" s="109">
        <f ca="1">RATE(12,0,-B$210,B222)</f>
        <v>-8.6392129877028476E-2</v>
      </c>
      <c r="F222" s="103"/>
      <c r="G222" s="179"/>
      <c r="H222"/>
      <c r="I222" s="6">
        <f ca="1">SUM(I147:I158)</f>
        <v>57235458.881925687</v>
      </c>
      <c r="J222" s="36">
        <f t="shared" ca="1" si="12"/>
        <v>0</v>
      </c>
      <c r="K222" s="5">
        <f t="shared" ca="1" si="13"/>
        <v>0</v>
      </c>
    </row>
    <row r="223" spans="1:11" x14ac:dyDescent="0.3">
      <c r="A223">
        <v>2016</v>
      </c>
      <c r="B223" s="6">
        <f t="shared" ca="1" si="18"/>
        <v>65489848.882541925</v>
      </c>
      <c r="C223" s="107">
        <f t="shared" ca="1" si="14"/>
        <v>8254390.0006162375</v>
      </c>
      <c r="D223" s="109">
        <f t="shared" ca="1" si="15"/>
        <v>0.14421811516606675</v>
      </c>
      <c r="E223" s="109">
        <f ca="1">RATE(13,0,-B$210,B223)</f>
        <v>-7.0436665999056097E-2</v>
      </c>
      <c r="F223" s="103"/>
      <c r="G223" s="179"/>
      <c r="H223"/>
      <c r="I223" s="6">
        <f ca="1">SUM(I159:I170)</f>
        <v>65489848.882541925</v>
      </c>
      <c r="J223" s="36">
        <f t="shared" ca="1" si="12"/>
        <v>0</v>
      </c>
      <c r="K223" s="5">
        <f t="shared" ca="1" si="13"/>
        <v>0</v>
      </c>
    </row>
    <row r="224" spans="1:11" x14ac:dyDescent="0.3">
      <c r="A224">
        <v>2017</v>
      </c>
      <c r="B224" s="6">
        <f t="shared" ca="1" si="18"/>
        <v>73205371.23309876</v>
      </c>
      <c r="C224" s="107">
        <f t="shared" ca="1" si="14"/>
        <v>7715522.3505568355</v>
      </c>
      <c r="D224" s="109">
        <f t="shared" ca="1" si="15"/>
        <v>0.11781249280930338</v>
      </c>
      <c r="E224" s="109">
        <f ca="1">RATE(14,0,-B$210,B224)</f>
        <v>-5.8111059821499667E-2</v>
      </c>
      <c r="F224" s="103"/>
      <c r="G224" s="179"/>
      <c r="H224"/>
      <c r="I224" s="6">
        <f ca="1">SUM(I171:I182)</f>
        <v>73205371.23309876</v>
      </c>
      <c r="J224" s="36">
        <f t="shared" ca="1" si="12"/>
        <v>0</v>
      </c>
      <c r="K224" s="5">
        <f t="shared" ca="1" si="13"/>
        <v>0</v>
      </c>
    </row>
    <row r="225" spans="1:11" x14ac:dyDescent="0.3">
      <c r="A225">
        <v>2018</v>
      </c>
      <c r="B225" s="6">
        <f t="shared" ca="1" si="18"/>
        <v>76957775.914609462</v>
      </c>
      <c r="C225" s="107">
        <f t="shared" ca="1" si="14"/>
        <v>3752404.6815107018</v>
      </c>
      <c r="D225" s="109">
        <f t="shared" ca="1" si="15"/>
        <v>5.1258597809201542E-2</v>
      </c>
      <c r="E225" s="109">
        <f ca="1">RATE(15,0,-B$210,B225)</f>
        <v>-5.1187593256914916E-2</v>
      </c>
      <c r="F225" s="103"/>
      <c r="G225" s="179"/>
      <c r="H225"/>
      <c r="I225" s="6">
        <f ca="1">SUM(I183:I194)</f>
        <v>76957775.914609462</v>
      </c>
      <c r="J225" s="36">
        <f t="shared" ca="1" si="12"/>
        <v>0</v>
      </c>
      <c r="K225" s="5">
        <f t="shared" ca="1" si="13"/>
        <v>0</v>
      </c>
    </row>
    <row r="226" spans="1:11" x14ac:dyDescent="0.3">
      <c r="A226">
        <v>2019</v>
      </c>
      <c r="B226" s="6">
        <f t="shared" ca="1" si="18"/>
        <v>86353651.565816984</v>
      </c>
      <c r="C226" s="107">
        <f t="shared" ca="1" si="14"/>
        <v>9395875.6512075216</v>
      </c>
      <c r="D226" s="109">
        <f t="shared" ca="1" si="15"/>
        <v>0.12209130967652917</v>
      </c>
      <c r="E226" s="109">
        <f ca="1">RATE(16,0,-B$210,B226)</f>
        <v>-4.1188255283976009E-2</v>
      </c>
      <c r="F226" s="103"/>
      <c r="G226" s="179"/>
      <c r="H226"/>
      <c r="I226" s="6">
        <f ca="1">SUM(I195:I206)</f>
        <v>86353651.565816984</v>
      </c>
      <c r="J226" s="36">
        <f t="shared" ca="1" si="12"/>
        <v>0</v>
      </c>
      <c r="K226" s="5">
        <f t="shared" ca="1" si="13"/>
        <v>0</v>
      </c>
    </row>
    <row r="227" spans="1:11" x14ac:dyDescent="0.3">
      <c r="C227" s="101"/>
      <c r="D227" s="179"/>
      <c r="F227" s="179"/>
      <c r="G227" s="179"/>
      <c r="H227"/>
      <c r="J227" s="179"/>
      <c r="K227" s="179"/>
    </row>
    <row r="228" spans="1:11" x14ac:dyDescent="0.3">
      <c r="A228" t="s">
        <v>9</v>
      </c>
      <c r="B228" s="6">
        <f ca="1">SUM(B210:B226)</f>
        <v>1105038802.9779928</v>
      </c>
      <c r="C228" s="101"/>
      <c r="D228" s="179"/>
      <c r="F228" s="179"/>
      <c r="G228" s="179"/>
      <c r="H228"/>
      <c r="I228" s="6">
        <f ca="1">SUM(I210:I226)</f>
        <v>1105038802.9779923</v>
      </c>
      <c r="J228" s="183">
        <f ca="1">I228-B228</f>
        <v>0</v>
      </c>
      <c r="K228" s="179"/>
    </row>
    <row r="229" spans="1:11" x14ac:dyDescent="0.3">
      <c r="C229" s="179"/>
      <c r="D229" s="179"/>
      <c r="F229" s="179"/>
      <c r="G229" s="179"/>
      <c r="H229"/>
      <c r="I229" s="179"/>
      <c r="J229" s="62"/>
      <c r="K229" s="179"/>
    </row>
    <row r="230" spans="1:11" x14ac:dyDescent="0.3">
      <c r="C230" s="179"/>
      <c r="D230" s="179"/>
      <c r="F230" s="179"/>
      <c r="G230" s="179"/>
      <c r="H230"/>
      <c r="I230" s="6">
        <f ca="1">SUM(I210:I226)</f>
        <v>1105038802.9779923</v>
      </c>
      <c r="J230" s="183">
        <f ca="1">I208-I230</f>
        <v>0</v>
      </c>
      <c r="K230" s="179"/>
    </row>
    <row r="231" spans="1:11" x14ac:dyDescent="0.3">
      <c r="C231" s="179"/>
      <c r="D231" s="179"/>
      <c r="F231" s="179"/>
      <c r="G231" s="179"/>
      <c r="H231"/>
      <c r="I231" s="23"/>
      <c r="J231" s="184" t="s">
        <v>69</v>
      </c>
      <c r="K231" s="18"/>
    </row>
    <row r="242" spans="9:11" x14ac:dyDescent="0.3">
      <c r="I242" s="11"/>
    </row>
    <row r="243" spans="9:11" x14ac:dyDescent="0.3">
      <c r="J243" s="11"/>
      <c r="K243" s="11"/>
    </row>
    <row r="247" spans="9:11" x14ac:dyDescent="0.3">
      <c r="I247" s="11"/>
    </row>
    <row r="271" spans="9:9" x14ac:dyDescent="0.3">
      <c r="I271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K178"/>
  <sheetViews>
    <sheetView showGridLines="0" topLeftCell="A146" workbookViewId="0">
      <selection activeCell="A170" sqref="A170:G176"/>
    </sheetView>
  </sheetViews>
  <sheetFormatPr defaultRowHeight="12.45" x14ac:dyDescent="0.3"/>
  <cols>
    <col min="1" max="1" width="25.84375" customWidth="1"/>
    <col min="2" max="2" width="12.69140625" bestFit="1" customWidth="1"/>
    <col min="3" max="3" width="10.69140625" bestFit="1" customWidth="1"/>
    <col min="4" max="4" width="9.53515625" bestFit="1" customWidth="1"/>
    <col min="5" max="5" width="10" customWidth="1"/>
    <col min="6" max="7" width="11.15234375" customWidth="1"/>
    <col min="9" max="9" width="10.15234375" customWidth="1"/>
    <col min="10" max="10" width="10.53515625" customWidth="1"/>
  </cols>
  <sheetData>
    <row r="2" spans="1:9" x14ac:dyDescent="0.3">
      <c r="A2" s="66" t="s">
        <v>245</v>
      </c>
    </row>
    <row r="3" spans="1:9" ht="12.9" thickBot="1" x14ac:dyDescent="0.35"/>
    <row r="4" spans="1:9" ht="46.75" thickBot="1" x14ac:dyDescent="0.35">
      <c r="A4" s="256" t="s">
        <v>112</v>
      </c>
      <c r="B4" s="249" t="s">
        <v>224</v>
      </c>
      <c r="C4" s="249" t="s">
        <v>225</v>
      </c>
      <c r="D4" s="249" t="s">
        <v>195</v>
      </c>
      <c r="E4" s="249" t="s">
        <v>226</v>
      </c>
      <c r="F4" s="249" t="s">
        <v>234</v>
      </c>
      <c r="G4" s="249" t="s">
        <v>225</v>
      </c>
      <c r="H4" s="249" t="s">
        <v>195</v>
      </c>
      <c r="I4" s="250" t="s">
        <v>226</v>
      </c>
    </row>
    <row r="5" spans="1:9" x14ac:dyDescent="0.3">
      <c r="A5" s="257" t="s">
        <v>114</v>
      </c>
      <c r="B5" s="258">
        <v>1192455603</v>
      </c>
      <c r="C5" s="258">
        <f>+B13-B5</f>
        <v>-33573677</v>
      </c>
      <c r="D5" s="259">
        <f>+C5/B5</f>
        <v>-2.8155075053138058E-2</v>
      </c>
      <c r="E5" s="259"/>
      <c r="F5" s="258">
        <f>+J30</f>
        <v>63653</v>
      </c>
      <c r="G5" s="258">
        <f>+F13-F5</f>
        <v>-308.5</v>
      </c>
      <c r="H5" s="259">
        <f>+G5/F5</f>
        <v>-4.846590105729502E-3</v>
      </c>
      <c r="I5" s="260"/>
    </row>
    <row r="6" spans="1:9" ht="12.9" thickBot="1" x14ac:dyDescent="0.35">
      <c r="A6" s="272" t="s">
        <v>227</v>
      </c>
      <c r="B6" s="273">
        <v>1161936612</v>
      </c>
      <c r="C6" s="273">
        <f>+B17-B6</f>
        <v>-25724659.329020977</v>
      </c>
      <c r="D6" s="274">
        <f>+C6/B6</f>
        <v>-2.2139468765634333E-2</v>
      </c>
      <c r="E6" s="274"/>
      <c r="F6" s="273">
        <f>+J31</f>
        <v>67507.012231684101</v>
      </c>
      <c r="G6" s="273">
        <f>+F17-F6</f>
        <v>-1580.0122316841007</v>
      </c>
      <c r="H6" s="274">
        <f>+G6/F6</f>
        <v>-2.3405157174805749E-2</v>
      </c>
      <c r="I6" s="275"/>
    </row>
    <row r="7" spans="1:9" x14ac:dyDescent="0.3">
      <c r="A7" s="267"/>
      <c r="B7" s="268"/>
      <c r="C7" s="269"/>
      <c r="D7" s="270"/>
      <c r="E7" s="270"/>
      <c r="F7" s="269"/>
      <c r="G7" s="269"/>
      <c r="H7" s="270"/>
      <c r="I7" s="271"/>
    </row>
    <row r="8" spans="1:9" x14ac:dyDescent="0.3">
      <c r="A8" s="276">
        <v>2003</v>
      </c>
      <c r="B8" s="251">
        <f>+Chart!C7</f>
        <v>1232724170</v>
      </c>
      <c r="C8" s="251"/>
      <c r="D8" s="252"/>
      <c r="E8" s="252"/>
      <c r="F8" s="251">
        <f>+J33</f>
        <v>57960.5</v>
      </c>
      <c r="G8" s="251"/>
      <c r="H8" s="252"/>
      <c r="I8" s="262"/>
    </row>
    <row r="9" spans="1:9" x14ac:dyDescent="0.3">
      <c r="A9" s="277">
        <v>2004</v>
      </c>
      <c r="B9" s="251">
        <f>+Chart!C8</f>
        <v>1178441190</v>
      </c>
      <c r="C9" s="251">
        <f>+B9-B8</f>
        <v>-54282980</v>
      </c>
      <c r="D9" s="252">
        <f>+C9/B8</f>
        <v>-4.4034976616058402E-2</v>
      </c>
      <c r="E9" s="252">
        <f>RATE(1,0,-B$8,B9)</f>
        <v>-4.4034976616058499E-2</v>
      </c>
      <c r="F9" s="251">
        <f t="shared" ref="F9:F24" si="0">+J34</f>
        <v>58730.5</v>
      </c>
      <c r="G9" s="251">
        <f>+F9-F8</f>
        <v>770</v>
      </c>
      <c r="H9" s="252">
        <f>+G9/F8</f>
        <v>1.3284909550469716E-2</v>
      </c>
      <c r="I9" s="263">
        <f>RATE(1,0,-F$8,F9)</f>
        <v>1.3284909550469686E-2</v>
      </c>
    </row>
    <row r="10" spans="1:9" x14ac:dyDescent="0.3">
      <c r="A10" s="276">
        <v>2005</v>
      </c>
      <c r="B10" s="251">
        <f>+Chart!C9</f>
        <v>1174501350</v>
      </c>
      <c r="C10" s="251">
        <f t="shared" ref="C10:C24" si="1">+B10-B9</f>
        <v>-3939840</v>
      </c>
      <c r="D10" s="252">
        <f t="shared" ref="D10:D24" si="2">+C10/B9</f>
        <v>-3.3432639943619079E-3</v>
      </c>
      <c r="E10" s="252">
        <f>RATE(2,0,-B$8,B10)</f>
        <v>-2.3901142331683341E-2</v>
      </c>
      <c r="F10" s="251">
        <f t="shared" si="0"/>
        <v>59614.5</v>
      </c>
      <c r="G10" s="251">
        <f t="shared" ref="G10:G24" si="3">+F10-F9</f>
        <v>884</v>
      </c>
      <c r="H10" s="252">
        <f t="shared" ref="H10:H24" si="4">+G10/F9</f>
        <v>1.5051804428703996E-2</v>
      </c>
      <c r="I10" s="263">
        <f>RATE(2,0,-F$8,F10)</f>
        <v>1.4167972201637047E-2</v>
      </c>
    </row>
    <row r="11" spans="1:9" x14ac:dyDescent="0.3">
      <c r="A11" s="277">
        <v>2006</v>
      </c>
      <c r="B11" s="251">
        <f>+Chart!C10</f>
        <v>1151360440</v>
      </c>
      <c r="C11" s="251">
        <f t="shared" si="1"/>
        <v>-23140910</v>
      </c>
      <c r="D11" s="252">
        <f t="shared" si="2"/>
        <v>-1.9702753002369899E-2</v>
      </c>
      <c r="E11" s="252">
        <f>RATE(3,0,-B$8,B11)</f>
        <v>-2.2503680894619967E-2</v>
      </c>
      <c r="F11" s="251">
        <f t="shared" si="0"/>
        <v>60872.5</v>
      </c>
      <c r="G11" s="251">
        <f t="shared" si="3"/>
        <v>1258</v>
      </c>
      <c r="H11" s="252">
        <f t="shared" si="4"/>
        <v>2.1102248614011693E-2</v>
      </c>
      <c r="I11" s="263">
        <f>RATE(3,0,-F$8,F11)</f>
        <v>1.6474149542546394E-2</v>
      </c>
    </row>
    <row r="12" spans="1:9" x14ac:dyDescent="0.3">
      <c r="A12" s="276">
        <v>2007</v>
      </c>
      <c r="B12" s="251">
        <f>+Chart!C11</f>
        <v>1191153590</v>
      </c>
      <c r="C12" s="251">
        <f t="shared" si="1"/>
        <v>39793150</v>
      </c>
      <c r="D12" s="252">
        <f t="shared" si="2"/>
        <v>3.4561852759158546E-2</v>
      </c>
      <c r="E12" s="252">
        <f>RATE(4,0,-B$8,B12)</f>
        <v>-8.5393934317338754E-3</v>
      </c>
      <c r="F12" s="251">
        <f t="shared" si="0"/>
        <v>62211</v>
      </c>
      <c r="G12" s="251">
        <f t="shared" si="3"/>
        <v>1338.5</v>
      </c>
      <c r="H12" s="252">
        <f t="shared" si="4"/>
        <v>2.1988582693334428E-2</v>
      </c>
      <c r="I12" s="263">
        <f>RATE(4,0,-F$8,F12)</f>
        <v>1.78499620360448E-2</v>
      </c>
    </row>
    <row r="13" spans="1:9" x14ac:dyDescent="0.3">
      <c r="A13" s="277">
        <v>2008</v>
      </c>
      <c r="B13" s="251">
        <f>+Chart!C12</f>
        <v>1158881926</v>
      </c>
      <c r="C13" s="251">
        <f t="shared" si="1"/>
        <v>-32271664</v>
      </c>
      <c r="D13" s="252">
        <f t="shared" si="2"/>
        <v>-2.70927815446537E-2</v>
      </c>
      <c r="E13" s="252">
        <f>RATE(5,0,-B$8,B13)</f>
        <v>-1.2278162500929547E-2</v>
      </c>
      <c r="F13" s="251">
        <f t="shared" si="0"/>
        <v>63344.5</v>
      </c>
      <c r="G13" s="251">
        <f t="shared" si="3"/>
        <v>1133.5</v>
      </c>
      <c r="H13" s="252">
        <f t="shared" si="4"/>
        <v>1.8220250438025429E-2</v>
      </c>
      <c r="I13" s="263">
        <f>RATE(5,0,-F$8,F13)</f>
        <v>1.7924008941779188E-2</v>
      </c>
    </row>
    <row r="14" spans="1:9" x14ac:dyDescent="0.3">
      <c r="A14" s="276">
        <v>2009</v>
      </c>
      <c r="B14" s="251">
        <f>+Chart!C13</f>
        <v>1128390784.5107694</v>
      </c>
      <c r="C14" s="251">
        <f t="shared" si="1"/>
        <v>-30491141.489230633</v>
      </c>
      <c r="D14" s="252">
        <f t="shared" si="2"/>
        <v>-2.6310826672803447E-2</v>
      </c>
      <c r="E14" s="252">
        <f>RATE(6,0,-B$8,B14)</f>
        <v>-1.4630905973235077E-2</v>
      </c>
      <c r="F14" s="251">
        <f t="shared" si="0"/>
        <v>64128</v>
      </c>
      <c r="G14" s="251">
        <f t="shared" si="3"/>
        <v>783.5</v>
      </c>
      <c r="H14" s="252">
        <f t="shared" si="4"/>
        <v>1.2368871804181895E-2</v>
      </c>
      <c r="I14" s="263">
        <f>RATE(6,0,-F$8,F14)</f>
        <v>1.6996040414734147E-2</v>
      </c>
    </row>
    <row r="15" spans="1:9" x14ac:dyDescent="0.3">
      <c r="A15" s="277">
        <v>2010</v>
      </c>
      <c r="B15" s="251">
        <f>+Chart!C14</f>
        <v>1148489331.8146157</v>
      </c>
      <c r="C15" s="251">
        <f t="shared" si="1"/>
        <v>20098547.303846359</v>
      </c>
      <c r="D15" s="252">
        <f t="shared" si="2"/>
        <v>1.781169039993568E-2</v>
      </c>
      <c r="E15" s="252">
        <f>RATE(7,0,-B$8,B15)</f>
        <v>-1.0060343960087228E-2</v>
      </c>
      <c r="F15" s="251">
        <f t="shared" si="0"/>
        <v>64894</v>
      </c>
      <c r="G15" s="251">
        <f t="shared" si="3"/>
        <v>766</v>
      </c>
      <c r="H15" s="252">
        <f t="shared" si="4"/>
        <v>1.1944860279441118E-2</v>
      </c>
      <c r="I15" s="263">
        <f>RATE(7,0,-F$8,F15)</f>
        <v>1.6272902511597749E-2</v>
      </c>
    </row>
    <row r="16" spans="1:9" x14ac:dyDescent="0.3">
      <c r="A16" s="277">
        <v>2011</v>
      </c>
      <c r="B16" s="251">
        <f>+Chart!C15</f>
        <v>1148632387.3953846</v>
      </c>
      <c r="C16" s="251">
        <f t="shared" si="1"/>
        <v>143055.58076882362</v>
      </c>
      <c r="D16" s="252">
        <f t="shared" si="2"/>
        <v>1.2455978197272019E-4</v>
      </c>
      <c r="E16" s="252">
        <f>RATE(8,0,-B$8,B16)</f>
        <v>-8.7929249231188996E-3</v>
      </c>
      <c r="F16" s="251">
        <f t="shared" si="0"/>
        <v>65524.5</v>
      </c>
      <c r="G16" s="251">
        <f t="shared" si="3"/>
        <v>630.5</v>
      </c>
      <c r="H16" s="252">
        <f t="shared" si="4"/>
        <v>9.7158442999352793E-3</v>
      </c>
      <c r="I16" s="263">
        <f>RATE(8,0,-F$8,F16)</f>
        <v>1.5450947221827164E-2</v>
      </c>
    </row>
    <row r="17" spans="1:10" x14ac:dyDescent="0.3">
      <c r="A17" s="277">
        <v>2012</v>
      </c>
      <c r="B17" s="251">
        <f>+Chart!C16</f>
        <v>1136211952.670979</v>
      </c>
      <c r="C17" s="251">
        <f t="shared" si="1"/>
        <v>-12420434.724405527</v>
      </c>
      <c r="D17" s="252">
        <f t="shared" si="2"/>
        <v>-1.0813237429748827E-2</v>
      </c>
      <c r="E17" s="252">
        <f>RATE(9,0,-B$8,B17)</f>
        <v>-9.0176077035169049E-3</v>
      </c>
      <c r="F17" s="251">
        <f t="shared" si="0"/>
        <v>65927</v>
      </c>
      <c r="G17" s="251">
        <f t="shared" si="3"/>
        <v>402.5</v>
      </c>
      <c r="H17" s="252">
        <f t="shared" si="4"/>
        <v>6.1427405016444229E-3</v>
      </c>
      <c r="I17" s="263">
        <f>RATE(9,0,-F$8,F17)</f>
        <v>1.441246400059943E-2</v>
      </c>
    </row>
    <row r="18" spans="1:10" x14ac:dyDescent="0.3">
      <c r="A18" s="277">
        <v>2013</v>
      </c>
      <c r="B18" s="251">
        <f>+Chart!C17</f>
        <v>1130407041.6666667</v>
      </c>
      <c r="C18" s="251">
        <f t="shared" si="1"/>
        <v>-5804911.0043122768</v>
      </c>
      <c r="D18" s="252">
        <f t="shared" si="2"/>
        <v>-5.1090036420284399E-3</v>
      </c>
      <c r="E18" s="252">
        <f>RATE(10,0,-B$8,B18)</f>
        <v>-8.6274392985243292E-3</v>
      </c>
      <c r="F18" s="251">
        <f t="shared" si="0"/>
        <v>66584</v>
      </c>
      <c r="G18" s="251">
        <f t="shared" si="3"/>
        <v>657</v>
      </c>
      <c r="H18" s="252">
        <f t="shared" si="4"/>
        <v>9.9655679767015025E-3</v>
      </c>
      <c r="I18" s="263">
        <f>RATE(10,0,-F$8,F18)</f>
        <v>1.3966894728159518E-2</v>
      </c>
    </row>
    <row r="19" spans="1:10" x14ac:dyDescent="0.3">
      <c r="A19" s="277" t="s">
        <v>295</v>
      </c>
      <c r="B19" s="251">
        <f>+Chart!C18</f>
        <v>1134970142.7733078</v>
      </c>
      <c r="C19" s="251">
        <f t="shared" si="1"/>
        <v>4563101.1066410542</v>
      </c>
      <c r="D19" s="252">
        <f t="shared" si="2"/>
        <v>4.0366885010847415E-3</v>
      </c>
      <c r="E19" s="252">
        <f>RATE(11,0,-B$8,B19)</f>
        <v>-7.4827860624175138E-3</v>
      </c>
      <c r="F19" s="251">
        <f t="shared" si="0"/>
        <v>67453.5</v>
      </c>
      <c r="G19" s="251">
        <f t="shared" si="3"/>
        <v>869.5</v>
      </c>
      <c r="H19" s="252">
        <f t="shared" si="4"/>
        <v>1.3058692779046017E-2</v>
      </c>
      <c r="I19" s="263">
        <f>RATE(11,0,-F$8,F19)</f>
        <v>1.3884297281004271E-2</v>
      </c>
    </row>
    <row r="20" spans="1:10" x14ac:dyDescent="0.3">
      <c r="A20" s="277" t="s">
        <v>229</v>
      </c>
      <c r="B20" s="251">
        <f ca="1">+Chart!D19</f>
        <v>1155695984.2165191</v>
      </c>
      <c r="C20" s="251">
        <f t="shared" ca="1" si="1"/>
        <v>20725841.443211317</v>
      </c>
      <c r="D20" s="252">
        <f t="shared" ca="1" si="2"/>
        <v>1.8261133629971598E-2</v>
      </c>
      <c r="E20" s="252">
        <f ca="1">RATE(12,0,-B$8,B20)</f>
        <v>-5.3625488006310059E-3</v>
      </c>
      <c r="F20" s="251">
        <f t="shared" si="0"/>
        <v>68528.684052257042</v>
      </c>
      <c r="G20" s="251">
        <f t="shared" si="3"/>
        <v>1075.1840522570419</v>
      </c>
      <c r="H20" s="252">
        <f t="shared" si="4"/>
        <v>1.5939633262277597E-2</v>
      </c>
      <c r="I20" s="263">
        <f>RATE(12,0,-F$8,F20)</f>
        <v>1.4055416345947314E-2</v>
      </c>
    </row>
    <row r="21" spans="1:10" x14ac:dyDescent="0.3">
      <c r="A21" s="277" t="s">
        <v>230</v>
      </c>
      <c r="B21" s="251">
        <f ca="1">+Chart!D20</f>
        <v>1159527660.9021561</v>
      </c>
      <c r="C21" s="251">
        <f t="shared" ca="1" si="1"/>
        <v>3831676.6856369972</v>
      </c>
      <c r="D21" s="252">
        <f t="shared" ca="1" si="2"/>
        <v>3.3154711429014831E-3</v>
      </c>
      <c r="E21" s="252">
        <f ca="1">RATE(13,0,-B$8,B21)</f>
        <v>-4.6976819390520744E-3</v>
      </c>
      <c r="F21" s="251">
        <f t="shared" si="0"/>
        <v>69610.723355824943</v>
      </c>
      <c r="G21" s="251">
        <f t="shared" si="3"/>
        <v>1082.0393035679008</v>
      </c>
      <c r="H21" s="252">
        <f t="shared" si="4"/>
        <v>1.5789582399434138E-2</v>
      </c>
      <c r="I21" s="263">
        <f>RATE(13,0,-F$8,F21)</f>
        <v>1.4188708560673252E-2</v>
      </c>
    </row>
    <row r="22" spans="1:10" x14ac:dyDescent="0.3">
      <c r="A22" s="277" t="s">
        <v>231</v>
      </c>
      <c r="B22" s="251">
        <f ca="1">+Chart!D21</f>
        <v>1161962823.0962443</v>
      </c>
      <c r="C22" s="251">
        <f t="shared" ca="1" si="1"/>
        <v>2435162.1940882206</v>
      </c>
      <c r="D22" s="252">
        <f t="shared" ca="1" si="2"/>
        <v>2.1001329042841226E-3</v>
      </c>
      <c r="E22" s="252">
        <f ca="1">RATE(14,0,-B$8,B22)</f>
        <v>-4.2136567263198962E-3</v>
      </c>
      <c r="F22" s="251">
        <f t="shared" si="0"/>
        <v>70710.136538212828</v>
      </c>
      <c r="G22" s="251">
        <f t="shared" si="3"/>
        <v>1099.4131823878852</v>
      </c>
      <c r="H22" s="252">
        <f t="shared" si="4"/>
        <v>1.579373305414571E-2</v>
      </c>
      <c r="I22" s="263">
        <f>RATE(14,0,-F$8,F22)</f>
        <v>1.4303269016140215E-2</v>
      </c>
    </row>
    <row r="23" spans="1:10" x14ac:dyDescent="0.3">
      <c r="A23" s="277" t="s">
        <v>232</v>
      </c>
      <c r="B23" s="251">
        <f ca="1">+Chart!D22</f>
        <v>1165591120.8811669</v>
      </c>
      <c r="C23" s="251">
        <f t="shared" ca="1" si="1"/>
        <v>3628297.7849225998</v>
      </c>
      <c r="D23" s="252">
        <f t="shared" ca="1" si="2"/>
        <v>3.122559270230689E-3</v>
      </c>
      <c r="E23" s="252">
        <f ca="1">RATE(15,0,-B$8,B23)</f>
        <v>-3.7262492066558184E-3</v>
      </c>
      <c r="F23" s="251">
        <f t="shared" si="0"/>
        <v>72046.845796300433</v>
      </c>
      <c r="G23" s="251">
        <f t="shared" si="3"/>
        <v>1336.7092580876051</v>
      </c>
      <c r="H23" s="252">
        <f t="shared" si="4"/>
        <v>1.8904068405598783E-2</v>
      </c>
      <c r="I23" s="263">
        <f>RATE(15,0,-F$8,F23)</f>
        <v>1.4609341613524795E-2</v>
      </c>
    </row>
    <row r="24" spans="1:10" ht="12.9" thickBot="1" x14ac:dyDescent="0.35">
      <c r="A24" s="278" t="s">
        <v>233</v>
      </c>
      <c r="B24" s="264">
        <f ca="1">+Chart!D23</f>
        <v>1170084152.9105246</v>
      </c>
      <c r="C24" s="264">
        <f t="shared" ca="1" si="1"/>
        <v>4493032.0293576717</v>
      </c>
      <c r="D24" s="265">
        <f t="shared" ca="1" si="2"/>
        <v>3.8547239669782457E-3</v>
      </c>
      <c r="E24" s="265">
        <f ca="1">RATE(16,0,-B$8,B24)</f>
        <v>-3.2541201467315086E-3</v>
      </c>
      <c r="F24" s="264">
        <f t="shared" si="0"/>
        <v>73409.476954820086</v>
      </c>
      <c r="G24" s="264">
        <f t="shared" si="3"/>
        <v>1362.6311585196527</v>
      </c>
      <c r="H24" s="265">
        <f t="shared" si="4"/>
        <v>1.8913127194662323E-2</v>
      </c>
      <c r="I24" s="266">
        <f>RATE(16,0,-F$8,F24)</f>
        <v>1.4877794833222775E-2</v>
      </c>
    </row>
    <row r="26" spans="1:10" x14ac:dyDescent="0.3">
      <c r="A26" s="66" t="s">
        <v>279</v>
      </c>
    </row>
    <row r="27" spans="1:10" ht="12.9" thickBot="1" x14ac:dyDescent="0.35"/>
    <row r="28" spans="1:10" ht="23.6" thickBot="1" x14ac:dyDescent="0.35">
      <c r="A28" s="256" t="s">
        <v>112</v>
      </c>
      <c r="B28" s="249" t="s">
        <v>71</v>
      </c>
      <c r="C28" s="249" t="s">
        <v>236</v>
      </c>
      <c r="D28" s="249" t="s">
        <v>235</v>
      </c>
      <c r="E28" s="249" t="s">
        <v>74</v>
      </c>
      <c r="F28" s="249" t="s">
        <v>237</v>
      </c>
      <c r="G28" s="249" t="s">
        <v>238</v>
      </c>
      <c r="H28" s="249" t="s">
        <v>239</v>
      </c>
      <c r="I28" s="249" t="s">
        <v>76</v>
      </c>
      <c r="J28" s="250" t="s">
        <v>9</v>
      </c>
    </row>
    <row r="29" spans="1:10" x14ac:dyDescent="0.3">
      <c r="A29" s="279" t="s">
        <v>258</v>
      </c>
      <c r="B29" s="280"/>
      <c r="C29" s="280"/>
      <c r="D29" s="280"/>
      <c r="E29" s="280"/>
      <c r="F29" s="280"/>
      <c r="G29" s="280"/>
      <c r="H29" s="280"/>
      <c r="I29" s="280"/>
      <c r="J29" s="281"/>
    </row>
    <row r="30" spans="1:10" x14ac:dyDescent="0.3">
      <c r="A30" s="282" t="s">
        <v>114</v>
      </c>
      <c r="B30" s="254">
        <v>47243</v>
      </c>
      <c r="C30" s="254">
        <v>3845</v>
      </c>
      <c r="D30" s="254">
        <v>522</v>
      </c>
      <c r="E30" s="254">
        <v>2</v>
      </c>
      <c r="F30" s="254">
        <v>9</v>
      </c>
      <c r="G30" s="254">
        <v>11650</v>
      </c>
      <c r="H30" s="254">
        <v>77</v>
      </c>
      <c r="I30" s="254">
        <v>305</v>
      </c>
      <c r="J30" s="261">
        <f>SUM(B30:I30)</f>
        <v>63653</v>
      </c>
    </row>
    <row r="31" spans="1:10" x14ac:dyDescent="0.3">
      <c r="A31" s="282" t="s">
        <v>227</v>
      </c>
      <c r="B31" s="254">
        <v>49919.725406979574</v>
      </c>
      <c r="C31" s="254">
        <v>3961</v>
      </c>
      <c r="D31" s="254">
        <v>518</v>
      </c>
      <c r="E31" s="254">
        <v>1</v>
      </c>
      <c r="F31" s="254">
        <v>10</v>
      </c>
      <c r="G31" s="254">
        <v>12761.899782618997</v>
      </c>
      <c r="H31" s="254">
        <v>22.307657589073369</v>
      </c>
      <c r="I31" s="254">
        <v>313.0793844964528</v>
      </c>
      <c r="J31" s="261">
        <f>SUM(B31:I31)</f>
        <v>67507.012231684101</v>
      </c>
    </row>
    <row r="32" spans="1:10" x14ac:dyDescent="0.3">
      <c r="A32" s="276"/>
      <c r="B32" s="253"/>
      <c r="C32" s="283"/>
      <c r="D32" s="283"/>
      <c r="E32" s="283"/>
      <c r="F32" s="283"/>
      <c r="G32" s="283"/>
      <c r="H32" s="283"/>
      <c r="I32" s="283"/>
      <c r="J32" s="284"/>
    </row>
    <row r="33" spans="1:11" x14ac:dyDescent="0.3">
      <c r="A33" s="276">
        <v>2003</v>
      </c>
      <c r="B33" s="251">
        <f>+'Rate Class Customer Model'!B3</f>
        <v>43319.5</v>
      </c>
      <c r="C33" s="251">
        <f>+'Rate Class Customer Model'!C3</f>
        <v>3689</v>
      </c>
      <c r="D33" s="251">
        <f>+'Rate Class Customer Model'!D3</f>
        <v>559</v>
      </c>
      <c r="E33" s="251">
        <f>+'Rate Class Customer Model'!E3</f>
        <v>2.5</v>
      </c>
      <c r="F33" s="251">
        <f>+'Rate Class Customer Model'!F3</f>
        <v>5</v>
      </c>
      <c r="G33" s="251">
        <f>+'Rate Class Customer Model'!G3</f>
        <v>10059</v>
      </c>
      <c r="H33" s="251">
        <f>+'Rate Class Customer Model'!H3</f>
        <v>34.5</v>
      </c>
      <c r="I33" s="251">
        <f>+'Rate Class Customer Model'!I3</f>
        <v>292</v>
      </c>
      <c r="J33" s="285">
        <f t="shared" ref="J33:J49" si="5">SUM(B33:I33)</f>
        <v>57960.5</v>
      </c>
    </row>
    <row r="34" spans="1:11" x14ac:dyDescent="0.3">
      <c r="A34" s="277">
        <v>2004</v>
      </c>
      <c r="B34" s="251">
        <f>+'Rate Class Customer Model'!B4</f>
        <v>43979.5</v>
      </c>
      <c r="C34" s="251">
        <f>+'Rate Class Customer Model'!C4</f>
        <v>3626.5</v>
      </c>
      <c r="D34" s="251">
        <f>+'Rate Class Customer Model'!D4</f>
        <v>530</v>
      </c>
      <c r="E34" s="251">
        <f>+'Rate Class Customer Model'!E4</f>
        <v>2.5</v>
      </c>
      <c r="F34" s="251">
        <f>+'Rate Class Customer Model'!F4</f>
        <v>6</v>
      </c>
      <c r="G34" s="251">
        <f>+'Rate Class Customer Model'!G4</f>
        <v>10262</v>
      </c>
      <c r="H34" s="251">
        <f>+'Rate Class Customer Model'!H4</f>
        <v>30</v>
      </c>
      <c r="I34" s="251">
        <f>+'Rate Class Customer Model'!I4</f>
        <v>294</v>
      </c>
      <c r="J34" s="285">
        <f t="shared" si="5"/>
        <v>58730.5</v>
      </c>
    </row>
    <row r="35" spans="1:11" x14ac:dyDescent="0.3">
      <c r="A35" s="276">
        <v>2005</v>
      </c>
      <c r="B35" s="251">
        <f>+'Rate Class Customer Model'!B5</f>
        <v>44598.5</v>
      </c>
      <c r="C35" s="251">
        <f>+'Rate Class Customer Model'!C5</f>
        <v>3662</v>
      </c>
      <c r="D35" s="251">
        <f>+'Rate Class Customer Model'!D5</f>
        <v>521.5</v>
      </c>
      <c r="E35" s="251">
        <f>+'Rate Class Customer Model'!E5</f>
        <v>2</v>
      </c>
      <c r="F35" s="251">
        <f>+'Rate Class Customer Model'!F5</f>
        <v>7.5</v>
      </c>
      <c r="G35" s="251">
        <f>+'Rate Class Customer Model'!G5</f>
        <v>10498.5</v>
      </c>
      <c r="H35" s="251">
        <f>+'Rate Class Customer Model'!H5</f>
        <v>29.5</v>
      </c>
      <c r="I35" s="251">
        <f>+'Rate Class Customer Model'!I5</f>
        <v>295</v>
      </c>
      <c r="J35" s="285">
        <f t="shared" si="5"/>
        <v>59614.5</v>
      </c>
    </row>
    <row r="36" spans="1:11" x14ac:dyDescent="0.3">
      <c r="A36" s="277">
        <v>2006</v>
      </c>
      <c r="B36" s="251">
        <f>+'Rate Class Customer Model'!B6</f>
        <v>45439</v>
      </c>
      <c r="C36" s="251">
        <f>+'Rate Class Customer Model'!C6</f>
        <v>3740.5</v>
      </c>
      <c r="D36" s="251">
        <f>+'Rate Class Customer Model'!D6</f>
        <v>525</v>
      </c>
      <c r="E36" s="251">
        <f>+'Rate Class Customer Model'!E6</f>
        <v>2</v>
      </c>
      <c r="F36" s="251">
        <f>+'Rate Class Customer Model'!F6</f>
        <v>8.5</v>
      </c>
      <c r="G36" s="251">
        <f>+'Rate Class Customer Model'!G6</f>
        <v>10831</v>
      </c>
      <c r="H36" s="251">
        <f>+'Rate Class Customer Model'!H6</f>
        <v>28.5</v>
      </c>
      <c r="I36" s="251">
        <f>+'Rate Class Customer Model'!I6</f>
        <v>298</v>
      </c>
      <c r="J36" s="285">
        <f t="shared" si="5"/>
        <v>60872.5</v>
      </c>
    </row>
    <row r="37" spans="1:11" x14ac:dyDescent="0.3">
      <c r="A37" s="276">
        <v>2007</v>
      </c>
      <c r="B37" s="251">
        <f>+'Rate Class Customer Model'!B7</f>
        <v>46320</v>
      </c>
      <c r="C37" s="251">
        <f>+'Rate Class Customer Model'!C7</f>
        <v>3749</v>
      </c>
      <c r="D37" s="251">
        <f>+'Rate Class Customer Model'!D7</f>
        <v>523</v>
      </c>
      <c r="E37" s="251">
        <f>+'Rate Class Customer Model'!E7</f>
        <v>2</v>
      </c>
      <c r="F37" s="251">
        <f>+'Rate Class Customer Model'!F7</f>
        <v>9</v>
      </c>
      <c r="G37" s="251">
        <f>+'Rate Class Customer Model'!G7</f>
        <v>11280.5</v>
      </c>
      <c r="H37" s="251">
        <f>+'Rate Class Customer Model'!H7</f>
        <v>26.5</v>
      </c>
      <c r="I37" s="251">
        <f>+'Rate Class Customer Model'!I7</f>
        <v>301</v>
      </c>
      <c r="J37" s="285">
        <f t="shared" si="5"/>
        <v>62211</v>
      </c>
    </row>
    <row r="38" spans="1:11" x14ac:dyDescent="0.3">
      <c r="A38" s="277">
        <v>2008</v>
      </c>
      <c r="B38" s="251">
        <f>+'Rate Class Customer Model'!B8</f>
        <v>47057.5</v>
      </c>
      <c r="C38" s="251">
        <f>+'Rate Class Customer Model'!C8</f>
        <v>3793.5</v>
      </c>
      <c r="D38" s="251">
        <f>+'Rate Class Customer Model'!D8</f>
        <v>533.5</v>
      </c>
      <c r="E38" s="251">
        <f>+'Rate Class Customer Model'!E8</f>
        <v>2.5</v>
      </c>
      <c r="F38" s="251">
        <f>+'Rate Class Customer Model'!F8</f>
        <v>9</v>
      </c>
      <c r="G38" s="251">
        <f>+'Rate Class Customer Model'!G8</f>
        <v>11621.5</v>
      </c>
      <c r="H38" s="251">
        <f>+'Rate Class Customer Model'!H8</f>
        <v>26</v>
      </c>
      <c r="I38" s="251">
        <f>+'Rate Class Customer Model'!I8</f>
        <v>301</v>
      </c>
      <c r="J38" s="285">
        <f t="shared" si="5"/>
        <v>63344.5</v>
      </c>
    </row>
    <row r="39" spans="1:11" x14ac:dyDescent="0.3">
      <c r="A39" s="276">
        <v>2009</v>
      </c>
      <c r="B39" s="251">
        <f>+'Rate Class Customer Model'!B9</f>
        <v>47602.5</v>
      </c>
      <c r="C39" s="251">
        <f>+'Rate Class Customer Model'!C9</f>
        <v>3859.5</v>
      </c>
      <c r="D39" s="251">
        <f>+'Rate Class Customer Model'!D9</f>
        <v>525</v>
      </c>
      <c r="E39" s="251">
        <f>+'Rate Class Customer Model'!E9</f>
        <v>2</v>
      </c>
      <c r="F39" s="251">
        <f>+'Rate Class Customer Model'!F9</f>
        <v>9.5</v>
      </c>
      <c r="G39" s="251">
        <f>+'Rate Class Customer Model'!G9</f>
        <v>11801</v>
      </c>
      <c r="H39" s="251">
        <f>+'Rate Class Customer Model'!H9</f>
        <v>26</v>
      </c>
      <c r="I39" s="251">
        <f>+'Rate Class Customer Model'!I9</f>
        <v>302.5</v>
      </c>
      <c r="J39" s="285">
        <f t="shared" si="5"/>
        <v>64128</v>
      </c>
    </row>
    <row r="40" spans="1:11" x14ac:dyDescent="0.3">
      <c r="A40" s="277">
        <v>2010</v>
      </c>
      <c r="B40" s="251">
        <f>+'Rate Class Customer Model'!B10</f>
        <v>48114.5</v>
      </c>
      <c r="C40" s="251">
        <f>+'Rate Class Customer Model'!C10</f>
        <v>3929</v>
      </c>
      <c r="D40" s="251">
        <f>+'Rate Class Customer Model'!D10</f>
        <v>512.5</v>
      </c>
      <c r="E40" s="251">
        <f>+'Rate Class Customer Model'!E10</f>
        <v>1</v>
      </c>
      <c r="F40" s="251">
        <f>+'Rate Class Customer Model'!F10</f>
        <v>10</v>
      </c>
      <c r="G40" s="251">
        <f>+'Rate Class Customer Model'!G10</f>
        <v>11995.5</v>
      </c>
      <c r="H40" s="251">
        <f>+'Rate Class Customer Model'!H10</f>
        <v>25</v>
      </c>
      <c r="I40" s="251">
        <f>+'Rate Class Customer Model'!I10</f>
        <v>306.5</v>
      </c>
      <c r="J40" s="285">
        <f t="shared" si="5"/>
        <v>64894</v>
      </c>
    </row>
    <row r="41" spans="1:11" x14ac:dyDescent="0.3">
      <c r="A41" s="277">
        <v>2011</v>
      </c>
      <c r="B41" s="251">
        <f>+'Rate Class Customer Model'!B11</f>
        <v>48650.5</v>
      </c>
      <c r="C41" s="251">
        <f>+'Rate Class Customer Model'!C11</f>
        <v>3888.5</v>
      </c>
      <c r="D41" s="251">
        <f>+'Rate Class Customer Model'!D11</f>
        <v>520.5</v>
      </c>
      <c r="E41" s="251">
        <f>+'Rate Class Customer Model'!E11</f>
        <v>1</v>
      </c>
      <c r="F41" s="251">
        <f>+'Rate Class Customer Model'!F11</f>
        <v>10</v>
      </c>
      <c r="G41" s="251">
        <f>+'Rate Class Customer Model'!G11</f>
        <v>12127.5</v>
      </c>
      <c r="H41" s="251">
        <f>+'Rate Class Customer Model'!H11</f>
        <v>24</v>
      </c>
      <c r="I41" s="251">
        <f>+'Rate Class Customer Model'!I11</f>
        <v>302.5</v>
      </c>
      <c r="J41" s="285">
        <f t="shared" si="5"/>
        <v>65524.5</v>
      </c>
    </row>
    <row r="42" spans="1:11" x14ac:dyDescent="0.3">
      <c r="A42" s="277">
        <v>2012</v>
      </c>
      <c r="B42" s="251">
        <f>+'Rate Class Customer Model'!B12</f>
        <v>49021</v>
      </c>
      <c r="C42" s="251">
        <f>+'Rate Class Customer Model'!C12</f>
        <v>3850.5</v>
      </c>
      <c r="D42" s="251">
        <f>+'Rate Class Customer Model'!D12</f>
        <v>511.5</v>
      </c>
      <c r="E42" s="251">
        <f>+'Rate Class Customer Model'!E12</f>
        <v>1</v>
      </c>
      <c r="F42" s="251">
        <f>+'Rate Class Customer Model'!F12</f>
        <v>10.5</v>
      </c>
      <c r="G42" s="251">
        <f>+'Rate Class Customer Model'!G12</f>
        <v>12213</v>
      </c>
      <c r="H42" s="251">
        <f>+'Rate Class Customer Model'!H12</f>
        <v>24</v>
      </c>
      <c r="I42" s="251">
        <f>+'Rate Class Customer Model'!I12</f>
        <v>295.5</v>
      </c>
      <c r="J42" s="285">
        <f t="shared" si="5"/>
        <v>65927</v>
      </c>
    </row>
    <row r="43" spans="1:11" x14ac:dyDescent="0.3">
      <c r="A43" s="277">
        <v>2013</v>
      </c>
      <c r="B43" s="251">
        <f>+'Rate Class Customer Model'!B13</f>
        <v>49516</v>
      </c>
      <c r="C43" s="251">
        <f>+'Rate Class Customer Model'!C13</f>
        <v>3904.5</v>
      </c>
      <c r="D43" s="251">
        <f>+'Rate Class Customer Model'!D13</f>
        <v>500</v>
      </c>
      <c r="E43" s="251">
        <f>+'Rate Class Customer Model'!E13</f>
        <v>1</v>
      </c>
      <c r="F43" s="251">
        <f>+'Rate Class Customer Model'!F13</f>
        <v>11</v>
      </c>
      <c r="G43" s="251">
        <f>+'Rate Class Customer Model'!G13</f>
        <v>12332.5</v>
      </c>
      <c r="H43" s="251">
        <f>+'Rate Class Customer Model'!H13</f>
        <v>24</v>
      </c>
      <c r="I43" s="251">
        <f>+'Rate Class Customer Model'!I13</f>
        <v>295</v>
      </c>
      <c r="J43" s="285">
        <f t="shared" si="5"/>
        <v>66584</v>
      </c>
    </row>
    <row r="44" spans="1:11" x14ac:dyDescent="0.3">
      <c r="A44" s="277" t="s">
        <v>295</v>
      </c>
      <c r="B44" s="251">
        <f>+'Rate Class Customer Model'!B14+'City Expansion'!B65</f>
        <v>50202.5</v>
      </c>
      <c r="C44" s="251">
        <f>+'Rate Class Customer Model'!C14+'City Expansion'!C65</f>
        <v>3952.5</v>
      </c>
      <c r="D44" s="251">
        <f>+'Rate Class Customer Model'!D14+'City Expansion'!D65</f>
        <v>502.5</v>
      </c>
      <c r="E44" s="251">
        <f>+'Rate Class Customer Model'!E14+'City Expansion'!E65</f>
        <v>1</v>
      </c>
      <c r="F44" s="251">
        <f>+'Rate Class Customer Model'!F14+'City Expansion'!F65</f>
        <v>11</v>
      </c>
      <c r="G44" s="251">
        <f>+'Rate Class Customer Model'!G14+'City Expansion'!G65</f>
        <v>12464.5</v>
      </c>
      <c r="H44" s="251">
        <f>+'Rate Class Customer Model'!H14+'City Expansion'!H65</f>
        <v>24</v>
      </c>
      <c r="I44" s="251">
        <f>+'Rate Class Customer Model'!I14+'City Expansion'!I65</f>
        <v>295.5</v>
      </c>
      <c r="J44" s="285">
        <f t="shared" si="5"/>
        <v>67453.5</v>
      </c>
    </row>
    <row r="45" spans="1:11" x14ac:dyDescent="0.3">
      <c r="A45" s="277" t="s">
        <v>229</v>
      </c>
      <c r="B45" s="251">
        <f>+'Rate Class Customer Model'!B15+'City Expansion'!B66</f>
        <v>50977.327408831858</v>
      </c>
      <c r="C45" s="251">
        <f>+'Rate Class Customer Model'!C15+'City Expansion'!C66</f>
        <v>4002.4682995893245</v>
      </c>
      <c r="D45" s="251">
        <f>+'Rate Class Customer Model'!D15+'City Expansion'!D66</f>
        <v>507</v>
      </c>
      <c r="E45" s="251">
        <f>+'Rate Class Customer Model'!E15+'City Expansion'!E66</f>
        <v>1</v>
      </c>
      <c r="F45" s="251">
        <f>+'Rate Class Customer Model'!F15+'City Expansion'!F66</f>
        <v>12</v>
      </c>
      <c r="G45" s="251">
        <f>+'Rate Class Customer Model'!G15+'City Expansion'!G66</f>
        <v>12709.846964330369</v>
      </c>
      <c r="H45" s="251">
        <f>+'Rate Class Customer Model'!H15+'City Expansion'!H66</f>
        <v>23.221124933174856</v>
      </c>
      <c r="I45" s="251">
        <f>+'Rate Class Customer Model'!I15+'City Expansion'!I66</f>
        <v>295.82025457231583</v>
      </c>
      <c r="J45" s="285">
        <f t="shared" si="5"/>
        <v>68528.684052257042</v>
      </c>
      <c r="K45" s="172"/>
    </row>
    <row r="46" spans="1:11" x14ac:dyDescent="0.3">
      <c r="A46" s="277" t="s">
        <v>230</v>
      </c>
      <c r="B46" s="251">
        <f>+'Rate Class Customer Model'!B16+'City Expansion'!B67</f>
        <v>51741.998652925271</v>
      </c>
      <c r="C46" s="251">
        <f>+'Rate Class Customer Model'!C16+'City Expansion'!C67</f>
        <v>4062.4930652948956</v>
      </c>
      <c r="D46" s="251">
        <f>+'Rate Class Customer Model'!D16+'City Expansion'!D67</f>
        <v>514.6</v>
      </c>
      <c r="E46" s="251">
        <f>+'Rate Class Customer Model'!E16+'City Expansion'!E67</f>
        <v>1</v>
      </c>
      <c r="F46" s="251">
        <f>+'Rate Class Customer Model'!F16+'City Expansion'!F67</f>
        <v>12</v>
      </c>
      <c r="G46" s="251">
        <f>+'Rate Class Customer Model'!G16+'City Expansion'!G67</f>
        <v>12960.023254578835</v>
      </c>
      <c r="H46" s="251">
        <f>+'Rate Class Customer Model'!H16+'City Expansion'!H67</f>
        <v>22.46752679842146</v>
      </c>
      <c r="I46" s="251">
        <f>+'Rate Class Customer Model'!I16+'City Expansion'!I67</f>
        <v>296.14085622751179</v>
      </c>
      <c r="J46" s="285">
        <f t="shared" si="5"/>
        <v>69610.723355824943</v>
      </c>
    </row>
    <row r="47" spans="1:11" x14ac:dyDescent="0.3">
      <c r="A47" s="277" t="s">
        <v>231</v>
      </c>
      <c r="B47" s="251">
        <f>+'Rate Class Customer Model'!B17+'City Expansion'!B68</f>
        <v>52518.137136473488</v>
      </c>
      <c r="C47" s="251">
        <f>+'Rate Class Customer Model'!C17+'City Expansion'!C68</f>
        <v>4123.3752815686439</v>
      </c>
      <c r="D47" s="251">
        <f>+'Rate Class Customer Model'!D17+'City Expansion'!D68</f>
        <v>522.29999999999995</v>
      </c>
      <c r="E47" s="251">
        <f>+'Rate Class Customer Model'!E17+'City Expansion'!E68</f>
        <v>1</v>
      </c>
      <c r="F47" s="251">
        <f>+'Rate Class Customer Model'!F17+'City Expansion'!F68</f>
        <v>12</v>
      </c>
      <c r="G47" s="251">
        <f>+'Rate Class Customer Model'!G17+'City Expansion'!G68</f>
        <v>13215.123929548703</v>
      </c>
      <c r="H47" s="251">
        <f>+'Rate Class Customer Model'!H17+'City Expansion'!H68</f>
        <v>21.738385280233285</v>
      </c>
      <c r="I47" s="251">
        <f>+'Rate Class Customer Model'!I17+'City Expansion'!I68</f>
        <v>296.46180534174658</v>
      </c>
      <c r="J47" s="285">
        <f t="shared" si="5"/>
        <v>70710.136538212828</v>
      </c>
    </row>
    <row r="48" spans="1:11" x14ac:dyDescent="0.3">
      <c r="A48" s="277" t="s">
        <v>232</v>
      </c>
      <c r="B48" s="251">
        <f>+'Rate Class Customer Model'!B18+'City Expansion'!B69</f>
        <v>53515.967929119157</v>
      </c>
      <c r="C48" s="251">
        <f>+'Rate Class Customer Model'!C18+'City Expansion'!C69</f>
        <v>4202.0159390564631</v>
      </c>
      <c r="D48" s="251">
        <f>+'Rate Class Customer Model'!D18+'City Expansion'!D69</f>
        <v>532</v>
      </c>
      <c r="E48" s="251">
        <f>+'Rate Class Customer Model'!E18+'City Expansion'!E69</f>
        <v>1</v>
      </c>
      <c r="F48" s="251">
        <f>+'Rate Class Customer Model'!F18+'City Expansion'!F69</f>
        <v>12</v>
      </c>
      <c r="G48" s="251">
        <f>+'Rate Class Customer Model'!G18+'City Expansion'!G69</f>
        <v>13466.045919148317</v>
      </c>
      <c r="H48" s="251">
        <f>+'Rate Class Customer Model'!H18+'City Expansion'!H69</f>
        <v>21.032906684907768</v>
      </c>
      <c r="I48" s="251">
        <f>+'Rate Class Customer Model'!I18+'City Expansion'!I69</f>
        <v>296.78310229158649</v>
      </c>
      <c r="J48" s="285">
        <f t="shared" si="5"/>
        <v>72046.845796300433</v>
      </c>
    </row>
    <row r="49" spans="1:10" ht="12.9" thickBot="1" x14ac:dyDescent="0.35">
      <c r="A49" s="278" t="s">
        <v>233</v>
      </c>
      <c r="B49" s="264">
        <f>+'Rate Class Customer Model'!B19+'City Expansion'!B70</f>
        <v>54533.01778843104</v>
      </c>
      <c r="C49" s="264">
        <f>+'Rate Class Customer Model'!C19+'City Expansion'!C70</f>
        <v>4282.0160346371858</v>
      </c>
      <c r="D49" s="264">
        <f>+'Rate Class Customer Model'!D19+'City Expansion'!D70</f>
        <v>542</v>
      </c>
      <c r="E49" s="264">
        <f>+'Rate Class Customer Model'!E19+'City Expansion'!E70</f>
        <v>1</v>
      </c>
      <c r="F49" s="264">
        <f>+'Rate Class Customer Model'!F19+'City Expansion'!F70</f>
        <v>12</v>
      </c>
      <c r="G49" s="264">
        <f>+'Rate Class Customer Model'!G19+'City Expansion'!G70</f>
        <v>13721.988061221264</v>
      </c>
      <c r="H49" s="264">
        <f>+'Rate Class Customer Model'!H19+'City Expansion'!H70</f>
        <v>20.350323076585497</v>
      </c>
      <c r="I49" s="264">
        <f>+'Rate Class Customer Model'!I19+'City Expansion'!I70</f>
        <v>297.10474745400597</v>
      </c>
      <c r="J49" s="286">
        <f t="shared" si="5"/>
        <v>73409.476954820086</v>
      </c>
    </row>
    <row r="50" spans="1:10" x14ac:dyDescent="0.3">
      <c r="B50" s="172"/>
      <c r="C50" s="172"/>
      <c r="D50" s="172"/>
      <c r="E50" s="172"/>
      <c r="F50" s="172"/>
      <c r="G50" s="172"/>
      <c r="H50" s="172"/>
      <c r="I50" s="172"/>
      <c r="J50" s="172"/>
    </row>
    <row r="51" spans="1:10" x14ac:dyDescent="0.3">
      <c r="A51" s="66" t="s">
        <v>246</v>
      </c>
      <c r="G51" s="172"/>
    </row>
    <row r="52" spans="1:10" ht="12.9" thickBot="1" x14ac:dyDescent="0.35"/>
    <row r="53" spans="1:10" ht="23.6" thickBot="1" x14ac:dyDescent="0.35">
      <c r="A53" s="256" t="s">
        <v>112</v>
      </c>
      <c r="B53" s="249" t="s">
        <v>71</v>
      </c>
      <c r="C53" s="249" t="s">
        <v>236</v>
      </c>
      <c r="D53" s="249" t="s">
        <v>235</v>
      </c>
      <c r="E53" s="249" t="s">
        <v>74</v>
      </c>
      <c r="F53" s="249" t="s">
        <v>237</v>
      </c>
      <c r="G53" s="249" t="s">
        <v>238</v>
      </c>
      <c r="H53" s="249" t="s">
        <v>239</v>
      </c>
      <c r="I53" s="249" t="s">
        <v>76</v>
      </c>
      <c r="J53" s="250" t="s">
        <v>9</v>
      </c>
    </row>
    <row r="54" spans="1:10" x14ac:dyDescent="0.3">
      <c r="A54" s="279" t="s">
        <v>240</v>
      </c>
      <c r="B54" s="280"/>
      <c r="C54" s="280"/>
      <c r="D54" s="280"/>
      <c r="E54" s="280"/>
      <c r="F54" s="280"/>
      <c r="G54" s="280"/>
      <c r="H54" s="280"/>
      <c r="I54" s="280"/>
      <c r="J54" s="281"/>
    </row>
    <row r="55" spans="1:10" x14ac:dyDescent="0.3">
      <c r="A55" s="282" t="s">
        <v>114</v>
      </c>
      <c r="B55" s="254">
        <v>487192399</v>
      </c>
      <c r="C55" s="254">
        <v>140097188</v>
      </c>
      <c r="D55" s="254">
        <v>358858375</v>
      </c>
      <c r="E55" s="254">
        <v>60139982</v>
      </c>
      <c r="F55" s="254">
        <v>80956601</v>
      </c>
      <c r="G55" s="254">
        <v>10072853</v>
      </c>
      <c r="H55" s="254">
        <v>40813</v>
      </c>
      <c r="I55" s="254">
        <v>3841944</v>
      </c>
      <c r="J55" s="261">
        <f>SUM(B55:I55)</f>
        <v>1141200155</v>
      </c>
    </row>
    <row r="56" spans="1:10" x14ac:dyDescent="0.3">
      <c r="A56" s="282" t="s">
        <v>227</v>
      </c>
      <c r="B56" s="254">
        <v>496447375</v>
      </c>
      <c r="C56" s="254">
        <v>132319612</v>
      </c>
      <c r="D56" s="254">
        <v>359363080</v>
      </c>
      <c r="E56" s="254">
        <v>33402763</v>
      </c>
      <c r="F56" s="254">
        <v>78175306</v>
      </c>
      <c r="G56" s="254">
        <v>11044796</v>
      </c>
      <c r="H56" s="254">
        <v>38567</v>
      </c>
      <c r="I56" s="254">
        <v>3208501</v>
      </c>
      <c r="J56" s="261">
        <f>SUM(B56:I56)</f>
        <v>1114000000</v>
      </c>
    </row>
    <row r="57" spans="1:10" x14ac:dyDescent="0.3">
      <c r="A57" s="276"/>
      <c r="B57" s="253"/>
      <c r="C57" s="283"/>
      <c r="D57" s="283"/>
      <c r="E57" s="283"/>
      <c r="F57" s="283"/>
      <c r="G57" s="283"/>
      <c r="H57" s="283"/>
      <c r="I57" s="283"/>
      <c r="J57" s="284"/>
    </row>
    <row r="58" spans="1:10" x14ac:dyDescent="0.3">
      <c r="A58" s="276">
        <v>2003</v>
      </c>
      <c r="B58" s="251">
        <f>+'Rate Class Energy Model'!H7</f>
        <v>457616904</v>
      </c>
      <c r="C58" s="251">
        <f>+'Rate Class Energy Model'!I7</f>
        <v>121224653</v>
      </c>
      <c r="D58" s="251">
        <f>+'Rate Class Energy Model'!J7</f>
        <v>281244125.5</v>
      </c>
      <c r="E58" s="251">
        <f>+'Rate Class Energy Model'!K7</f>
        <v>169257212.5</v>
      </c>
      <c r="F58" s="251">
        <f>+'Rate Class Energy Model'!L7</f>
        <v>96172091</v>
      </c>
      <c r="G58" s="251">
        <f>+'Rate Class Energy Model'!M7</f>
        <v>8359780.5</v>
      </c>
      <c r="H58" s="251">
        <f>+'Rate Class Energy Model'!N7</f>
        <v>45541</v>
      </c>
      <c r="I58" s="251">
        <f>+'Rate Class Energy Model'!O7</f>
        <v>2920000</v>
      </c>
      <c r="J58" s="285">
        <f t="shared" ref="J58:J68" si="6">SUM(B58:I58)</f>
        <v>1136840307.5</v>
      </c>
    </row>
    <row r="59" spans="1:10" ht="13.5" customHeight="1" x14ac:dyDescent="0.3">
      <c r="A59" s="277">
        <v>2004</v>
      </c>
      <c r="B59" s="251">
        <f>+'Rate Class Energy Model'!H8</f>
        <v>448138859</v>
      </c>
      <c r="C59" s="251">
        <f>+'Rate Class Energy Model'!I8</f>
        <v>129998490</v>
      </c>
      <c r="D59" s="251">
        <f>+'Rate Class Energy Model'!J8</f>
        <v>360631980</v>
      </c>
      <c r="E59" s="251">
        <f>+'Rate Class Energy Model'!K8</f>
        <v>112144196</v>
      </c>
      <c r="F59" s="251">
        <f>+'Rate Class Energy Model'!L8</f>
        <v>65676068</v>
      </c>
      <c r="G59" s="251">
        <f>+'Rate Class Energy Model'!M8</f>
        <v>8743099.0634733941</v>
      </c>
      <c r="H59" s="251">
        <f>+'Rate Class Energy Model'!N8</f>
        <v>27821</v>
      </c>
      <c r="I59" s="251">
        <f>+'Rate Class Energy Model'!O8</f>
        <v>2940000</v>
      </c>
      <c r="J59" s="285">
        <f t="shared" si="6"/>
        <v>1128300513.0634735</v>
      </c>
    </row>
    <row r="60" spans="1:10" x14ac:dyDescent="0.3">
      <c r="A60" s="276">
        <v>2005</v>
      </c>
      <c r="B60" s="251">
        <f>+'Rate Class Energy Model'!H9</f>
        <v>485961504</v>
      </c>
      <c r="C60" s="251">
        <f>+'Rate Class Energy Model'!I9</f>
        <v>135909028</v>
      </c>
      <c r="D60" s="251">
        <f>+'Rate Class Energy Model'!J9</f>
        <v>361962669</v>
      </c>
      <c r="E60" s="251">
        <f>+'Rate Class Energy Model'!K9</f>
        <v>62904833</v>
      </c>
      <c r="F60" s="251">
        <f>+'Rate Class Energy Model'!L9</f>
        <v>67016961</v>
      </c>
      <c r="G60" s="251">
        <f>+'Rate Class Energy Model'!M9</f>
        <v>9182978</v>
      </c>
      <c r="H60" s="251">
        <f>+'Rate Class Energy Model'!N9</f>
        <v>43197</v>
      </c>
      <c r="I60" s="251">
        <f>+'Rate Class Energy Model'!O9</f>
        <v>2950000</v>
      </c>
      <c r="J60" s="285">
        <f t="shared" si="6"/>
        <v>1125931170</v>
      </c>
    </row>
    <row r="61" spans="1:10" x14ac:dyDescent="0.3">
      <c r="A61" s="277">
        <v>2006</v>
      </c>
      <c r="B61" s="251">
        <f>+'Rate Class Energy Model'!H10</f>
        <v>466401366</v>
      </c>
      <c r="C61" s="251">
        <f>+'Rate Class Energy Model'!I10</f>
        <v>134155770</v>
      </c>
      <c r="D61" s="251">
        <f>+'Rate Class Energy Model'!J10</f>
        <v>357086593</v>
      </c>
      <c r="E61" s="251">
        <f>+'Rate Class Energy Model'!K10</f>
        <v>59654446</v>
      </c>
      <c r="F61" s="251">
        <f>+'Rate Class Energy Model'!L10</f>
        <v>80518764</v>
      </c>
      <c r="G61" s="251">
        <f>+'Rate Class Energy Model'!M10</f>
        <v>9398525</v>
      </c>
      <c r="H61" s="251">
        <f>+'Rate Class Energy Model'!N10</f>
        <v>42595</v>
      </c>
      <c r="I61" s="251">
        <f>+'Rate Class Energy Model'!O10</f>
        <v>3705188</v>
      </c>
      <c r="J61" s="285">
        <f t="shared" si="6"/>
        <v>1110963247</v>
      </c>
    </row>
    <row r="62" spans="1:10" x14ac:dyDescent="0.3">
      <c r="A62" s="276">
        <v>2007</v>
      </c>
      <c r="B62" s="251">
        <f>+'Rate Class Energy Model'!H11</f>
        <v>473023155</v>
      </c>
      <c r="C62" s="251">
        <f>+'Rate Class Energy Model'!I11</f>
        <v>132346004</v>
      </c>
      <c r="D62" s="251">
        <f>+'Rate Class Energy Model'!J11</f>
        <v>359144720</v>
      </c>
      <c r="E62" s="251">
        <f>+'Rate Class Energy Model'!K11</f>
        <v>61811846</v>
      </c>
      <c r="F62" s="251">
        <f>+'Rate Class Energy Model'!L11</f>
        <v>103869997</v>
      </c>
      <c r="G62" s="251">
        <f>+'Rate Class Energy Model'!M11</f>
        <v>9704521</v>
      </c>
      <c r="H62" s="251">
        <f>+'Rate Class Energy Model'!N11</f>
        <v>41408</v>
      </c>
      <c r="I62" s="251">
        <f>+'Rate Class Energy Model'!O11</f>
        <v>3818865</v>
      </c>
      <c r="J62" s="285">
        <f t="shared" si="6"/>
        <v>1143760516</v>
      </c>
    </row>
    <row r="63" spans="1:10" x14ac:dyDescent="0.3">
      <c r="A63" s="277">
        <v>2008</v>
      </c>
      <c r="B63" s="251">
        <f>+'Rate Class Energy Model'!H12</f>
        <v>470718851</v>
      </c>
      <c r="C63" s="251">
        <f>+'Rate Class Energy Model'!I12</f>
        <v>131868017</v>
      </c>
      <c r="D63" s="251">
        <f>+'Rate Class Energy Model'!J12</f>
        <v>352632150</v>
      </c>
      <c r="E63" s="251">
        <f>+'Rate Class Energy Model'!K12</f>
        <v>46461021</v>
      </c>
      <c r="F63" s="251">
        <f>+'Rate Class Energy Model'!L12</f>
        <v>102433272</v>
      </c>
      <c r="G63" s="251">
        <f>+'Rate Class Energy Model'!M12</f>
        <v>9725840</v>
      </c>
      <c r="H63" s="251">
        <f>+'Rate Class Energy Model'!N12</f>
        <v>39233</v>
      </c>
      <c r="I63" s="251">
        <f>+'Rate Class Energy Model'!O12</f>
        <v>3372873</v>
      </c>
      <c r="J63" s="285">
        <f t="shared" si="6"/>
        <v>1117251257</v>
      </c>
    </row>
    <row r="64" spans="1:10" x14ac:dyDescent="0.3">
      <c r="A64" s="276">
        <v>2009</v>
      </c>
      <c r="B64" s="251">
        <f>+'Rate Class Energy Model'!H13</f>
        <v>467977819</v>
      </c>
      <c r="C64" s="251">
        <f>+'Rate Class Energy Model'!I13</f>
        <v>128019505</v>
      </c>
      <c r="D64" s="251">
        <f>+'Rate Class Energy Model'!J13</f>
        <v>349784301</v>
      </c>
      <c r="E64" s="251">
        <f>+'Rate Class Energy Model'!K13</f>
        <v>36580289</v>
      </c>
      <c r="F64" s="251">
        <f>+'Rate Class Energy Model'!L13</f>
        <v>87237589</v>
      </c>
      <c r="G64" s="251">
        <f>+'Rate Class Energy Model'!M13</f>
        <v>10202758</v>
      </c>
      <c r="H64" s="251">
        <f>+'Rate Class Energy Model'!N13</f>
        <v>36792</v>
      </c>
      <c r="I64" s="251">
        <f>+'Rate Class Energy Model'!O13</f>
        <v>2825455</v>
      </c>
      <c r="J64" s="285">
        <f t="shared" si="6"/>
        <v>1082664508</v>
      </c>
    </row>
    <row r="65" spans="1:10" x14ac:dyDescent="0.3">
      <c r="A65" s="277">
        <v>2010</v>
      </c>
      <c r="B65" s="251">
        <f>+'Rate Class Energy Model'!H14</f>
        <v>476941035</v>
      </c>
      <c r="C65" s="251">
        <f>+'Rate Class Energy Model'!I14</f>
        <v>131282103</v>
      </c>
      <c r="D65" s="251">
        <f>+'Rate Class Energy Model'!J14</f>
        <v>355234224</v>
      </c>
      <c r="E65" s="251">
        <f>+'Rate Class Energy Model'!K14</f>
        <v>33402763</v>
      </c>
      <c r="F65" s="251">
        <f>+'Rate Class Energy Model'!L14</f>
        <v>80783141</v>
      </c>
      <c r="G65" s="251">
        <f>+'Rate Class Energy Model'!M14</f>
        <v>10427904</v>
      </c>
      <c r="H65" s="251">
        <f>+'Rate Class Energy Model'!N14</f>
        <v>35812</v>
      </c>
      <c r="I65" s="251">
        <f>+'Rate Class Energy Model'!O14</f>
        <v>2831501</v>
      </c>
      <c r="J65" s="285">
        <f t="shared" si="6"/>
        <v>1090938483</v>
      </c>
    </row>
    <row r="66" spans="1:10" x14ac:dyDescent="0.3">
      <c r="A66" s="277">
        <v>2011</v>
      </c>
      <c r="B66" s="251">
        <f>+'Rate Class Energy Model'!H15</f>
        <v>484582022</v>
      </c>
      <c r="C66" s="251">
        <f>+'Rate Class Energy Model'!I15</f>
        <v>135695878</v>
      </c>
      <c r="D66" s="251">
        <f>+'Rate Class Energy Model'!J15</f>
        <v>359534375</v>
      </c>
      <c r="E66" s="251">
        <f>+'Rate Class Energy Model'!K15</f>
        <v>37740699</v>
      </c>
      <c r="F66" s="251">
        <f>+'Rate Class Energy Model'!L15</f>
        <v>79908016</v>
      </c>
      <c r="G66" s="251">
        <f>+'Rate Class Energy Model'!M15</f>
        <v>10253017</v>
      </c>
      <c r="H66" s="251">
        <f>+'Rate Class Energy Model'!N15</f>
        <v>35812</v>
      </c>
      <c r="I66" s="251">
        <f>+'Rate Class Energy Model'!O15</f>
        <v>2769028</v>
      </c>
      <c r="J66" s="285">
        <f t="shared" si="6"/>
        <v>1110518847</v>
      </c>
    </row>
    <row r="67" spans="1:10" x14ac:dyDescent="0.3">
      <c r="A67" s="277">
        <v>2012</v>
      </c>
      <c r="B67" s="251">
        <f>+'Rate Class Energy Model'!H16</f>
        <v>473288468</v>
      </c>
      <c r="C67" s="251">
        <f>+'Rate Class Energy Model'!I16</f>
        <v>131590801</v>
      </c>
      <c r="D67" s="251">
        <f>+'Rate Class Energy Model'!J16</f>
        <v>338342507</v>
      </c>
      <c r="E67" s="251">
        <f>+'Rate Class Energy Model'!K16</f>
        <v>40812737</v>
      </c>
      <c r="F67" s="251">
        <f>+'Rate Class Energy Model'!L16</f>
        <v>76828137</v>
      </c>
      <c r="G67" s="251">
        <f>+'Rate Class Energy Model'!M16</f>
        <v>10139708</v>
      </c>
      <c r="H67" s="251">
        <f>+'Rate Class Energy Model'!N16</f>
        <v>35812</v>
      </c>
      <c r="I67" s="251">
        <f>+'Rate Class Energy Model'!O16</f>
        <v>2745701</v>
      </c>
      <c r="J67" s="285">
        <f t="shared" si="6"/>
        <v>1073783871</v>
      </c>
    </row>
    <row r="68" spans="1:10" x14ac:dyDescent="0.3">
      <c r="A68" s="277">
        <v>2013</v>
      </c>
      <c r="B68" s="251">
        <f>+'Rate Class Energy Model'!H17</f>
        <v>475282449</v>
      </c>
      <c r="C68" s="251">
        <f>+'Rate Class Energy Model'!I17</f>
        <v>132382128</v>
      </c>
      <c r="D68" s="251">
        <f>+'Rate Class Energy Model'!J17</f>
        <v>337123668</v>
      </c>
      <c r="E68" s="251">
        <f>+'Rate Class Energy Model'!K17</f>
        <v>42326219</v>
      </c>
      <c r="F68" s="251">
        <f>+'Rate Class Energy Model'!L17</f>
        <v>79176233</v>
      </c>
      <c r="G68" s="251">
        <f>+'Rate Class Energy Model'!M17</f>
        <v>9082284</v>
      </c>
      <c r="H68" s="251">
        <f>+'Rate Class Energy Model'!N17</f>
        <v>35812</v>
      </c>
      <c r="I68" s="251">
        <f>+'Rate Class Energy Model'!O17</f>
        <v>2752416</v>
      </c>
      <c r="J68" s="285">
        <f t="shared" si="6"/>
        <v>1078161209</v>
      </c>
    </row>
    <row r="69" spans="1:10" x14ac:dyDescent="0.3">
      <c r="A69" s="277" t="s">
        <v>295</v>
      </c>
      <c r="B69" s="251">
        <f>+'Rate Class Energy Model'!H18</f>
        <v>485503507</v>
      </c>
      <c r="C69" s="251">
        <f>+'Rate Class Energy Model'!I18</f>
        <v>133729082</v>
      </c>
      <c r="D69" s="251">
        <f>+'Rate Class Energy Model'!J18</f>
        <v>336406114</v>
      </c>
      <c r="E69" s="251">
        <f>+'Rate Class Energy Model'!K18</f>
        <v>42700435</v>
      </c>
      <c r="F69" s="251">
        <f>+'Rate Class Energy Model'!L18</f>
        <v>81400346</v>
      </c>
      <c r="G69" s="251">
        <f>+LED!E5</f>
        <v>9155875</v>
      </c>
      <c r="H69" s="251">
        <f>+'Rate Class Energy Model'!N18</f>
        <v>35812</v>
      </c>
      <c r="I69" s="251">
        <f>+'Rate Class Energy Model'!O18</f>
        <v>2711219</v>
      </c>
      <c r="J69" s="285">
        <f t="shared" ref="J69" si="7">SUM(B69:I69)</f>
        <v>1091642390</v>
      </c>
    </row>
    <row r="70" spans="1:10" x14ac:dyDescent="0.3">
      <c r="A70" s="277" t="s">
        <v>229</v>
      </c>
      <c r="B70" s="407">
        <f ca="1">+'Rate Class Energy Model'!H19+'City Expansion'!B93-'Rate Class Energy Model'!H94</f>
        <v>488310441.84458584</v>
      </c>
      <c r="C70" s="407">
        <f ca="1">+'Rate Class Energy Model'!I19+'City Expansion'!C93-'Rate Class Energy Model'!I94</f>
        <v>134064266.11914393</v>
      </c>
      <c r="D70" s="407">
        <f ca="1">+'Rate Class Energy Model'!J19+'City Expansion'!D93-'Rate Class Energy Model'!J94</f>
        <v>337307808.8671304</v>
      </c>
      <c r="E70" s="407">
        <f ca="1">+'Rate Class Energy Model'!K19+'City Expansion'!E93-'Rate Class Energy Model'!K94</f>
        <v>42639586.096446052</v>
      </c>
      <c r="F70" s="407">
        <f ca="1">+'Rate Class Energy Model'!L19+'City Expansion'!F93-'Rate Class Energy Model'!L94</f>
        <v>88420452.222880453</v>
      </c>
      <c r="G70" s="407">
        <f>+LED!E6</f>
        <v>8578851.707184026</v>
      </c>
      <c r="H70" s="407">
        <f ca="1">+'Rate Class Energy Model'!N19+'City Expansion'!H93-'Rate Class Energy Model'!N94</f>
        <v>34297.182591568067</v>
      </c>
      <c r="I70" s="407">
        <f ca="1">+'Rate Class Energy Model'!O19+'City Expansion'!I93-'Rate Class Energy Model'!O94</f>
        <v>2686537.3140891874</v>
      </c>
      <c r="J70" s="401">
        <f t="shared" ref="J70:J74" ca="1" si="8">SUM(B70:I70)</f>
        <v>1102042241.3540516</v>
      </c>
    </row>
    <row r="71" spans="1:10" x14ac:dyDescent="0.3">
      <c r="A71" s="277" t="s">
        <v>230</v>
      </c>
      <c r="B71" s="407">
        <f ca="1">+'Rate Class Energy Model'!H20+'City Expansion'!B94-'Rate Class Energy Model'!H95</f>
        <v>491380160.90018409</v>
      </c>
      <c r="C71" s="407">
        <f ca="1">+'Rate Class Energy Model'!I20+'City Expansion'!C94-'Rate Class Energy Model'!I95</f>
        <v>134854491.64774501</v>
      </c>
      <c r="D71" s="407">
        <f ca="1">+'Rate Class Energy Model'!J20+'City Expansion'!D94-'Rate Class Energy Model'!J95</f>
        <v>340651147.74867117</v>
      </c>
      <c r="E71" s="407">
        <f ca="1">+'Rate Class Energy Model'!K20+'City Expansion'!E94-'Rate Class Energy Model'!K95</f>
        <v>42660606.445226006</v>
      </c>
      <c r="F71" s="407">
        <f ca="1">+'Rate Class Energy Model'!L20+'City Expansion'!F94-'Rate Class Energy Model'!L95</f>
        <v>88120101.619900286</v>
      </c>
      <c r="G71" s="407">
        <f>+LED!E7</f>
        <v>5237833.7421617098</v>
      </c>
      <c r="H71" s="407">
        <f ca="1">+'Rate Class Energy Model'!N20+'City Expansion'!H94-'Rate Class Energy Model'!N95</f>
        <v>32909.529916775595</v>
      </c>
      <c r="I71" s="407">
        <f ca="1">+'Rate Class Energy Model'!O20+'City Expansion'!I94-'Rate Class Energy Model'!O95</f>
        <v>2667193.4637021297</v>
      </c>
      <c r="J71" s="401">
        <f t="shared" ca="1" si="8"/>
        <v>1105604445.0975072</v>
      </c>
    </row>
    <row r="72" spans="1:10" x14ac:dyDescent="0.3">
      <c r="A72" s="277" t="s">
        <v>231</v>
      </c>
      <c r="B72" s="407">
        <f ca="1">+'Rate Class Energy Model'!H21+'City Expansion'!B95-'Rate Class Energy Model'!H96</f>
        <v>492297000.53160763</v>
      </c>
      <c r="C72" s="407">
        <f ca="1">+'Rate Class Energy Model'!I21+'City Expansion'!C95-'Rate Class Energy Model'!I96</f>
        <v>135063742.04659477</v>
      </c>
      <c r="D72" s="407">
        <f ca="1">+'Rate Class Energy Model'!J21+'City Expansion'!D95-'Rate Class Energy Model'!J96</f>
        <v>342688526.37423319</v>
      </c>
      <c r="E72" s="407">
        <f ca="1">+'Rate Class Energy Model'!K21+'City Expansion'!E95-'Rate Class Energy Model'!K96</f>
        <v>42752494.396360196</v>
      </c>
      <c r="F72" s="407">
        <f ca="1">+'Rate Class Energy Model'!L21+'City Expansion'!F95-'Rate Class Energy Model'!L96</f>
        <v>87493646.788693547</v>
      </c>
      <c r="G72" s="407">
        <f>+LED!E8</f>
        <v>4853625.207928787</v>
      </c>
      <c r="H72" s="407">
        <f ca="1">+'Rate Class Energy Model'!N21+'City Expansion'!H95-'Rate Class Energy Model'!N96</f>
        <v>31630.444959402575</v>
      </c>
      <c r="I72" s="407">
        <f ca="1">+'Rate Class Energy Model'!O21+'City Expansion'!I95-'Rate Class Energy Model'!O96</f>
        <v>2652384.9112346303</v>
      </c>
      <c r="J72" s="401">
        <f t="shared" ca="1" si="8"/>
        <v>1107833050.7016122</v>
      </c>
    </row>
    <row r="73" spans="1:10" x14ac:dyDescent="0.3">
      <c r="A73" s="277" t="s">
        <v>232</v>
      </c>
      <c r="B73" s="407">
        <f ca="1">+'Rate Class Energy Model'!H22+'City Expansion'!B96-'Rate Class Energy Model'!H97</f>
        <v>493730171.21752775</v>
      </c>
      <c r="C73" s="407">
        <f ca="1">+'Rate Class Energy Model'!I22+'City Expansion'!C96-'Rate Class Energy Model'!I97</f>
        <v>135448704.96557888</v>
      </c>
      <c r="D73" s="407">
        <f ca="1">+'Rate Class Energy Model'!J22+'City Expansion'!D96-'Rate Class Energy Model'!J97</f>
        <v>345067783.67905658</v>
      </c>
      <c r="E73" s="407">
        <f ca="1">+'Rate Class Energy Model'!K22+'City Expansion'!E96-'Rate Class Energy Model'!K97</f>
        <v>42718996.835031144</v>
      </c>
      <c r="F73" s="407">
        <f ca="1">+'Rate Class Energy Model'!L22+'City Expansion'!F96-'Rate Class Energy Model'!L97</f>
        <v>86629348.525226727</v>
      </c>
      <c r="G73" s="407">
        <f>+LED!E9</f>
        <v>4945783.3519187327</v>
      </c>
      <c r="H73" s="407">
        <f ca="1">+'Rate Class Energy Model'!N22+'City Expansion'!H96-'Rate Class Energy Model'!N97</f>
        <v>30311.964036453326</v>
      </c>
      <c r="I73" s="407">
        <f ca="1">+'Rate Class Energy Model'!O22+'City Expansion'!I96-'Rate Class Energy Model'!O97</f>
        <v>2629927.232790201</v>
      </c>
      <c r="J73" s="401">
        <f t="shared" ca="1" si="8"/>
        <v>1111201027.7711666</v>
      </c>
    </row>
    <row r="74" spans="1:10" ht="12.9" thickBot="1" x14ac:dyDescent="0.35">
      <c r="A74" s="278" t="s">
        <v>233</v>
      </c>
      <c r="B74" s="408">
        <f ca="1">+'Rate Class Energy Model'!H23+'City Expansion'!B97-'Rate Class Energy Model'!H98</f>
        <v>495549475.53843433</v>
      </c>
      <c r="C74" s="408">
        <f ca="1">+'Rate Class Energy Model'!I23+'City Expansion'!C97-'Rate Class Energy Model'!I98</f>
        <v>135967584.36597273</v>
      </c>
      <c r="D74" s="408">
        <f ca="1">+'Rate Class Energy Model'!J23+'City Expansion'!D97-'Rate Class Energy Model'!J98</f>
        <v>347872365.19595963</v>
      </c>
      <c r="E74" s="408">
        <f ca="1">+'Rate Class Energy Model'!K23+'City Expansion'!E97-'Rate Class Energy Model'!K98</f>
        <v>42532142.041214556</v>
      </c>
      <c r="F74" s="408">
        <f ca="1">+'Rate Class Energy Model'!L23+'City Expansion'!F97-'Rate Class Energy Model'!L98</f>
        <v>85803231.019400969</v>
      </c>
      <c r="G74" s="408">
        <f>+LED!E10</f>
        <v>5039785.2878187746</v>
      </c>
      <c r="H74" s="408">
        <f ca="1">+'Rate Class Energy Model'!N23+'City Expansion'!H97-'Rate Class Energy Model'!N98</f>
        <v>28944.061722496452</v>
      </c>
      <c r="I74" s="408">
        <f ca="1">+'Rate Class Energy Model'!O23+'City Expansion'!I97-'Rate Class Energy Model'!O98</f>
        <v>2598289.5028448366</v>
      </c>
      <c r="J74" s="402">
        <f t="shared" ca="1" si="8"/>
        <v>1115391817.0133681</v>
      </c>
    </row>
    <row r="75" spans="1:10" x14ac:dyDescent="0.3">
      <c r="B75" s="429"/>
      <c r="C75" s="429"/>
      <c r="D75" s="429"/>
      <c r="E75" s="429"/>
      <c r="F75" s="429"/>
      <c r="G75" s="429"/>
      <c r="H75" s="429"/>
      <c r="I75" s="429"/>
      <c r="J75" s="429"/>
    </row>
    <row r="76" spans="1:10" x14ac:dyDescent="0.3">
      <c r="A76" s="66" t="s">
        <v>247</v>
      </c>
    </row>
    <row r="77" spans="1:10" ht="12.9" thickBot="1" x14ac:dyDescent="0.35"/>
    <row r="78" spans="1:10" ht="23.6" thickBot="1" x14ac:dyDescent="0.35">
      <c r="A78" s="256" t="s">
        <v>112</v>
      </c>
      <c r="B78" s="249" t="s">
        <v>71</v>
      </c>
      <c r="C78" s="249" t="s">
        <v>236</v>
      </c>
      <c r="D78" s="249" t="s">
        <v>235</v>
      </c>
      <c r="E78" s="249" t="s">
        <v>74</v>
      </c>
      <c r="F78" s="249" t="s">
        <v>237</v>
      </c>
      <c r="G78" s="249" t="s">
        <v>238</v>
      </c>
      <c r="H78" s="249" t="s">
        <v>239</v>
      </c>
      <c r="I78" s="249" t="s">
        <v>76</v>
      </c>
      <c r="J78" s="250" t="s">
        <v>9</v>
      </c>
    </row>
    <row r="79" spans="1:10" x14ac:dyDescent="0.3">
      <c r="A79" s="279" t="s">
        <v>257</v>
      </c>
      <c r="B79" s="280"/>
      <c r="C79" s="280"/>
      <c r="D79" s="280"/>
      <c r="E79" s="280"/>
      <c r="F79" s="280"/>
      <c r="G79" s="280"/>
      <c r="H79" s="280"/>
      <c r="I79" s="280"/>
      <c r="J79" s="281"/>
    </row>
    <row r="80" spans="1:10" x14ac:dyDescent="0.3">
      <c r="A80" s="282" t="s">
        <v>114</v>
      </c>
      <c r="B80" s="254">
        <f>+B55/B30</f>
        <v>10312.478017907415</v>
      </c>
      <c r="C80" s="254">
        <f t="shared" ref="C80:J80" si="9">+C55/C30</f>
        <v>36436.199739921976</v>
      </c>
      <c r="D80" s="254">
        <f t="shared" si="9"/>
        <v>687468.15134099615</v>
      </c>
      <c r="E80" s="254">
        <f t="shared" si="9"/>
        <v>30069991</v>
      </c>
      <c r="F80" s="254">
        <f t="shared" si="9"/>
        <v>8995177.8888888881</v>
      </c>
      <c r="G80" s="254">
        <f t="shared" si="9"/>
        <v>864.62257510729614</v>
      </c>
      <c r="H80" s="254">
        <f t="shared" si="9"/>
        <v>530.03896103896102</v>
      </c>
      <c r="I80" s="254">
        <f t="shared" si="9"/>
        <v>12596.537704918033</v>
      </c>
      <c r="J80" s="261">
        <f t="shared" si="9"/>
        <v>17928.45828162066</v>
      </c>
    </row>
    <row r="81" spans="1:10" x14ac:dyDescent="0.3">
      <c r="A81" s="282" t="s">
        <v>227</v>
      </c>
      <c r="B81" s="254">
        <f t="shared" ref="B81:J81" si="10">+B56/B31</f>
        <v>9944.9139784448562</v>
      </c>
      <c r="C81" s="254">
        <f t="shared" si="10"/>
        <v>33405.607674829589</v>
      </c>
      <c r="D81" s="254">
        <f t="shared" si="10"/>
        <v>693751.11969111965</v>
      </c>
      <c r="E81" s="254">
        <f t="shared" si="10"/>
        <v>33402763</v>
      </c>
      <c r="F81" s="254">
        <f t="shared" si="10"/>
        <v>7817530.5999999996</v>
      </c>
      <c r="G81" s="254">
        <f t="shared" si="10"/>
        <v>865.45077050694306</v>
      </c>
      <c r="H81" s="254">
        <f t="shared" si="10"/>
        <v>1728.868207968671</v>
      </c>
      <c r="I81" s="254">
        <f t="shared" si="10"/>
        <v>10248.202720726738</v>
      </c>
      <c r="J81" s="261">
        <f t="shared" si="10"/>
        <v>16501.989395957142</v>
      </c>
    </row>
    <row r="82" spans="1:10" x14ac:dyDescent="0.3">
      <c r="A82" s="276"/>
      <c r="B82" s="253"/>
      <c r="C82" s="283"/>
      <c r="D82" s="283"/>
      <c r="E82" s="283"/>
      <c r="F82" s="283"/>
      <c r="G82" s="283"/>
      <c r="H82" s="283"/>
      <c r="I82" s="283"/>
      <c r="J82" s="284"/>
    </row>
    <row r="83" spans="1:10" x14ac:dyDescent="0.3">
      <c r="A83" s="276">
        <v>2003</v>
      </c>
      <c r="B83" s="251">
        <f>+B58/B33</f>
        <v>10563.762370295133</v>
      </c>
      <c r="C83" s="251">
        <f t="shared" ref="C83:I83" si="11">+C58/C33</f>
        <v>32861.114936297097</v>
      </c>
      <c r="D83" s="251">
        <f t="shared" si="11"/>
        <v>503120.08139534883</v>
      </c>
      <c r="E83" s="251">
        <f t="shared" si="11"/>
        <v>67702885</v>
      </c>
      <c r="F83" s="251">
        <f t="shared" si="11"/>
        <v>19234418.199999999</v>
      </c>
      <c r="G83" s="251">
        <f t="shared" si="11"/>
        <v>831.07470921562776</v>
      </c>
      <c r="H83" s="251">
        <f t="shared" si="11"/>
        <v>1320.0289855072465</v>
      </c>
      <c r="I83" s="251">
        <f t="shared" si="11"/>
        <v>10000</v>
      </c>
      <c r="J83" s="285">
        <f t="shared" ref="J83" si="12">+J58/J33</f>
        <v>19614.052803202179</v>
      </c>
    </row>
    <row r="84" spans="1:10" x14ac:dyDescent="0.3">
      <c r="A84" s="277">
        <v>2004</v>
      </c>
      <c r="B84" s="251">
        <f t="shared" ref="B84:B99" si="13">+B59/B34</f>
        <v>10189.721552086768</v>
      </c>
      <c r="C84" s="251">
        <f t="shared" ref="C84:J84" si="14">+C59/C34</f>
        <v>35846.819247208055</v>
      </c>
      <c r="D84" s="251">
        <f t="shared" si="14"/>
        <v>680437.69811320759</v>
      </c>
      <c r="E84" s="251">
        <f t="shared" si="14"/>
        <v>44857678.399999999</v>
      </c>
      <c r="F84" s="251">
        <f t="shared" si="14"/>
        <v>10946011.333333334</v>
      </c>
      <c r="G84" s="251">
        <f t="shared" si="14"/>
        <v>851.98782532385439</v>
      </c>
      <c r="H84" s="251">
        <f t="shared" si="14"/>
        <v>927.36666666666667</v>
      </c>
      <c r="I84" s="251">
        <f t="shared" si="14"/>
        <v>10000</v>
      </c>
      <c r="J84" s="285">
        <f t="shared" si="14"/>
        <v>19211.491696196583</v>
      </c>
    </row>
    <row r="85" spans="1:10" x14ac:dyDescent="0.3">
      <c r="A85" s="276">
        <v>2005</v>
      </c>
      <c r="B85" s="251">
        <f t="shared" si="13"/>
        <v>10896.364317185555</v>
      </c>
      <c r="C85" s="251">
        <f t="shared" ref="C85:J85" si="15">+C60/C35</f>
        <v>37113.333697433096</v>
      </c>
      <c r="D85" s="251">
        <f t="shared" si="15"/>
        <v>694079.90220517735</v>
      </c>
      <c r="E85" s="251">
        <f t="shared" si="15"/>
        <v>31452416.5</v>
      </c>
      <c r="F85" s="251">
        <f t="shared" si="15"/>
        <v>8935594.8000000007</v>
      </c>
      <c r="G85" s="251">
        <f t="shared" si="15"/>
        <v>874.69428966042767</v>
      </c>
      <c r="H85" s="251">
        <f t="shared" si="15"/>
        <v>1464.3050847457628</v>
      </c>
      <c r="I85" s="251">
        <f t="shared" si="15"/>
        <v>10000</v>
      </c>
      <c r="J85" s="285">
        <f t="shared" si="15"/>
        <v>18886.867624487331</v>
      </c>
    </row>
    <row r="86" spans="1:10" x14ac:dyDescent="0.3">
      <c r="A86" s="277">
        <v>2006</v>
      </c>
      <c r="B86" s="251">
        <f t="shared" si="13"/>
        <v>10264.340456436101</v>
      </c>
      <c r="C86" s="251">
        <f t="shared" ref="C86:J86" si="16">+C61/C36</f>
        <v>35865.731854030208</v>
      </c>
      <c r="D86" s="251">
        <f t="shared" si="16"/>
        <v>680164.939047619</v>
      </c>
      <c r="E86" s="251">
        <f t="shared" si="16"/>
        <v>29827223</v>
      </c>
      <c r="F86" s="251">
        <f t="shared" si="16"/>
        <v>9472795.7647058815</v>
      </c>
      <c r="G86" s="251">
        <f t="shared" si="16"/>
        <v>867.7430523497369</v>
      </c>
      <c r="H86" s="251">
        <f t="shared" si="16"/>
        <v>1494.5614035087719</v>
      </c>
      <c r="I86" s="251">
        <f t="shared" si="16"/>
        <v>12433.51677852349</v>
      </c>
      <c r="J86" s="285">
        <f t="shared" si="16"/>
        <v>18250.65911536408</v>
      </c>
    </row>
    <row r="87" spans="1:10" x14ac:dyDescent="0.3">
      <c r="A87" s="276">
        <v>2007</v>
      </c>
      <c r="B87" s="251">
        <f t="shared" si="13"/>
        <v>10212.071567357512</v>
      </c>
      <c r="C87" s="251">
        <f t="shared" ref="C87:J87" si="17">+C62/C37</f>
        <v>35301.681515070683</v>
      </c>
      <c r="D87" s="251">
        <f t="shared" si="17"/>
        <v>686701.18546845124</v>
      </c>
      <c r="E87" s="251">
        <f t="shared" si="17"/>
        <v>30905923</v>
      </c>
      <c r="F87" s="251">
        <f t="shared" si="17"/>
        <v>11541110.777777778</v>
      </c>
      <c r="G87" s="251">
        <f t="shared" si="17"/>
        <v>860.29174238730548</v>
      </c>
      <c r="H87" s="251">
        <f t="shared" si="17"/>
        <v>1562.566037735849</v>
      </c>
      <c r="I87" s="251">
        <f t="shared" si="17"/>
        <v>12687.259136212624</v>
      </c>
      <c r="J87" s="285">
        <f t="shared" si="17"/>
        <v>18385.181334490684</v>
      </c>
    </row>
    <row r="88" spans="1:10" x14ac:dyDescent="0.3">
      <c r="A88" s="277">
        <v>2008</v>
      </c>
      <c r="B88" s="251">
        <f t="shared" si="13"/>
        <v>10003.056919725866</v>
      </c>
      <c r="C88" s="251">
        <f t="shared" ref="C88:J88" si="18">+C63/C38</f>
        <v>34761.570317648606</v>
      </c>
      <c r="D88" s="251">
        <f t="shared" si="18"/>
        <v>660978.72539831302</v>
      </c>
      <c r="E88" s="251">
        <f t="shared" si="18"/>
        <v>18584408.399999999</v>
      </c>
      <c r="F88" s="251">
        <f t="shared" si="18"/>
        <v>11381474.666666666</v>
      </c>
      <c r="G88" s="251">
        <f t="shared" si="18"/>
        <v>836.88336273286586</v>
      </c>
      <c r="H88" s="251">
        <f t="shared" si="18"/>
        <v>1508.9615384615386</v>
      </c>
      <c r="I88" s="251">
        <f t="shared" si="18"/>
        <v>11205.558139534884</v>
      </c>
      <c r="J88" s="285">
        <f t="shared" si="18"/>
        <v>17637.699516137945</v>
      </c>
    </row>
    <row r="89" spans="1:10" x14ac:dyDescent="0.3">
      <c r="A89" s="276">
        <v>2009</v>
      </c>
      <c r="B89" s="251">
        <f t="shared" si="13"/>
        <v>9830.9504542828636</v>
      </c>
      <c r="C89" s="251">
        <f t="shared" ref="C89:J89" si="19">+C64/C39</f>
        <v>33169.97149889882</v>
      </c>
      <c r="D89" s="251">
        <f t="shared" si="19"/>
        <v>666255.81142857147</v>
      </c>
      <c r="E89" s="251">
        <f t="shared" si="19"/>
        <v>18290144.5</v>
      </c>
      <c r="F89" s="251">
        <f t="shared" si="19"/>
        <v>9182904.1052631587</v>
      </c>
      <c r="G89" s="251">
        <f t="shared" si="19"/>
        <v>864.56724006440129</v>
      </c>
      <c r="H89" s="251">
        <f t="shared" si="19"/>
        <v>1415.0769230769231</v>
      </c>
      <c r="I89" s="251">
        <f t="shared" si="19"/>
        <v>9340.3471074380159</v>
      </c>
      <c r="J89" s="285">
        <f t="shared" si="19"/>
        <v>16882.867203093814</v>
      </c>
    </row>
    <row r="90" spans="1:10" x14ac:dyDescent="0.3">
      <c r="A90" s="277">
        <v>2010</v>
      </c>
      <c r="B90" s="251">
        <f t="shared" si="13"/>
        <v>9912.6258196593535</v>
      </c>
      <c r="C90" s="251">
        <f t="shared" ref="C90:J90" si="20">+C65/C40</f>
        <v>33413.617459913461</v>
      </c>
      <c r="D90" s="251">
        <f t="shared" si="20"/>
        <v>693139.94926829264</v>
      </c>
      <c r="E90" s="251">
        <f t="shared" si="20"/>
        <v>33402763</v>
      </c>
      <c r="F90" s="251">
        <f t="shared" si="20"/>
        <v>8078314.0999999996</v>
      </c>
      <c r="G90" s="251">
        <f t="shared" si="20"/>
        <v>869.31799424784299</v>
      </c>
      <c r="H90" s="251">
        <f t="shared" si="20"/>
        <v>1432.48</v>
      </c>
      <c r="I90" s="251">
        <f t="shared" si="20"/>
        <v>9238.1761827079936</v>
      </c>
      <c r="J90" s="285">
        <f t="shared" si="20"/>
        <v>16811.083967701175</v>
      </c>
    </row>
    <row r="91" spans="1:10" x14ac:dyDescent="0.3">
      <c r="A91" s="277">
        <v>2011</v>
      </c>
      <c r="B91" s="251">
        <f t="shared" si="13"/>
        <v>9960.4736230871222</v>
      </c>
      <c r="C91" s="251">
        <f t="shared" ref="C91:J91" si="21">+C66/C41</f>
        <v>34896.715442972869</v>
      </c>
      <c r="D91" s="251">
        <f t="shared" si="21"/>
        <v>690748.07877041306</v>
      </c>
      <c r="E91" s="251">
        <f t="shared" si="21"/>
        <v>37740699</v>
      </c>
      <c r="F91" s="251">
        <f t="shared" si="21"/>
        <v>7990801.5999999996</v>
      </c>
      <c r="G91" s="251">
        <f t="shared" si="21"/>
        <v>845.43533292104723</v>
      </c>
      <c r="H91" s="251">
        <f t="shared" si="21"/>
        <v>1492.1666666666667</v>
      </c>
      <c r="I91" s="251">
        <f t="shared" si="21"/>
        <v>9153.8115702479336</v>
      </c>
      <c r="J91" s="285">
        <f t="shared" si="21"/>
        <v>16948.146830574824</v>
      </c>
    </row>
    <row r="92" spans="1:10" x14ac:dyDescent="0.3">
      <c r="A92" s="277">
        <v>2012</v>
      </c>
      <c r="B92" s="251">
        <f t="shared" si="13"/>
        <v>9654.8105505803633</v>
      </c>
      <c r="C92" s="251">
        <f t="shared" ref="C92:J92" si="22">+C67/C42</f>
        <v>34174.990520711595</v>
      </c>
      <c r="D92" s="251">
        <f t="shared" si="22"/>
        <v>661471.17693059624</v>
      </c>
      <c r="E92" s="251">
        <f t="shared" si="22"/>
        <v>40812737</v>
      </c>
      <c r="F92" s="251">
        <f t="shared" si="22"/>
        <v>7316965.4285714282</v>
      </c>
      <c r="G92" s="251">
        <f t="shared" si="22"/>
        <v>830.23892573487262</v>
      </c>
      <c r="H92" s="251">
        <f t="shared" si="22"/>
        <v>1492.1666666666667</v>
      </c>
      <c r="I92" s="251">
        <f t="shared" si="22"/>
        <v>9291.7123519458546</v>
      </c>
      <c r="J92" s="285">
        <f t="shared" si="22"/>
        <v>16287.46751710225</v>
      </c>
    </row>
    <row r="93" spans="1:10" x14ac:dyDescent="0.3">
      <c r="A93" s="277">
        <v>2013</v>
      </c>
      <c r="B93" s="251">
        <f t="shared" si="13"/>
        <v>9598.5630705226595</v>
      </c>
      <c r="C93" s="251">
        <f t="shared" ref="C93:J94" si="23">+C68/C43</f>
        <v>33905.014214368035</v>
      </c>
      <c r="D93" s="251">
        <f t="shared" si="23"/>
        <v>674247.33600000001</v>
      </c>
      <c r="E93" s="251">
        <f t="shared" si="23"/>
        <v>42326219</v>
      </c>
      <c r="F93" s="251">
        <f t="shared" si="23"/>
        <v>7197839.3636363633</v>
      </c>
      <c r="G93" s="251">
        <f t="shared" si="23"/>
        <v>736.45116561929865</v>
      </c>
      <c r="H93" s="251">
        <f t="shared" si="23"/>
        <v>1492.1666666666667</v>
      </c>
      <c r="I93" s="251">
        <f t="shared" si="23"/>
        <v>9330.2237288135602</v>
      </c>
      <c r="J93" s="285">
        <f t="shared" si="23"/>
        <v>16192.496831070528</v>
      </c>
    </row>
    <row r="94" spans="1:10" x14ac:dyDescent="0.3">
      <c r="A94" s="277" t="s">
        <v>295</v>
      </c>
      <c r="B94" s="251">
        <f t="shared" si="13"/>
        <v>9670.9029829191768</v>
      </c>
      <c r="C94" s="251">
        <f t="shared" si="23"/>
        <v>33834.049841872235</v>
      </c>
      <c r="D94" s="251">
        <f t="shared" si="23"/>
        <v>669464.90348258708</v>
      </c>
      <c r="E94" s="251">
        <f t="shared" si="23"/>
        <v>42700435</v>
      </c>
      <c r="F94" s="251">
        <f t="shared" si="23"/>
        <v>7400031.4545454541</v>
      </c>
      <c r="G94" s="251">
        <f t="shared" si="23"/>
        <v>734.55613943599826</v>
      </c>
      <c r="H94" s="251">
        <f t="shared" si="23"/>
        <v>1492.1666666666667</v>
      </c>
      <c r="I94" s="251">
        <f t="shared" si="23"/>
        <v>9175.0219966159057</v>
      </c>
      <c r="J94" s="285">
        <f t="shared" si="23"/>
        <v>16183.628573758218</v>
      </c>
    </row>
    <row r="95" spans="1:10" x14ac:dyDescent="0.3">
      <c r="A95" s="277" t="s">
        <v>229</v>
      </c>
      <c r="B95" s="407">
        <f t="shared" ca="1" si="13"/>
        <v>9578.9729800543791</v>
      </c>
      <c r="C95" s="407">
        <f t="shared" ref="C95:I95" ca="1" si="24">+C70/C45</f>
        <v>33495.397360898445</v>
      </c>
      <c r="D95" s="407">
        <f t="shared" ca="1" si="24"/>
        <v>665301.39816002047</v>
      </c>
      <c r="E95" s="407">
        <f t="shared" ca="1" si="24"/>
        <v>42639586.096446052</v>
      </c>
      <c r="F95" s="407">
        <f t="shared" ca="1" si="24"/>
        <v>7368371.0185733708</v>
      </c>
      <c r="G95" s="407">
        <f t="shared" si="24"/>
        <v>674.97679014233609</v>
      </c>
      <c r="H95" s="407">
        <f t="shared" ca="1" si="24"/>
        <v>1476.9819588959449</v>
      </c>
      <c r="I95" s="407">
        <f t="shared" ca="1" si="24"/>
        <v>9081.6543916956161</v>
      </c>
      <c r="J95" s="382">
        <f ca="1">'Rate Class Energy Model'!P73/'Rate Class Customer Model'!J15</f>
        <v>16105.112408904137</v>
      </c>
    </row>
    <row r="96" spans="1:10" x14ac:dyDescent="0.3">
      <c r="A96" s="277" t="s">
        <v>230</v>
      </c>
      <c r="B96" s="407">
        <f t="shared" ca="1" si="13"/>
        <v>9496.7371515016566</v>
      </c>
      <c r="C96" s="407">
        <f t="shared" ref="C96:I96" ca="1" si="25">+C71/C46</f>
        <v>33195.008454237439</v>
      </c>
      <c r="D96" s="407">
        <f t="shared" ca="1" si="25"/>
        <v>661972.69286566495</v>
      </c>
      <c r="E96" s="407">
        <f t="shared" ca="1" si="25"/>
        <v>42660606.445226006</v>
      </c>
      <c r="F96" s="407">
        <f t="shared" ca="1" si="25"/>
        <v>7343341.8016583575</v>
      </c>
      <c r="G96" s="407">
        <f t="shared" si="25"/>
        <v>404.15311294377187</v>
      </c>
      <c r="H96" s="407">
        <f t="shared" ca="1" si="25"/>
        <v>1464.7597936363773</v>
      </c>
      <c r="I96" s="407">
        <f t="shared" ca="1" si="25"/>
        <v>9006.5028435422773</v>
      </c>
      <c r="J96" s="382">
        <f ca="1">'Rate Class Energy Model'!P74/'Rate Class Customer Model'!J16</f>
        <v>16011.058783888126</v>
      </c>
    </row>
    <row r="97" spans="1:10" x14ac:dyDescent="0.3">
      <c r="A97" s="277" t="s">
        <v>231</v>
      </c>
      <c r="B97" s="407">
        <f t="shared" ca="1" si="13"/>
        <v>9373.8473482470636</v>
      </c>
      <c r="C97" s="407">
        <f t="shared" ref="C97:I97" ca="1" si="26">+C72/C47</f>
        <v>32755.626840546236</v>
      </c>
      <c r="D97" s="407">
        <f t="shared" ca="1" si="26"/>
        <v>656114.35262154555</v>
      </c>
      <c r="E97" s="407">
        <f t="shared" ca="1" si="26"/>
        <v>42752494.396360196</v>
      </c>
      <c r="F97" s="407">
        <f t="shared" ca="1" si="26"/>
        <v>7291137.2323911292</v>
      </c>
      <c r="G97" s="407">
        <f t="shared" si="26"/>
        <v>367.27806971799913</v>
      </c>
      <c r="H97" s="407">
        <f t="shared" ca="1" si="26"/>
        <v>1455.0503430521189</v>
      </c>
      <c r="I97" s="407">
        <f t="shared" ca="1" si="26"/>
        <v>8946.8014544979633</v>
      </c>
      <c r="J97" s="382">
        <f ca="1">'Rate Class Energy Model'!P75/'Rate Class Customer Model'!J17</f>
        <v>15830.241937961313</v>
      </c>
    </row>
    <row r="98" spans="1:10" x14ac:dyDescent="0.3">
      <c r="A98" s="277" t="s">
        <v>232</v>
      </c>
      <c r="B98" s="407">
        <f t="shared" ca="1" si="13"/>
        <v>9225.8477296246165</v>
      </c>
      <c r="C98" s="407">
        <f t="shared" ref="C98:I98" ca="1" si="27">+C73/C48</f>
        <v>32234.219700745129</v>
      </c>
      <c r="D98" s="407">
        <f t="shared" ca="1" si="27"/>
        <v>648623.65353206126</v>
      </c>
      <c r="E98" s="407">
        <f t="shared" ca="1" si="27"/>
        <v>42718996.835031144</v>
      </c>
      <c r="F98" s="407">
        <f t="shared" ca="1" si="27"/>
        <v>7219112.377102227</v>
      </c>
      <c r="G98" s="407">
        <f t="shared" si="27"/>
        <v>367.27806971799907</v>
      </c>
      <c r="H98" s="407">
        <f t="shared" ca="1" si="27"/>
        <v>1441.1685693544096</v>
      </c>
      <c r="I98" s="407">
        <f t="shared" ca="1" si="27"/>
        <v>8861.4453197753937</v>
      </c>
      <c r="J98" s="382">
        <f ca="1">'Rate Class Energy Model'!P76/'Rate Class Customer Model'!J18</f>
        <v>15649.719754415772</v>
      </c>
    </row>
    <row r="99" spans="1:10" ht="12.9" thickBot="1" x14ac:dyDescent="0.35">
      <c r="A99" s="278" t="s">
        <v>233</v>
      </c>
      <c r="B99" s="408">
        <f t="shared" ca="1" si="13"/>
        <v>9087.1456529508832</v>
      </c>
      <c r="C99" s="408">
        <f t="shared" ref="C99:I99" ca="1" si="28">+C74/C49</f>
        <v>31753.170297853223</v>
      </c>
      <c r="D99" s="408">
        <f t="shared" ca="1" si="28"/>
        <v>641830.93209586642</v>
      </c>
      <c r="E99" s="408">
        <f t="shared" ca="1" si="28"/>
        <v>42532142.041214556</v>
      </c>
      <c r="F99" s="408">
        <f t="shared" ca="1" si="28"/>
        <v>7150269.2516167471</v>
      </c>
      <c r="G99" s="408">
        <f t="shared" si="28"/>
        <v>367.27806971799907</v>
      </c>
      <c r="H99" s="408">
        <f t="shared" ca="1" si="28"/>
        <v>1422.2900350805078</v>
      </c>
      <c r="I99" s="408">
        <f t="shared" ca="1" si="28"/>
        <v>8745.365145156662</v>
      </c>
      <c r="J99" s="388">
        <f ca="1">'Rate Class Energy Model'!P77/'Rate Class Customer Model'!J19</f>
        <v>15528.683387319181</v>
      </c>
    </row>
    <row r="101" spans="1:10" ht="12.9" thickBot="1" x14ac:dyDescent="0.35"/>
    <row r="102" spans="1:10" ht="23.6" thickBot="1" x14ac:dyDescent="0.35">
      <c r="A102" s="256" t="s">
        <v>112</v>
      </c>
      <c r="B102" s="249" t="s">
        <v>71</v>
      </c>
      <c r="C102" s="249" t="s">
        <v>236</v>
      </c>
      <c r="D102" s="249" t="s">
        <v>235</v>
      </c>
      <c r="E102" s="249" t="s">
        <v>74</v>
      </c>
      <c r="F102" s="249" t="s">
        <v>237</v>
      </c>
      <c r="G102" s="249" t="s">
        <v>238</v>
      </c>
      <c r="H102" s="249" t="s">
        <v>239</v>
      </c>
      <c r="I102" s="249" t="s">
        <v>76</v>
      </c>
      <c r="J102" s="250" t="s">
        <v>9</v>
      </c>
    </row>
    <row r="103" spans="1:10" x14ac:dyDescent="0.3">
      <c r="A103" s="279" t="s">
        <v>259</v>
      </c>
      <c r="B103" s="280"/>
      <c r="C103" s="280"/>
      <c r="D103" s="280"/>
      <c r="E103" s="280"/>
      <c r="F103" s="280"/>
      <c r="G103" s="280"/>
      <c r="H103" s="280"/>
      <c r="I103" s="280"/>
      <c r="J103" s="281"/>
    </row>
    <row r="104" spans="1:10" x14ac:dyDescent="0.3">
      <c r="A104" s="282" t="s">
        <v>114</v>
      </c>
      <c r="B104" s="254">
        <f>+B80</f>
        <v>10312.478017907415</v>
      </c>
      <c r="C104" s="254">
        <f t="shared" ref="C104:J104" si="29">+C80</f>
        <v>36436.199739921976</v>
      </c>
      <c r="D104" s="254">
        <f t="shared" si="29"/>
        <v>687468.15134099615</v>
      </c>
      <c r="E104" s="254">
        <f t="shared" si="29"/>
        <v>30069991</v>
      </c>
      <c r="F104" s="254">
        <f t="shared" si="29"/>
        <v>8995177.8888888881</v>
      </c>
      <c r="G104" s="254">
        <f t="shared" si="29"/>
        <v>864.62257510729614</v>
      </c>
      <c r="H104" s="254">
        <f t="shared" si="29"/>
        <v>530.03896103896102</v>
      </c>
      <c r="I104" s="254">
        <f t="shared" si="29"/>
        <v>12596.537704918033</v>
      </c>
      <c r="J104" s="261">
        <f t="shared" si="29"/>
        <v>17928.45828162066</v>
      </c>
    </row>
    <row r="105" spans="1:10" x14ac:dyDescent="0.3">
      <c r="A105" s="282" t="s">
        <v>227</v>
      </c>
      <c r="B105" s="254">
        <f>+B81</f>
        <v>9944.9139784448562</v>
      </c>
      <c r="C105" s="254">
        <f t="shared" ref="C105:J105" si="30">+C81</f>
        <v>33405.607674829589</v>
      </c>
      <c r="D105" s="254">
        <f t="shared" si="30"/>
        <v>693751.11969111965</v>
      </c>
      <c r="E105" s="254">
        <f t="shared" si="30"/>
        <v>33402763</v>
      </c>
      <c r="F105" s="254">
        <f t="shared" si="30"/>
        <v>7817530.5999999996</v>
      </c>
      <c r="G105" s="254">
        <f t="shared" si="30"/>
        <v>865.45077050694306</v>
      </c>
      <c r="H105" s="254">
        <f t="shared" si="30"/>
        <v>1728.868207968671</v>
      </c>
      <c r="I105" s="254">
        <f t="shared" si="30"/>
        <v>10248.202720726738</v>
      </c>
      <c r="J105" s="261">
        <f t="shared" si="30"/>
        <v>16501.989395957142</v>
      </c>
    </row>
    <row r="106" spans="1:10" x14ac:dyDescent="0.3">
      <c r="A106" s="276"/>
      <c r="B106" s="253"/>
      <c r="C106" s="283"/>
      <c r="D106" s="283"/>
      <c r="E106" s="283"/>
      <c r="F106" s="283"/>
      <c r="G106" s="283"/>
      <c r="H106" s="283"/>
      <c r="I106" s="283"/>
      <c r="J106" s="284"/>
    </row>
    <row r="107" spans="1:10" x14ac:dyDescent="0.3">
      <c r="A107" s="277" t="str">
        <f t="shared" ref="A107:J107" si="31">+A95</f>
        <v>2015 Test Year (Regression)</v>
      </c>
      <c r="B107" s="251">
        <f t="shared" ca="1" si="31"/>
        <v>9578.9729800543791</v>
      </c>
      <c r="C107" s="251">
        <f t="shared" ca="1" si="31"/>
        <v>33495.397360898445</v>
      </c>
      <c r="D107" s="251">
        <f t="shared" ca="1" si="31"/>
        <v>665301.39816002047</v>
      </c>
      <c r="E107" s="251">
        <f t="shared" ca="1" si="31"/>
        <v>42639586.096446052</v>
      </c>
      <c r="F107" s="251">
        <f t="shared" ca="1" si="31"/>
        <v>7368371.0185733708</v>
      </c>
      <c r="G107" s="251">
        <f t="shared" si="31"/>
        <v>674.97679014233609</v>
      </c>
      <c r="H107" s="251">
        <f t="shared" ca="1" si="31"/>
        <v>1476.9819588959449</v>
      </c>
      <c r="I107" s="251">
        <f t="shared" ca="1" si="31"/>
        <v>9081.6543916956161</v>
      </c>
      <c r="J107" s="285">
        <f t="shared" ca="1" si="31"/>
        <v>16105.112408904137</v>
      </c>
    </row>
    <row r="108" spans="1:10" x14ac:dyDescent="0.3">
      <c r="A108" s="277" t="str">
        <f t="shared" ref="A108:A111" si="32">+A96</f>
        <v>2016 Test Year (Regression)</v>
      </c>
      <c r="B108" s="251">
        <f t="shared" ref="B108:J108" ca="1" si="33">+B96</f>
        <v>9496.7371515016566</v>
      </c>
      <c r="C108" s="251">
        <f t="shared" ca="1" si="33"/>
        <v>33195.008454237439</v>
      </c>
      <c r="D108" s="251">
        <f t="shared" ca="1" si="33"/>
        <v>661972.69286566495</v>
      </c>
      <c r="E108" s="251">
        <f t="shared" ca="1" si="33"/>
        <v>42660606.445226006</v>
      </c>
      <c r="F108" s="251">
        <f t="shared" ca="1" si="33"/>
        <v>7343341.8016583575</v>
      </c>
      <c r="G108" s="251">
        <f t="shared" si="33"/>
        <v>404.15311294377187</v>
      </c>
      <c r="H108" s="251">
        <f t="shared" ca="1" si="33"/>
        <v>1464.7597936363773</v>
      </c>
      <c r="I108" s="251">
        <f t="shared" ca="1" si="33"/>
        <v>9006.5028435422773</v>
      </c>
      <c r="J108" s="285">
        <f t="shared" ca="1" si="33"/>
        <v>16011.058783888126</v>
      </c>
    </row>
    <row r="109" spans="1:10" x14ac:dyDescent="0.3">
      <c r="A109" s="277" t="str">
        <f t="shared" si="32"/>
        <v>2017 Test Year (Regression)</v>
      </c>
      <c r="B109" s="251">
        <f t="shared" ref="B109:J109" ca="1" si="34">+B97</f>
        <v>9373.8473482470636</v>
      </c>
      <c r="C109" s="251">
        <f t="shared" ca="1" si="34"/>
        <v>32755.626840546236</v>
      </c>
      <c r="D109" s="251">
        <f t="shared" ca="1" si="34"/>
        <v>656114.35262154555</v>
      </c>
      <c r="E109" s="251">
        <f t="shared" ca="1" si="34"/>
        <v>42752494.396360196</v>
      </c>
      <c r="F109" s="251">
        <f t="shared" ca="1" si="34"/>
        <v>7291137.2323911292</v>
      </c>
      <c r="G109" s="251">
        <f t="shared" si="34"/>
        <v>367.27806971799913</v>
      </c>
      <c r="H109" s="251">
        <f t="shared" ca="1" si="34"/>
        <v>1455.0503430521189</v>
      </c>
      <c r="I109" s="251">
        <f t="shared" ca="1" si="34"/>
        <v>8946.8014544979633</v>
      </c>
      <c r="J109" s="285">
        <f t="shared" ca="1" si="34"/>
        <v>15830.241937961313</v>
      </c>
    </row>
    <row r="110" spans="1:10" x14ac:dyDescent="0.3">
      <c r="A110" s="277" t="str">
        <f t="shared" si="32"/>
        <v>2018 Test Year (Regression)</v>
      </c>
      <c r="B110" s="251">
        <f t="shared" ref="B110:J110" ca="1" si="35">+B98</f>
        <v>9225.8477296246165</v>
      </c>
      <c r="C110" s="251">
        <f t="shared" ca="1" si="35"/>
        <v>32234.219700745129</v>
      </c>
      <c r="D110" s="251">
        <f t="shared" ca="1" si="35"/>
        <v>648623.65353206126</v>
      </c>
      <c r="E110" s="251">
        <f t="shared" ca="1" si="35"/>
        <v>42718996.835031144</v>
      </c>
      <c r="F110" s="251">
        <f t="shared" ca="1" si="35"/>
        <v>7219112.377102227</v>
      </c>
      <c r="G110" s="251">
        <f t="shared" si="35"/>
        <v>367.27806971799907</v>
      </c>
      <c r="H110" s="251">
        <f t="shared" ca="1" si="35"/>
        <v>1441.1685693544096</v>
      </c>
      <c r="I110" s="251">
        <f t="shared" ca="1" si="35"/>
        <v>8861.4453197753937</v>
      </c>
      <c r="J110" s="285">
        <f t="shared" ca="1" si="35"/>
        <v>15649.719754415772</v>
      </c>
    </row>
    <row r="111" spans="1:10" ht="12.9" thickBot="1" x14ac:dyDescent="0.35">
      <c r="A111" s="278" t="str">
        <f t="shared" si="32"/>
        <v>2019 Test Year (Regression)</v>
      </c>
      <c r="B111" s="264">
        <f t="shared" ref="B111:J111" ca="1" si="36">+B99</f>
        <v>9087.1456529508832</v>
      </c>
      <c r="C111" s="264">
        <f t="shared" ca="1" si="36"/>
        <v>31753.170297853223</v>
      </c>
      <c r="D111" s="264">
        <f t="shared" ca="1" si="36"/>
        <v>641830.93209586642</v>
      </c>
      <c r="E111" s="264">
        <f t="shared" ca="1" si="36"/>
        <v>42532142.041214556</v>
      </c>
      <c r="F111" s="264">
        <f t="shared" ca="1" si="36"/>
        <v>7150269.2516167471</v>
      </c>
      <c r="G111" s="264">
        <f t="shared" si="36"/>
        <v>367.27806971799907</v>
      </c>
      <c r="H111" s="264">
        <f t="shared" ca="1" si="36"/>
        <v>1422.2900350805078</v>
      </c>
      <c r="I111" s="264">
        <f t="shared" ca="1" si="36"/>
        <v>8745.365145156662</v>
      </c>
      <c r="J111" s="286">
        <f t="shared" ca="1" si="36"/>
        <v>15528.683387319181</v>
      </c>
    </row>
    <row r="113" spans="1:10" ht="12.9" thickBot="1" x14ac:dyDescent="0.35"/>
    <row r="114" spans="1:10" ht="23.6" thickBot="1" x14ac:dyDescent="0.35">
      <c r="A114" s="256" t="s">
        <v>112</v>
      </c>
      <c r="B114" s="249" t="s">
        <v>71</v>
      </c>
      <c r="C114" s="249" t="s">
        <v>236</v>
      </c>
      <c r="D114" s="249" t="s">
        <v>235</v>
      </c>
      <c r="E114" s="249" t="s">
        <v>74</v>
      </c>
      <c r="F114" s="249" t="s">
        <v>237</v>
      </c>
      <c r="G114" s="249" t="s">
        <v>238</v>
      </c>
      <c r="H114" s="249" t="s">
        <v>239</v>
      </c>
      <c r="I114" s="249" t="s">
        <v>76</v>
      </c>
      <c r="J114" s="250" t="s">
        <v>9</v>
      </c>
    </row>
    <row r="115" spans="1:10" x14ac:dyDescent="0.3">
      <c r="A115" s="279" t="s">
        <v>249</v>
      </c>
      <c r="B115" s="280"/>
      <c r="C115" s="280"/>
      <c r="D115" s="280"/>
      <c r="E115" s="280"/>
      <c r="F115" s="280"/>
      <c r="G115" s="280"/>
      <c r="H115" s="280"/>
      <c r="I115" s="280"/>
      <c r="J115" s="281"/>
    </row>
    <row r="116" spans="1:10" x14ac:dyDescent="0.3">
      <c r="A116" s="277" t="str">
        <f>+A107</f>
        <v>2015 Test Year (Regression)</v>
      </c>
      <c r="B116" s="407">
        <f t="shared" ref="B116:I120" ca="1" si="37">B70</f>
        <v>488310441.84458584</v>
      </c>
      <c r="C116" s="407">
        <f t="shared" ca="1" si="37"/>
        <v>134064266.11914393</v>
      </c>
      <c r="D116" s="407">
        <f t="shared" ca="1" si="37"/>
        <v>337307808.8671304</v>
      </c>
      <c r="E116" s="407">
        <f t="shared" ca="1" si="37"/>
        <v>42639586.096446052</v>
      </c>
      <c r="F116" s="407">
        <f t="shared" ca="1" si="37"/>
        <v>88420452.222880453</v>
      </c>
      <c r="G116" s="407">
        <f t="shared" si="37"/>
        <v>8578851.707184026</v>
      </c>
      <c r="H116" s="407">
        <f t="shared" ca="1" si="37"/>
        <v>34297.182591568067</v>
      </c>
      <c r="I116" s="407">
        <f t="shared" ca="1" si="37"/>
        <v>2686537.3140891874</v>
      </c>
      <c r="J116" s="285">
        <f t="shared" ref="J116:J120" ca="1" si="38">SUM(B116:I116)</f>
        <v>1102042241.3540516</v>
      </c>
    </row>
    <row r="117" spans="1:10" x14ac:dyDescent="0.3">
      <c r="A117" s="277" t="str">
        <f t="shared" ref="A117:A120" si="39">+A108</f>
        <v>2016 Test Year (Regression)</v>
      </c>
      <c r="B117" s="407">
        <f t="shared" ca="1" si="37"/>
        <v>491380160.90018409</v>
      </c>
      <c r="C117" s="407">
        <f t="shared" ca="1" si="37"/>
        <v>134854491.64774501</v>
      </c>
      <c r="D117" s="407">
        <f t="shared" ca="1" si="37"/>
        <v>340651147.74867117</v>
      </c>
      <c r="E117" s="407">
        <f t="shared" ca="1" si="37"/>
        <v>42660606.445226006</v>
      </c>
      <c r="F117" s="407">
        <f t="shared" ca="1" si="37"/>
        <v>88120101.619900286</v>
      </c>
      <c r="G117" s="407">
        <f t="shared" si="37"/>
        <v>5237833.7421617098</v>
      </c>
      <c r="H117" s="407">
        <f t="shared" ca="1" si="37"/>
        <v>32909.529916775595</v>
      </c>
      <c r="I117" s="407">
        <f t="shared" ca="1" si="37"/>
        <v>2667193.4637021297</v>
      </c>
      <c r="J117" s="285">
        <f t="shared" ca="1" si="38"/>
        <v>1105604445.0975072</v>
      </c>
    </row>
    <row r="118" spans="1:10" x14ac:dyDescent="0.3">
      <c r="A118" s="277" t="str">
        <f t="shared" si="39"/>
        <v>2017 Test Year (Regression)</v>
      </c>
      <c r="B118" s="407">
        <f t="shared" ca="1" si="37"/>
        <v>492297000.53160763</v>
      </c>
      <c r="C118" s="407">
        <f t="shared" ca="1" si="37"/>
        <v>135063742.04659477</v>
      </c>
      <c r="D118" s="407">
        <f t="shared" ca="1" si="37"/>
        <v>342688526.37423319</v>
      </c>
      <c r="E118" s="407">
        <f t="shared" ca="1" si="37"/>
        <v>42752494.396360196</v>
      </c>
      <c r="F118" s="407">
        <f t="shared" ca="1" si="37"/>
        <v>87493646.788693547</v>
      </c>
      <c r="G118" s="407">
        <f t="shared" si="37"/>
        <v>4853625.207928787</v>
      </c>
      <c r="H118" s="407">
        <f t="shared" ca="1" si="37"/>
        <v>31630.444959402575</v>
      </c>
      <c r="I118" s="407">
        <f t="shared" ca="1" si="37"/>
        <v>2652384.9112346303</v>
      </c>
      <c r="J118" s="285">
        <f t="shared" ca="1" si="38"/>
        <v>1107833050.7016122</v>
      </c>
    </row>
    <row r="119" spans="1:10" x14ac:dyDescent="0.3">
      <c r="A119" s="277" t="str">
        <f t="shared" si="39"/>
        <v>2018 Test Year (Regression)</v>
      </c>
      <c r="B119" s="407">
        <f t="shared" ca="1" si="37"/>
        <v>493730171.21752775</v>
      </c>
      <c r="C119" s="407">
        <f t="shared" ca="1" si="37"/>
        <v>135448704.96557888</v>
      </c>
      <c r="D119" s="407">
        <f t="shared" ca="1" si="37"/>
        <v>345067783.67905658</v>
      </c>
      <c r="E119" s="407">
        <f t="shared" ca="1" si="37"/>
        <v>42718996.835031144</v>
      </c>
      <c r="F119" s="407">
        <f t="shared" ca="1" si="37"/>
        <v>86629348.525226727</v>
      </c>
      <c r="G119" s="407">
        <f t="shared" si="37"/>
        <v>4945783.3519187327</v>
      </c>
      <c r="H119" s="407">
        <f t="shared" ca="1" si="37"/>
        <v>30311.964036453326</v>
      </c>
      <c r="I119" s="407">
        <f t="shared" ca="1" si="37"/>
        <v>2629927.232790201</v>
      </c>
      <c r="J119" s="285">
        <f t="shared" ca="1" si="38"/>
        <v>1111201027.7711666</v>
      </c>
    </row>
    <row r="120" spans="1:10" ht="12.9" thickBot="1" x14ac:dyDescent="0.35">
      <c r="A120" s="278" t="str">
        <f t="shared" si="39"/>
        <v>2019 Test Year (Regression)</v>
      </c>
      <c r="B120" s="408">
        <f t="shared" ca="1" si="37"/>
        <v>495549475.53843433</v>
      </c>
      <c r="C120" s="408">
        <f t="shared" ca="1" si="37"/>
        <v>135967584.36597273</v>
      </c>
      <c r="D120" s="408">
        <f t="shared" ca="1" si="37"/>
        <v>347872365.19595963</v>
      </c>
      <c r="E120" s="408">
        <f t="shared" ca="1" si="37"/>
        <v>42532142.041214556</v>
      </c>
      <c r="F120" s="408">
        <f t="shared" ca="1" si="37"/>
        <v>85803231.019400969</v>
      </c>
      <c r="G120" s="408">
        <f t="shared" si="37"/>
        <v>5039785.2878187746</v>
      </c>
      <c r="H120" s="408">
        <f t="shared" ca="1" si="37"/>
        <v>28944.061722496452</v>
      </c>
      <c r="I120" s="408">
        <f t="shared" ca="1" si="37"/>
        <v>2598289.5028448366</v>
      </c>
      <c r="J120" s="286">
        <f t="shared" ca="1" si="38"/>
        <v>1115391817.0133681</v>
      </c>
    </row>
    <row r="122" spans="1:10" ht="12.9" thickBot="1" x14ac:dyDescent="0.35"/>
    <row r="123" spans="1:10" ht="23.6" thickBot="1" x14ac:dyDescent="0.35">
      <c r="A123" s="256" t="s">
        <v>112</v>
      </c>
      <c r="B123" s="249" t="s">
        <v>235</v>
      </c>
      <c r="C123" s="249" t="s">
        <v>74</v>
      </c>
      <c r="D123" s="249" t="s">
        <v>237</v>
      </c>
      <c r="E123" s="249" t="s">
        <v>238</v>
      </c>
      <c r="F123" s="249" t="s">
        <v>239</v>
      </c>
      <c r="G123" s="250" t="s">
        <v>9</v>
      </c>
    </row>
    <row r="124" spans="1:10" x14ac:dyDescent="0.3">
      <c r="A124" s="279" t="s">
        <v>250</v>
      </c>
      <c r="B124" s="280"/>
      <c r="C124" s="280"/>
      <c r="D124" s="280"/>
      <c r="E124" s="280"/>
      <c r="F124" s="280"/>
      <c r="G124" s="281"/>
    </row>
    <row r="125" spans="1:10" x14ac:dyDescent="0.3">
      <c r="A125" s="276">
        <v>2003</v>
      </c>
      <c r="B125" s="251">
        <f>+'Rate Class Load Model'!B2</f>
        <v>806199.49000000011</v>
      </c>
      <c r="C125" s="251">
        <f>+'Rate Class Load Model'!C2</f>
        <v>349045.15</v>
      </c>
      <c r="D125" s="251">
        <f>+'Rate Class Load Model'!D2</f>
        <v>197712.36</v>
      </c>
      <c r="E125" s="251">
        <f>+'Rate Class Load Model'!E2</f>
        <v>23226.94</v>
      </c>
      <c r="F125" s="251">
        <f>+'Rate Class Load Model'!F2</f>
        <v>126.50277777777779</v>
      </c>
      <c r="G125" s="285">
        <f>SUM(B125:F125)</f>
        <v>1376310.4427777778</v>
      </c>
    </row>
    <row r="126" spans="1:10" x14ac:dyDescent="0.3">
      <c r="A126" s="277">
        <v>2004</v>
      </c>
      <c r="B126" s="251">
        <f>+'Rate Class Load Model'!B3</f>
        <v>957450.82</v>
      </c>
      <c r="C126" s="251">
        <f>+'Rate Class Load Model'!C3</f>
        <v>243130.85</v>
      </c>
      <c r="D126" s="251">
        <f>+'Rate Class Load Model'!D3</f>
        <v>135213.89000000001</v>
      </c>
      <c r="E126" s="251">
        <f>+'Rate Class Load Model'!E3</f>
        <v>23584.5</v>
      </c>
      <c r="F126" s="251">
        <f>+'Rate Class Load Model'!F3</f>
        <v>123.24722222222222</v>
      </c>
      <c r="G126" s="285">
        <f t="shared" ref="G126:G135" si="40">SUM(B126:F126)</f>
        <v>1359503.3072222222</v>
      </c>
    </row>
    <row r="127" spans="1:10" x14ac:dyDescent="0.3">
      <c r="A127" s="276">
        <v>2005</v>
      </c>
      <c r="B127" s="251">
        <f>+'Rate Class Load Model'!B4</f>
        <v>913899.12999999989</v>
      </c>
      <c r="C127" s="251">
        <f>+'Rate Class Load Model'!C4</f>
        <v>154705.01</v>
      </c>
      <c r="D127" s="251">
        <f>+'Rate Class Load Model'!D4</f>
        <v>142187.47</v>
      </c>
      <c r="E127" s="251">
        <f>+'Rate Class Load Model'!E4</f>
        <v>24114.33</v>
      </c>
      <c r="F127" s="251">
        <f>+'Rate Class Load Model'!F4</f>
        <v>119.99166666666666</v>
      </c>
      <c r="G127" s="285">
        <f t="shared" si="40"/>
        <v>1235025.9316666666</v>
      </c>
    </row>
    <row r="128" spans="1:10" x14ac:dyDescent="0.3">
      <c r="A128" s="277">
        <v>2006</v>
      </c>
      <c r="B128" s="251">
        <f>+'Rate Class Load Model'!B5</f>
        <v>893943</v>
      </c>
      <c r="C128" s="251">
        <f>+'Rate Class Load Model'!C5</f>
        <v>134252</v>
      </c>
      <c r="D128" s="251">
        <f>+'Rate Class Load Model'!D5</f>
        <v>178422</v>
      </c>
      <c r="E128" s="251">
        <f>+'Rate Class Load Model'!E5</f>
        <v>24802</v>
      </c>
      <c r="F128" s="251">
        <f>+'Rate Class Load Model'!F5</f>
        <v>118.31944444444447</v>
      </c>
      <c r="G128" s="285">
        <f t="shared" si="40"/>
        <v>1231537.3194444445</v>
      </c>
    </row>
    <row r="129" spans="1:7" x14ac:dyDescent="0.3">
      <c r="A129" s="276">
        <v>2007</v>
      </c>
      <c r="B129" s="251">
        <f>+'Rate Class Load Model'!B6</f>
        <v>887017</v>
      </c>
      <c r="C129" s="251">
        <f>+'Rate Class Load Model'!C6</f>
        <v>135954</v>
      </c>
      <c r="D129" s="251">
        <f>+'Rate Class Load Model'!D6</f>
        <v>214029</v>
      </c>
      <c r="E129" s="251">
        <f>+'Rate Class Load Model'!E6</f>
        <v>25740</v>
      </c>
      <c r="F129" s="251">
        <f>+'Rate Class Load Model'!F6</f>
        <v>115.0222222222222</v>
      </c>
      <c r="G129" s="285">
        <f t="shared" si="40"/>
        <v>1262855.0222222223</v>
      </c>
    </row>
    <row r="130" spans="1:7" x14ac:dyDescent="0.3">
      <c r="A130" s="277">
        <v>2008</v>
      </c>
      <c r="B130" s="291">
        <f>+'Rate Class Load Model'!B7</f>
        <v>876464</v>
      </c>
      <c r="C130" s="291">
        <f>+'Rate Class Load Model'!C7</f>
        <v>124131</v>
      </c>
      <c r="D130" s="291">
        <f>+'Rate Class Load Model'!D7</f>
        <v>204487</v>
      </c>
      <c r="E130" s="291">
        <f>+'Rate Class Load Model'!E7</f>
        <v>26489</v>
      </c>
      <c r="F130" s="291">
        <f>+'Rate Class Load Model'!F7</f>
        <v>108.9805555555556</v>
      </c>
      <c r="G130" s="292">
        <f t="shared" si="40"/>
        <v>1231679.9805555556</v>
      </c>
    </row>
    <row r="131" spans="1:7" x14ac:dyDescent="0.3">
      <c r="A131" s="276">
        <v>2009</v>
      </c>
      <c r="B131" s="291">
        <f>+'Rate Class Load Model'!B8</f>
        <v>861503</v>
      </c>
      <c r="C131" s="291">
        <f>+'Rate Class Load Model'!C8</f>
        <v>89007</v>
      </c>
      <c r="D131" s="291">
        <f>+'Rate Class Load Model'!D8</f>
        <v>190299</v>
      </c>
      <c r="E131" s="291">
        <f>+'Rate Class Load Model'!E8</f>
        <v>27041</v>
      </c>
      <c r="F131" s="291">
        <f>+'Rate Class Load Model'!F8</f>
        <v>102.2</v>
      </c>
      <c r="G131" s="292">
        <f t="shared" si="40"/>
        <v>1167952.2</v>
      </c>
    </row>
    <row r="132" spans="1:7" x14ac:dyDescent="0.3">
      <c r="A132" s="277">
        <v>2010</v>
      </c>
      <c r="B132" s="291">
        <f>+'Rate Class Load Model'!B9</f>
        <v>871715</v>
      </c>
      <c r="C132" s="291">
        <f>+'Rate Class Load Model'!C9</f>
        <v>70585</v>
      </c>
      <c r="D132" s="291">
        <f>+'Rate Class Load Model'!D9</f>
        <v>195141</v>
      </c>
      <c r="E132" s="291">
        <f>+'Rate Class Load Model'!E9</f>
        <v>27634</v>
      </c>
      <c r="F132" s="291">
        <f>+'Rate Class Load Model'!F9</f>
        <v>99.477777777777803</v>
      </c>
      <c r="G132" s="292">
        <f t="shared" si="40"/>
        <v>1165174.4777777777</v>
      </c>
    </row>
    <row r="133" spans="1:7" x14ac:dyDescent="0.3">
      <c r="A133" s="277">
        <v>2011</v>
      </c>
      <c r="B133" s="291">
        <f>+'Rate Class Load Model'!B10</f>
        <v>867070</v>
      </c>
      <c r="C133" s="291">
        <f>+'Rate Class Load Model'!C10</f>
        <v>83704</v>
      </c>
      <c r="D133" s="291">
        <f>+'Rate Class Load Model'!D10</f>
        <v>192700</v>
      </c>
      <c r="E133" s="291">
        <f>+'Rate Class Load Model'!E10</f>
        <v>27830</v>
      </c>
      <c r="F133" s="291">
        <f>+'Rate Class Load Model'!F10</f>
        <v>100</v>
      </c>
      <c r="G133" s="292">
        <f t="shared" si="40"/>
        <v>1171404</v>
      </c>
    </row>
    <row r="134" spans="1:7" x14ac:dyDescent="0.3">
      <c r="A134" s="277">
        <v>2012</v>
      </c>
      <c r="B134" s="291">
        <f>+'Rate Class Load Model'!B11</f>
        <v>846459</v>
      </c>
      <c r="C134" s="291">
        <f>+'Rate Class Load Model'!C11</f>
        <v>89554</v>
      </c>
      <c r="D134" s="291">
        <f>+'Rate Class Load Model'!D11</f>
        <v>182189</v>
      </c>
      <c r="E134" s="291">
        <f>+'Rate Class Load Model'!E11</f>
        <v>27720</v>
      </c>
      <c r="F134" s="291">
        <f>+'Rate Class Load Model'!F11</f>
        <v>100</v>
      </c>
      <c r="G134" s="292">
        <f t="shared" si="40"/>
        <v>1146022</v>
      </c>
    </row>
    <row r="135" spans="1:7" x14ac:dyDescent="0.3">
      <c r="A135" s="421">
        <v>2013</v>
      </c>
      <c r="B135" s="291">
        <f>+'Rate Class Load Model'!B12</f>
        <v>843160</v>
      </c>
      <c r="C135" s="291">
        <f>+'Rate Class Load Model'!C12</f>
        <v>92753</v>
      </c>
      <c r="D135" s="291">
        <f>+'Rate Class Load Model'!D12</f>
        <v>184241</v>
      </c>
      <c r="E135" s="291">
        <f>+'Rate Class Load Model'!E12</f>
        <v>25276</v>
      </c>
      <c r="F135" s="291">
        <f>+'Rate Class Load Model'!F12</f>
        <v>100</v>
      </c>
      <c r="G135" s="292">
        <f t="shared" si="40"/>
        <v>1145530</v>
      </c>
    </row>
    <row r="136" spans="1:7" ht="12.9" thickBot="1" x14ac:dyDescent="0.35">
      <c r="A136" s="278" t="s">
        <v>295</v>
      </c>
      <c r="B136" s="264">
        <f>+'Rate Class Load Model'!B13</f>
        <v>831789</v>
      </c>
      <c r="C136" s="264">
        <f>+'Rate Class Load Model'!C13</f>
        <v>93203</v>
      </c>
      <c r="D136" s="264">
        <f>+'Rate Class Load Model'!D13</f>
        <v>186714</v>
      </c>
      <c r="E136" s="264">
        <f>+'Rate Class Load Model'!E13</f>
        <v>25520</v>
      </c>
      <c r="F136" s="264">
        <f>+'Rate Class Load Model'!F13</f>
        <v>100</v>
      </c>
      <c r="G136" s="286">
        <f t="shared" ref="G136" si="41">SUM(B136:F136)</f>
        <v>1137326</v>
      </c>
    </row>
    <row r="137" spans="1:7" ht="12.9" thickBot="1" x14ac:dyDescent="0.35"/>
    <row r="138" spans="1:7" ht="23.6" thickBot="1" x14ac:dyDescent="0.35">
      <c r="A138" s="256" t="s">
        <v>112</v>
      </c>
      <c r="B138" s="249" t="s">
        <v>235</v>
      </c>
      <c r="C138" s="249" t="s">
        <v>74</v>
      </c>
      <c r="D138" s="249" t="s">
        <v>237</v>
      </c>
      <c r="E138" s="249" t="s">
        <v>238</v>
      </c>
      <c r="F138" s="249" t="s">
        <v>239</v>
      </c>
      <c r="G138" s="250" t="s">
        <v>9</v>
      </c>
    </row>
    <row r="139" spans="1:7" x14ac:dyDescent="0.3">
      <c r="A139" s="279" t="s">
        <v>251</v>
      </c>
      <c r="B139" s="280"/>
      <c r="C139" s="280"/>
      <c r="D139" s="280"/>
      <c r="E139" s="280"/>
      <c r="F139" s="280"/>
      <c r="G139" s="281"/>
    </row>
    <row r="140" spans="1:7" x14ac:dyDescent="0.3">
      <c r="A140" s="276">
        <v>2003</v>
      </c>
      <c r="B140" s="251">
        <f>+'Rate Class Energy Model'!J7</f>
        <v>281244125.5</v>
      </c>
      <c r="C140" s="251">
        <f>+'Rate Class Energy Model'!K7</f>
        <v>169257212.5</v>
      </c>
      <c r="D140" s="251">
        <f>+'Rate Class Energy Model'!L7</f>
        <v>96172091</v>
      </c>
      <c r="E140" s="251">
        <f>+'Rate Class Energy Model'!M7</f>
        <v>8359780.5</v>
      </c>
      <c r="F140" s="251">
        <f>+'Rate Class Energy Model'!N7</f>
        <v>45541</v>
      </c>
      <c r="G140" s="285">
        <f t="shared" ref="G140:G150" si="42">SUM(B140:F140)</f>
        <v>555078750.5</v>
      </c>
    </row>
    <row r="141" spans="1:7" x14ac:dyDescent="0.3">
      <c r="A141" s="277">
        <v>2004</v>
      </c>
      <c r="B141" s="251">
        <f>+'Rate Class Energy Model'!J8</f>
        <v>360631980</v>
      </c>
      <c r="C141" s="251">
        <f>+'Rate Class Energy Model'!K8</f>
        <v>112144196</v>
      </c>
      <c r="D141" s="251">
        <f>+'Rate Class Energy Model'!L8</f>
        <v>65676068</v>
      </c>
      <c r="E141" s="251">
        <f>+'Rate Class Energy Model'!M8</f>
        <v>8743099.0634733941</v>
      </c>
      <c r="F141" s="251">
        <f>+'Rate Class Energy Model'!N8</f>
        <v>27821</v>
      </c>
      <c r="G141" s="285">
        <f t="shared" si="42"/>
        <v>547223164.06347334</v>
      </c>
    </row>
    <row r="142" spans="1:7" x14ac:dyDescent="0.3">
      <c r="A142" s="276">
        <v>2005</v>
      </c>
      <c r="B142" s="251">
        <f>+'Rate Class Energy Model'!J9</f>
        <v>361962669</v>
      </c>
      <c r="C142" s="251">
        <f>+'Rate Class Energy Model'!K9</f>
        <v>62904833</v>
      </c>
      <c r="D142" s="251">
        <f>+'Rate Class Energy Model'!L9</f>
        <v>67016961</v>
      </c>
      <c r="E142" s="251">
        <f>+'Rate Class Energy Model'!M9</f>
        <v>9182978</v>
      </c>
      <c r="F142" s="251">
        <f>+'Rate Class Energy Model'!N9</f>
        <v>43197</v>
      </c>
      <c r="G142" s="285">
        <f t="shared" si="42"/>
        <v>501110638</v>
      </c>
    </row>
    <row r="143" spans="1:7" x14ac:dyDescent="0.3">
      <c r="A143" s="277">
        <v>2006</v>
      </c>
      <c r="B143" s="251">
        <f>+'Rate Class Energy Model'!J10</f>
        <v>357086593</v>
      </c>
      <c r="C143" s="251">
        <f>+'Rate Class Energy Model'!K10</f>
        <v>59654446</v>
      </c>
      <c r="D143" s="251">
        <f>+'Rate Class Energy Model'!L10</f>
        <v>80518764</v>
      </c>
      <c r="E143" s="251">
        <f>+'Rate Class Energy Model'!M10</f>
        <v>9398525</v>
      </c>
      <c r="F143" s="251">
        <f>+'Rate Class Energy Model'!N10</f>
        <v>42595</v>
      </c>
      <c r="G143" s="285">
        <f t="shared" si="42"/>
        <v>506700923</v>
      </c>
    </row>
    <row r="144" spans="1:7" x14ac:dyDescent="0.3">
      <c r="A144" s="276">
        <v>2007</v>
      </c>
      <c r="B144" s="251">
        <f>+'Rate Class Energy Model'!J11</f>
        <v>359144720</v>
      </c>
      <c r="C144" s="251">
        <f>+'Rate Class Energy Model'!K11</f>
        <v>61811846</v>
      </c>
      <c r="D144" s="251">
        <f>+'Rate Class Energy Model'!L11</f>
        <v>103869997</v>
      </c>
      <c r="E144" s="251">
        <f>+'Rate Class Energy Model'!M11</f>
        <v>9704521</v>
      </c>
      <c r="F144" s="251">
        <f>+'Rate Class Energy Model'!N11</f>
        <v>41408</v>
      </c>
      <c r="G144" s="285">
        <f t="shared" si="42"/>
        <v>534572492</v>
      </c>
    </row>
    <row r="145" spans="1:7" x14ac:dyDescent="0.3">
      <c r="A145" s="277">
        <v>2008</v>
      </c>
      <c r="B145" s="291">
        <f>+'Rate Class Energy Model'!J12</f>
        <v>352632150</v>
      </c>
      <c r="C145" s="291">
        <f>+'Rate Class Energy Model'!K12</f>
        <v>46461021</v>
      </c>
      <c r="D145" s="291">
        <f>+'Rate Class Energy Model'!L12</f>
        <v>102433272</v>
      </c>
      <c r="E145" s="291">
        <f>+'Rate Class Energy Model'!M12</f>
        <v>9725840</v>
      </c>
      <c r="F145" s="291">
        <f>+'Rate Class Energy Model'!N12</f>
        <v>39233</v>
      </c>
      <c r="G145" s="292">
        <f t="shared" si="42"/>
        <v>511291516</v>
      </c>
    </row>
    <row r="146" spans="1:7" x14ac:dyDescent="0.3">
      <c r="A146" s="276">
        <v>2009</v>
      </c>
      <c r="B146" s="291">
        <f>+'Rate Class Energy Model'!J13</f>
        <v>349784301</v>
      </c>
      <c r="C146" s="291">
        <f>+'Rate Class Energy Model'!K13</f>
        <v>36580289</v>
      </c>
      <c r="D146" s="291">
        <f>+'Rate Class Energy Model'!L13</f>
        <v>87237589</v>
      </c>
      <c r="E146" s="291">
        <f>+'Rate Class Energy Model'!M13</f>
        <v>10202758</v>
      </c>
      <c r="F146" s="291">
        <f>+'Rate Class Energy Model'!N13</f>
        <v>36792</v>
      </c>
      <c r="G146" s="292">
        <f t="shared" si="42"/>
        <v>483841729</v>
      </c>
    </row>
    <row r="147" spans="1:7" x14ac:dyDescent="0.3">
      <c r="A147" s="277">
        <v>2010</v>
      </c>
      <c r="B147" s="291">
        <f>+'Rate Class Energy Model'!J14</f>
        <v>355234224</v>
      </c>
      <c r="C147" s="291">
        <f>+'Rate Class Energy Model'!K14</f>
        <v>33402763</v>
      </c>
      <c r="D147" s="291">
        <f>+'Rate Class Energy Model'!L14</f>
        <v>80783141</v>
      </c>
      <c r="E147" s="291">
        <f>+'Rate Class Energy Model'!M14</f>
        <v>10427904</v>
      </c>
      <c r="F147" s="291">
        <f>+'Rate Class Energy Model'!N14</f>
        <v>35812</v>
      </c>
      <c r="G147" s="292">
        <f t="shared" si="42"/>
        <v>479883844</v>
      </c>
    </row>
    <row r="148" spans="1:7" x14ac:dyDescent="0.3">
      <c r="A148" s="277">
        <v>2011</v>
      </c>
      <c r="B148" s="291">
        <f>+'Rate Class Energy Model'!J15</f>
        <v>359534375</v>
      </c>
      <c r="C148" s="291">
        <f>+'Rate Class Energy Model'!K15</f>
        <v>37740699</v>
      </c>
      <c r="D148" s="291">
        <f>+'Rate Class Energy Model'!L15</f>
        <v>79908016</v>
      </c>
      <c r="E148" s="291">
        <f>+'Rate Class Energy Model'!M15</f>
        <v>10253017</v>
      </c>
      <c r="F148" s="291">
        <f>+'Rate Class Energy Model'!N15</f>
        <v>35812</v>
      </c>
      <c r="G148" s="292">
        <f t="shared" si="42"/>
        <v>487471919</v>
      </c>
    </row>
    <row r="149" spans="1:7" x14ac:dyDescent="0.3">
      <c r="A149" s="277">
        <v>2012</v>
      </c>
      <c r="B149" s="291">
        <f>+'Rate Class Energy Model'!J16</f>
        <v>338342507</v>
      </c>
      <c r="C149" s="291">
        <f>+'Rate Class Energy Model'!K16</f>
        <v>40812737</v>
      </c>
      <c r="D149" s="291">
        <f>+'Rate Class Energy Model'!L16</f>
        <v>76828137</v>
      </c>
      <c r="E149" s="291">
        <f>+'Rate Class Energy Model'!M16</f>
        <v>10139708</v>
      </c>
      <c r="F149" s="291">
        <f>+'Rate Class Energy Model'!N16</f>
        <v>35812</v>
      </c>
      <c r="G149" s="292">
        <f t="shared" si="42"/>
        <v>466158901</v>
      </c>
    </row>
    <row r="150" spans="1:7" x14ac:dyDescent="0.3">
      <c r="A150" s="421">
        <v>2013</v>
      </c>
      <c r="B150" s="291">
        <f>+'Rate Class Energy Model'!J17</f>
        <v>337123668</v>
      </c>
      <c r="C150" s="291">
        <f>+'Rate Class Energy Model'!K17</f>
        <v>42326219</v>
      </c>
      <c r="D150" s="291">
        <f>+'Rate Class Energy Model'!L17</f>
        <v>79176233</v>
      </c>
      <c r="E150" s="291">
        <f>+'Rate Class Energy Model'!M17</f>
        <v>9082284</v>
      </c>
      <c r="F150" s="291">
        <f>+'Rate Class Energy Model'!N17</f>
        <v>35812</v>
      </c>
      <c r="G150" s="292">
        <f t="shared" si="42"/>
        <v>467744216</v>
      </c>
    </row>
    <row r="151" spans="1:7" ht="12.9" thickBot="1" x14ac:dyDescent="0.35">
      <c r="A151" s="278" t="s">
        <v>295</v>
      </c>
      <c r="B151" s="264">
        <f>+'Rate Class Energy Model'!J18</f>
        <v>336406114</v>
      </c>
      <c r="C151" s="264">
        <f>+'Rate Class Energy Model'!K18</f>
        <v>42700435</v>
      </c>
      <c r="D151" s="264">
        <f>+'Rate Class Energy Model'!L18</f>
        <v>81400346</v>
      </c>
      <c r="E151" s="264">
        <f>+'Rate Class Energy Model'!M18</f>
        <v>9155875</v>
      </c>
      <c r="F151" s="264">
        <f>+'Rate Class Energy Model'!N18</f>
        <v>35812</v>
      </c>
      <c r="G151" s="286">
        <f t="shared" ref="G151" si="43">SUM(B151:F151)</f>
        <v>469698582</v>
      </c>
    </row>
    <row r="152" spans="1:7" ht="12.9" thickBot="1" x14ac:dyDescent="0.35"/>
    <row r="153" spans="1:7" ht="23.6" thickBot="1" x14ac:dyDescent="0.35">
      <c r="A153" s="256" t="s">
        <v>112</v>
      </c>
      <c r="B153" s="249" t="s">
        <v>235</v>
      </c>
      <c r="C153" s="249" t="s">
        <v>74</v>
      </c>
      <c r="D153" s="249" t="s">
        <v>237</v>
      </c>
      <c r="E153" s="249" t="s">
        <v>238</v>
      </c>
      <c r="F153" s="249" t="s">
        <v>239</v>
      </c>
      <c r="G153" s="250" t="s">
        <v>9</v>
      </c>
    </row>
    <row r="154" spans="1:7" x14ac:dyDescent="0.3">
      <c r="A154" s="279" t="s">
        <v>252</v>
      </c>
      <c r="B154" s="280"/>
      <c r="C154" s="280"/>
      <c r="D154" s="280"/>
      <c r="E154" s="280"/>
      <c r="F154" s="280"/>
      <c r="G154" s="281"/>
    </row>
    <row r="155" spans="1:7" x14ac:dyDescent="0.3">
      <c r="A155" s="276">
        <v>2003</v>
      </c>
      <c r="B155" s="412">
        <f>+B125/B140</f>
        <v>2.8665469494401942E-3</v>
      </c>
      <c r="C155" s="412">
        <f t="shared" ref="C155:G155" si="44">+C125/C140</f>
        <v>2.0622172895586356E-3</v>
      </c>
      <c r="D155" s="412">
        <f t="shared" si="44"/>
        <v>2.05581845984819E-3</v>
      </c>
      <c r="E155" s="412">
        <f t="shared" si="44"/>
        <v>2.7784150552756736E-3</v>
      </c>
      <c r="F155" s="412">
        <f t="shared" si="44"/>
        <v>2.7777777777777783E-3</v>
      </c>
      <c r="G155" s="413">
        <f t="shared" si="44"/>
        <v>2.479486814326858E-3</v>
      </c>
    </row>
    <row r="156" spans="1:7" x14ac:dyDescent="0.3">
      <c r="A156" s="277">
        <v>2004</v>
      </c>
      <c r="B156" s="412">
        <f t="shared" ref="B156:G156" si="45">+B126/B141</f>
        <v>2.654924890465898E-3</v>
      </c>
      <c r="C156" s="412">
        <f t="shared" si="45"/>
        <v>2.1680199125062166E-3</v>
      </c>
      <c r="D156" s="412">
        <f t="shared" si="45"/>
        <v>2.0588000182958578E-3</v>
      </c>
      <c r="E156" s="412">
        <f t="shared" si="45"/>
        <v>2.6974988878406374E-3</v>
      </c>
      <c r="F156" s="412">
        <f t="shared" si="45"/>
        <v>4.4300069092492083E-3</v>
      </c>
      <c r="G156" s="413">
        <f t="shared" si="45"/>
        <v>2.484367249966288E-3</v>
      </c>
    </row>
    <row r="157" spans="1:7" x14ac:dyDescent="0.3">
      <c r="A157" s="276">
        <v>2005</v>
      </c>
      <c r="B157" s="412">
        <f t="shared" ref="B157:G157" si="46">+B127/B142</f>
        <v>2.5248436047972667E-3</v>
      </c>
      <c r="C157" s="412">
        <f t="shared" si="46"/>
        <v>2.459350142460437E-3</v>
      </c>
      <c r="D157" s="412">
        <f t="shared" si="46"/>
        <v>2.1216639471312343E-3</v>
      </c>
      <c r="E157" s="412">
        <f t="shared" si="46"/>
        <v>2.6259814626584102E-3</v>
      </c>
      <c r="F157" s="412">
        <f t="shared" si="46"/>
        <v>2.7777777777777775E-3</v>
      </c>
      <c r="G157" s="413">
        <f t="shared" si="46"/>
        <v>2.4645773568005287E-3</v>
      </c>
    </row>
    <row r="158" spans="1:7" x14ac:dyDescent="0.3">
      <c r="A158" s="277">
        <v>2006</v>
      </c>
      <c r="B158" s="412">
        <f t="shared" ref="B158:G158" si="47">+B128/B143</f>
        <v>2.503434790115461E-3</v>
      </c>
      <c r="C158" s="412">
        <f t="shared" si="47"/>
        <v>2.2504944560209311E-3</v>
      </c>
      <c r="D158" s="412">
        <f t="shared" si="47"/>
        <v>2.2159058477350694E-3</v>
      </c>
      <c r="E158" s="412">
        <f t="shared" si="47"/>
        <v>2.6389247248903417E-3</v>
      </c>
      <c r="F158" s="412">
        <f t="shared" si="47"/>
        <v>2.7777777777777783E-3</v>
      </c>
      <c r="G158" s="413">
        <f t="shared" si="47"/>
        <v>2.4305014329812943E-3</v>
      </c>
    </row>
    <row r="159" spans="1:7" x14ac:dyDescent="0.3">
      <c r="A159" s="276">
        <v>2007</v>
      </c>
      <c r="B159" s="412">
        <f t="shared" ref="B159:G159" si="48">+B129/B144</f>
        <v>2.4698038161329507E-3</v>
      </c>
      <c r="C159" s="412">
        <f t="shared" si="48"/>
        <v>2.1994813097800056E-3</v>
      </c>
      <c r="D159" s="412">
        <f t="shared" si="48"/>
        <v>2.0605468969061391E-3</v>
      </c>
      <c r="E159" s="412">
        <f t="shared" si="48"/>
        <v>2.6523720233074875E-3</v>
      </c>
      <c r="F159" s="412">
        <f t="shared" si="48"/>
        <v>2.777777777777777E-3</v>
      </c>
      <c r="G159" s="413">
        <f t="shared" si="48"/>
        <v>2.3623643960756259E-3</v>
      </c>
    </row>
    <row r="160" spans="1:7" x14ac:dyDescent="0.3">
      <c r="A160" s="277">
        <v>2008</v>
      </c>
      <c r="B160" s="414">
        <f t="shared" ref="B160:G160" si="49">+B130/B145</f>
        <v>2.4854909003617508E-3</v>
      </c>
      <c r="C160" s="414">
        <f t="shared" si="49"/>
        <v>2.6717234647081907E-3</v>
      </c>
      <c r="D160" s="414">
        <f t="shared" si="49"/>
        <v>1.9962947195516709E-3</v>
      </c>
      <c r="E160" s="414">
        <f t="shared" si="49"/>
        <v>2.7235693780691436E-3</v>
      </c>
      <c r="F160" s="414">
        <f t="shared" si="49"/>
        <v>2.7777777777777788E-3</v>
      </c>
      <c r="G160" s="415">
        <f t="shared" si="49"/>
        <v>2.408958376996726E-3</v>
      </c>
    </row>
    <row r="161" spans="1:7" x14ac:dyDescent="0.3">
      <c r="A161" s="276">
        <v>2009</v>
      </c>
      <c r="B161" s="414">
        <f t="shared" ref="B161:G161" si="50">+B131/B146</f>
        <v>2.462955019813768E-3</v>
      </c>
      <c r="C161" s="414">
        <f t="shared" si="50"/>
        <v>2.4331956480715612E-3</v>
      </c>
      <c r="D161" s="414">
        <f t="shared" si="50"/>
        <v>2.1813876584782736E-3</v>
      </c>
      <c r="E161" s="414">
        <f t="shared" si="50"/>
        <v>2.6503617943305132E-3</v>
      </c>
      <c r="F161" s="414">
        <f t="shared" si="50"/>
        <v>2.7777777777777779E-3</v>
      </c>
      <c r="G161" s="415">
        <f t="shared" si="50"/>
        <v>2.4139137449221541E-3</v>
      </c>
    </row>
    <row r="162" spans="1:7" x14ac:dyDescent="0.3">
      <c r="A162" s="277">
        <v>2010</v>
      </c>
      <c r="B162" s="414">
        <f t="shared" ref="B162:G162" si="51">+B132/B147</f>
        <v>2.4539161519527464E-3</v>
      </c>
      <c r="C162" s="414">
        <f t="shared" si="51"/>
        <v>2.1131485440291273E-3</v>
      </c>
      <c r="D162" s="414">
        <f t="shared" si="51"/>
        <v>2.4156154066849169E-3</v>
      </c>
      <c r="E162" s="414">
        <f t="shared" si="51"/>
        <v>2.6500052167722295E-3</v>
      </c>
      <c r="F162" s="414">
        <f t="shared" si="51"/>
        <v>2.7777777777777783E-3</v>
      </c>
      <c r="G162" s="415">
        <f t="shared" si="51"/>
        <v>2.4280343927931395E-3</v>
      </c>
    </row>
    <row r="163" spans="1:7" x14ac:dyDescent="0.3">
      <c r="A163" s="277">
        <v>2011</v>
      </c>
      <c r="B163" s="414">
        <f t="shared" ref="B163:G163" si="52">+B133/B148</f>
        <v>2.411647008717873E-3</v>
      </c>
      <c r="C163" s="414">
        <f t="shared" si="52"/>
        <v>2.2178709514627695E-3</v>
      </c>
      <c r="D163" s="414">
        <f t="shared" si="52"/>
        <v>2.411522768879658E-3</v>
      </c>
      <c r="E163" s="414">
        <f t="shared" si="52"/>
        <v>2.7143230134115647E-3</v>
      </c>
      <c r="F163" s="414">
        <f t="shared" si="52"/>
        <v>2.7923601027588516E-3</v>
      </c>
      <c r="G163" s="415">
        <f t="shared" si="52"/>
        <v>2.4030184187901907E-3</v>
      </c>
    </row>
    <row r="164" spans="1:7" x14ac:dyDescent="0.3">
      <c r="A164" s="277">
        <v>2012</v>
      </c>
      <c r="B164" s="414">
        <f t="shared" ref="B164:G166" si="53">+B134/B149</f>
        <v>2.5017814270673357E-3</v>
      </c>
      <c r="C164" s="414">
        <f t="shared" si="53"/>
        <v>2.1942659714294585E-3</v>
      </c>
      <c r="D164" s="414">
        <f t="shared" si="53"/>
        <v>2.3713838069508312E-3</v>
      </c>
      <c r="E164" s="414">
        <f t="shared" si="53"/>
        <v>2.7338065356517171E-3</v>
      </c>
      <c r="F164" s="414">
        <f t="shared" si="53"/>
        <v>2.7923601027588516E-3</v>
      </c>
      <c r="G164" s="415">
        <f t="shared" si="53"/>
        <v>2.45843637768487E-3</v>
      </c>
    </row>
    <row r="165" spans="1:7" x14ac:dyDescent="0.3">
      <c r="A165" s="277">
        <v>2013</v>
      </c>
      <c r="B165" s="412">
        <f t="shared" si="53"/>
        <v>2.5010406566886309E-3</v>
      </c>
      <c r="C165" s="412">
        <f t="shared" si="53"/>
        <v>2.1913840213320258E-3</v>
      </c>
      <c r="D165" s="412">
        <f t="shared" si="53"/>
        <v>2.326973550257184E-3</v>
      </c>
      <c r="E165" s="412">
        <f t="shared" si="53"/>
        <v>2.7830003994589905E-3</v>
      </c>
      <c r="F165" s="412">
        <f t="shared" si="53"/>
        <v>2.7923601027588516E-3</v>
      </c>
      <c r="G165" s="413">
        <f t="shared" si="53"/>
        <v>2.4490521973659211E-3</v>
      </c>
    </row>
    <row r="166" spans="1:7" x14ac:dyDescent="0.3">
      <c r="A166" s="277" t="s">
        <v>295</v>
      </c>
      <c r="B166" s="412">
        <f t="shared" si="53"/>
        <v>2.472573967546856E-3</v>
      </c>
      <c r="C166" s="412">
        <f t="shared" si="53"/>
        <v>2.1827178107201952E-3</v>
      </c>
      <c r="D166" s="412">
        <f t="shared" si="53"/>
        <v>2.2937740338351878E-3</v>
      </c>
      <c r="E166" s="412">
        <f t="shared" si="53"/>
        <v>2.7872813903641104E-3</v>
      </c>
      <c r="F166" s="412">
        <f t="shared" si="53"/>
        <v>2.7923601027588516E-3</v>
      </c>
      <c r="G166" s="413">
        <f t="shared" si="53"/>
        <v>2.421395430144177E-3</v>
      </c>
    </row>
    <row r="167" spans="1:7" x14ac:dyDescent="0.3">
      <c r="A167" s="287" t="s">
        <v>243</v>
      </c>
      <c r="B167" s="416">
        <f>+'Rate Class Load Model'!B43</f>
        <v>2.5257465985917276E-3</v>
      </c>
      <c r="C167" s="416">
        <f>+'Rate Class Load Model'!C43</f>
        <v>2.2619891268399633E-3</v>
      </c>
      <c r="D167" s="416">
        <f>+'Rate Class Load Model'!D43</f>
        <v>2.2091405928795172E-3</v>
      </c>
      <c r="E167" s="416">
        <f>+'Rate Class Load Model'!E43</f>
        <v>2.7872813903641104E-3</v>
      </c>
      <c r="F167" s="416">
        <f>+'Rate Class Load Model'!F43</f>
        <v>2.9203243137274214E-3</v>
      </c>
      <c r="G167" s="417">
        <f>+'Rate Class Load Model'!G43</f>
        <v>2.433675515737315E-3</v>
      </c>
    </row>
    <row r="168" spans="1:7" ht="12.9" thickBot="1" x14ac:dyDescent="0.35">
      <c r="A168" s="289" t="s">
        <v>241</v>
      </c>
      <c r="B168" s="418">
        <f>GEOMEAN(B155:B166)</f>
        <v>2.5231931904443603E-3</v>
      </c>
      <c r="C168" s="418">
        <f t="shared" ref="C168:F168" si="54">GEOMEAN(C155:C166)</f>
        <v>2.2562542573158315E-3</v>
      </c>
      <c r="D168" s="418">
        <f t="shared" si="54"/>
        <v>2.2043767766937541E-3</v>
      </c>
      <c r="E168" s="418">
        <f t="shared" si="54"/>
        <v>2.7023635114137002E-3</v>
      </c>
      <c r="F168" s="418">
        <f t="shared" si="54"/>
        <v>2.8929952210973594E-3</v>
      </c>
      <c r="G168" s="419">
        <f>GEOMEAN(G155:G166)</f>
        <v>2.4334403844207312E-3</v>
      </c>
    </row>
    <row r="169" spans="1:7" ht="12.9" thickBot="1" x14ac:dyDescent="0.35"/>
    <row r="170" spans="1:7" ht="23.6" thickBot="1" x14ac:dyDescent="0.35">
      <c r="A170" s="256" t="s">
        <v>112</v>
      </c>
      <c r="B170" s="249" t="s">
        <v>235</v>
      </c>
      <c r="C170" s="249" t="s">
        <v>74</v>
      </c>
      <c r="D170" s="249" t="s">
        <v>237</v>
      </c>
      <c r="E170" s="249" t="s">
        <v>238</v>
      </c>
      <c r="F170" s="249" t="s">
        <v>239</v>
      </c>
      <c r="G170" s="250" t="s">
        <v>9</v>
      </c>
    </row>
    <row r="171" spans="1:7" x14ac:dyDescent="0.3">
      <c r="A171" s="279" t="s">
        <v>280</v>
      </c>
      <c r="B171" s="280"/>
      <c r="C171" s="280"/>
      <c r="D171" s="280"/>
      <c r="E171" s="280"/>
      <c r="F171" s="280"/>
      <c r="G171" s="281"/>
    </row>
    <row r="172" spans="1:7" x14ac:dyDescent="0.3">
      <c r="A172" s="277" t="str">
        <f>+A116</f>
        <v>2015 Test Year (Regression)</v>
      </c>
      <c r="B172" s="251">
        <f t="shared" ref="B172:F176" ca="1" si="55">+D116*B$167</f>
        <v>851954.05092458322</v>
      </c>
      <c r="C172" s="251">
        <f t="shared" ca="1" si="55"/>
        <v>96450.280123117438</v>
      </c>
      <c r="D172" s="251">
        <f t="shared" ca="1" si="55"/>
        <v>195333.21024632914</v>
      </c>
      <c r="E172" s="407">
        <f t="shared" si="55"/>
        <v>23911.673714127413</v>
      </c>
      <c r="F172" s="251">
        <f t="shared" ca="1" si="55"/>
        <v>100.15889621450508</v>
      </c>
      <c r="G172" s="285">
        <f t="shared" ref="G172:G176" ca="1" si="56">SUM(B172:F172)</f>
        <v>1167749.3739043719</v>
      </c>
    </row>
    <row r="173" spans="1:7" x14ac:dyDescent="0.3">
      <c r="A173" s="277" t="str">
        <f>+A117</f>
        <v>2016 Test Year (Regression)</v>
      </c>
      <c r="B173" s="251">
        <f t="shared" ca="1" si="55"/>
        <v>860398.47773257422</v>
      </c>
      <c r="C173" s="251">
        <f t="shared" ca="1" si="55"/>
        <v>96497.827923500081</v>
      </c>
      <c r="D173" s="251">
        <f t="shared" ca="1" si="55"/>
        <v>194669.69353718983</v>
      </c>
      <c r="E173" s="407">
        <f t="shared" si="55"/>
        <v>14599.316515348542</v>
      </c>
      <c r="F173" s="251">
        <f t="shared" ca="1" si="55"/>
        <v>96.106500369299738</v>
      </c>
      <c r="G173" s="285">
        <f t="shared" ca="1" si="56"/>
        <v>1166261.4222089821</v>
      </c>
    </row>
    <row r="174" spans="1:7" x14ac:dyDescent="0.3">
      <c r="A174" s="277" t="str">
        <f>+A118</f>
        <v>2017 Test Year (Regression)</v>
      </c>
      <c r="B174" s="251">
        <f t="shared" ca="1" si="55"/>
        <v>865544.379866131</v>
      </c>
      <c r="C174" s="251">
        <f t="shared" ca="1" si="55"/>
        <v>96705.677469853224</v>
      </c>
      <c r="D174" s="251">
        <f t="shared" ca="1" si="55"/>
        <v>193285.76673996553</v>
      </c>
      <c r="E174" s="407">
        <f t="shared" si="55"/>
        <v>13528.419217862043</v>
      </c>
      <c r="F174" s="251">
        <f t="shared" ca="1" si="55"/>
        <v>92.371157468960305</v>
      </c>
      <c r="G174" s="285">
        <f t="shared" ca="1" si="56"/>
        <v>1169156.6144512808</v>
      </c>
    </row>
    <row r="175" spans="1:7" x14ac:dyDescent="0.3">
      <c r="A175" s="277" t="str">
        <f>+A119</f>
        <v>2018 Test Year (Regression)</v>
      </c>
      <c r="B175" s="251">
        <f t="shared" ca="1" si="55"/>
        <v>871553.78091096319</v>
      </c>
      <c r="C175" s="251">
        <f t="shared" ca="1" si="55"/>
        <v>96629.906350351259</v>
      </c>
      <c r="D175" s="251">
        <f t="shared" ca="1" si="55"/>
        <v>191376.4103617857</v>
      </c>
      <c r="E175" s="407">
        <f t="shared" si="55"/>
        <v>13785.289897575716</v>
      </c>
      <c r="F175" s="251">
        <f t="shared" ca="1" si="55"/>
        <v>88.520765572485843</v>
      </c>
      <c r="G175" s="285">
        <f t="shared" ca="1" si="56"/>
        <v>1173433.9082862486</v>
      </c>
    </row>
    <row r="176" spans="1:7" ht="12.9" thickBot="1" x14ac:dyDescent="0.35">
      <c r="A176" s="278" t="str">
        <f>+A120</f>
        <v>2019 Test Year (Regression)</v>
      </c>
      <c r="B176" s="264">
        <f t="shared" ca="1" si="55"/>
        <v>878637.44313775434</v>
      </c>
      <c r="C176" s="264">
        <f t="shared" ca="1" si="55"/>
        <v>96207.242838440201</v>
      </c>
      <c r="D176" s="264">
        <f t="shared" ca="1" si="55"/>
        <v>189551.40064517764</v>
      </c>
      <c r="E176" s="408">
        <f t="shared" si="55"/>
        <v>14047.299744168102</v>
      </c>
      <c r="F176" s="264">
        <f t="shared" ca="1" si="55"/>
        <v>84.526047186233583</v>
      </c>
      <c r="G176" s="286">
        <f t="shared" ca="1" si="56"/>
        <v>1178527.9124127266</v>
      </c>
    </row>
    <row r="178" spans="2:7" x14ac:dyDescent="0.3">
      <c r="B178" s="172"/>
      <c r="C178" s="172"/>
      <c r="D178" s="172"/>
      <c r="E178" s="172"/>
      <c r="F178" s="172"/>
      <c r="G178" s="172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workbookViewId="0"/>
  </sheetViews>
  <sheetFormatPr defaultRowHeight="12.45" x14ac:dyDescent="0.3"/>
  <cols>
    <col min="1" max="1" width="11.84375" customWidth="1"/>
    <col min="2" max="2" width="18" style="6" customWidth="1"/>
    <col min="3" max="3" width="11.69140625" style="1" customWidth="1"/>
    <col min="4" max="4" width="13.3828125" style="1" customWidth="1"/>
    <col min="5" max="5" width="14.3828125" style="34" customWidth="1"/>
    <col min="6" max="6" width="10.15234375" style="1" customWidth="1"/>
    <col min="7" max="8" width="12.3828125" style="1" customWidth="1"/>
    <col min="9" max="9" width="12.53515625" style="6" customWidth="1"/>
    <col min="10" max="10" width="19.84375" style="6" customWidth="1"/>
    <col min="11" max="11" width="11.53515625" style="6" customWidth="1"/>
    <col min="12" max="12" width="9.3046875" style="6" customWidth="1"/>
    <col min="13" max="13" width="27.3046875" style="6" bestFit="1" customWidth="1"/>
    <col min="14" max="14" width="13" style="6" bestFit="1" customWidth="1"/>
    <col min="15" max="15" width="20.53515625" style="6" bestFit="1" customWidth="1"/>
    <col min="16" max="16" width="19" style="6" bestFit="1" customWidth="1"/>
    <col min="17" max="17" width="9.53515625" style="6" bestFit="1" customWidth="1"/>
    <col min="18" max="18" width="13.53515625" bestFit="1" customWidth="1"/>
    <col min="19" max="19" width="13" bestFit="1" customWidth="1"/>
    <col min="20" max="20" width="13.53515625" bestFit="1" customWidth="1"/>
    <col min="21" max="21" width="13" bestFit="1" customWidth="1"/>
  </cols>
  <sheetData>
    <row r="2" spans="1:18" ht="42" customHeight="1" x14ac:dyDescent="0.3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2.9" thickBot="1" x14ac:dyDescent="0.35">
      <c r="A3" s="3">
        <v>37622</v>
      </c>
      <c r="B3" s="59">
        <v>891460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61">
        <v>10151</v>
      </c>
      <c r="I3" s="192">
        <f>$N$18+C3*$N$19+D3*$N$20+E3*$N$21+F3*$N$22+G3*$N$23</f>
        <v>932609.62588634924</v>
      </c>
      <c r="J3" s="36">
        <f>I3-B3</f>
        <v>41149.62588634924</v>
      </c>
      <c r="K3" s="5">
        <f>J3/B3</f>
        <v>4.6159811866319567E-2</v>
      </c>
      <c r="M3"/>
      <c r="N3"/>
      <c r="O3"/>
      <c r="P3"/>
      <c r="Q3"/>
    </row>
    <row r="4" spans="1:18" ht="12.9" x14ac:dyDescent="0.35">
      <c r="A4" s="3">
        <v>37653</v>
      </c>
      <c r="B4" s="59">
        <v>880341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61">
        <v>10151</v>
      </c>
      <c r="I4" s="192">
        <f t="shared" ref="I4:I67" si="0">$N$18+C4*$N$19+D4*$N$20+E4*$N$21+F4*$N$22+G4*$N$23</f>
        <v>995552.26354448905</v>
      </c>
      <c r="J4" s="36">
        <f t="shared" ref="J4:J67" si="1">I4-B4</f>
        <v>115211.26354448905</v>
      </c>
      <c r="K4" s="5">
        <f t="shared" ref="K4:K67" si="2">J4/B4</f>
        <v>0.13087117781006344</v>
      </c>
      <c r="M4" s="53" t="s">
        <v>19</v>
      </c>
      <c r="N4" s="53"/>
      <c r="O4"/>
      <c r="P4"/>
      <c r="Q4"/>
    </row>
    <row r="5" spans="1:18" x14ac:dyDescent="0.3">
      <c r="A5" s="3">
        <v>37681</v>
      </c>
      <c r="B5" s="59">
        <v>725424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61">
        <v>10151</v>
      </c>
      <c r="I5" s="192">
        <f t="shared" si="0"/>
        <v>843282.70170415309</v>
      </c>
      <c r="J5" s="36">
        <f t="shared" si="1"/>
        <v>117858.70170415309</v>
      </c>
      <c r="K5" s="5">
        <f t="shared" si="2"/>
        <v>0.16246871030480531</v>
      </c>
      <c r="M5" s="35" t="s">
        <v>20</v>
      </c>
      <c r="N5" s="95">
        <v>0.61523102897884085</v>
      </c>
      <c r="O5"/>
      <c r="P5"/>
      <c r="Q5"/>
    </row>
    <row r="6" spans="1:18" x14ac:dyDescent="0.3">
      <c r="A6" s="3">
        <v>37712</v>
      </c>
      <c r="B6" s="59">
        <v>718245.99001238751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10151</v>
      </c>
      <c r="I6" s="192">
        <f t="shared" si="0"/>
        <v>823595.11416919914</v>
      </c>
      <c r="J6" s="36">
        <f t="shared" si="1"/>
        <v>105349.12415681162</v>
      </c>
      <c r="K6" s="5">
        <f t="shared" si="2"/>
        <v>0.1466755479623279</v>
      </c>
      <c r="M6" s="35" t="s">
        <v>21</v>
      </c>
      <c r="N6" s="95">
        <v>0.37850921901836337</v>
      </c>
      <c r="O6"/>
      <c r="P6"/>
      <c r="Q6"/>
    </row>
    <row r="7" spans="1:18" x14ac:dyDescent="0.3">
      <c r="A7" s="3">
        <v>37742</v>
      </c>
      <c r="B7" s="59">
        <v>612166.00998761237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10151</v>
      </c>
      <c r="I7" s="192">
        <f t="shared" si="0"/>
        <v>706665.1758292031</v>
      </c>
      <c r="J7" s="36">
        <f t="shared" si="1"/>
        <v>94499.16584159073</v>
      </c>
      <c r="K7" s="5">
        <f t="shared" si="2"/>
        <v>0.15436852798067471</v>
      </c>
      <c r="M7" s="35" t="s">
        <v>22</v>
      </c>
      <c r="N7" s="95">
        <v>0.35599143709873887</v>
      </c>
      <c r="O7"/>
      <c r="P7"/>
      <c r="Q7"/>
    </row>
    <row r="8" spans="1:18" x14ac:dyDescent="0.3">
      <c r="A8" s="3">
        <v>37773</v>
      </c>
      <c r="B8" s="59">
        <v>565234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10151</v>
      </c>
      <c r="I8" s="192">
        <f t="shared" si="0"/>
        <v>653257.42408500577</v>
      </c>
      <c r="J8" s="36">
        <f t="shared" si="1"/>
        <v>88023.424085005769</v>
      </c>
      <c r="K8" s="5">
        <f t="shared" si="2"/>
        <v>0.15572917426235111</v>
      </c>
      <c r="M8" s="35" t="s">
        <v>23</v>
      </c>
      <c r="N8" s="67">
        <v>191379.22512368925</v>
      </c>
      <c r="O8"/>
      <c r="P8"/>
      <c r="Q8"/>
    </row>
    <row r="9" spans="1:18" ht="12.9" thickBot="1" x14ac:dyDescent="0.35">
      <c r="A9" s="3">
        <v>37803</v>
      </c>
      <c r="B9" s="59">
        <v>501712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61">
        <v>10151</v>
      </c>
      <c r="I9" s="192">
        <f t="shared" si="0"/>
        <v>548688.5920076482</v>
      </c>
      <c r="J9" s="36">
        <f t="shared" si="1"/>
        <v>46976.5920076482</v>
      </c>
      <c r="K9" s="5">
        <f t="shared" si="2"/>
        <v>9.3632586040693064E-2</v>
      </c>
      <c r="M9" s="51" t="s">
        <v>24</v>
      </c>
      <c r="N9" s="68">
        <v>144</v>
      </c>
      <c r="O9"/>
      <c r="P9"/>
      <c r="Q9"/>
    </row>
    <row r="10" spans="1:18" x14ac:dyDescent="0.3">
      <c r="A10" s="3">
        <v>37834</v>
      </c>
      <c r="B10" s="59">
        <v>545972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61">
        <v>10151</v>
      </c>
      <c r="I10" s="192">
        <f t="shared" si="0"/>
        <v>490114.17696765601</v>
      </c>
      <c r="J10" s="36">
        <f t="shared" si="1"/>
        <v>-55857.823032343993</v>
      </c>
      <c r="K10" s="5">
        <f t="shared" si="2"/>
        <v>-0.10230895180035605</v>
      </c>
      <c r="M10"/>
      <c r="N10"/>
      <c r="O10"/>
      <c r="P10"/>
      <c r="Q10"/>
    </row>
    <row r="11" spans="1:18" ht="12.9" thickBot="1" x14ac:dyDescent="0.35">
      <c r="A11" s="3">
        <v>37865</v>
      </c>
      <c r="B11" s="59">
        <v>607347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61">
        <v>10151</v>
      </c>
      <c r="I11" s="192">
        <f t="shared" si="0"/>
        <v>656203.13661705947</v>
      </c>
      <c r="J11" s="36">
        <f t="shared" si="1"/>
        <v>48856.13661705947</v>
      </c>
      <c r="K11" s="5">
        <f t="shared" si="2"/>
        <v>8.0441883498328745E-2</v>
      </c>
      <c r="M11" t="s">
        <v>25</v>
      </c>
      <c r="N11"/>
      <c r="O11"/>
      <c r="P11"/>
      <c r="Q11"/>
    </row>
    <row r="12" spans="1:18" ht="12.9" x14ac:dyDescent="0.35">
      <c r="A12" s="3">
        <v>37895</v>
      </c>
      <c r="B12" s="59">
        <v>680111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61">
        <v>10151</v>
      </c>
      <c r="I12" s="192">
        <f t="shared" si="0"/>
        <v>720203.50186621631</v>
      </c>
      <c r="J12" s="36">
        <f t="shared" si="1"/>
        <v>40092.501866216306</v>
      </c>
      <c r="K12" s="5">
        <f t="shared" si="2"/>
        <v>5.894993885735756E-2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3">
      <c r="A13" s="3">
        <v>37926</v>
      </c>
      <c r="B13" s="59">
        <v>785882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61">
        <v>10151</v>
      </c>
      <c r="I13" s="192">
        <f t="shared" si="0"/>
        <v>792499.90073497908</v>
      </c>
      <c r="J13" s="36">
        <f t="shared" si="1"/>
        <v>6617.9007349790772</v>
      </c>
      <c r="K13" s="5">
        <f t="shared" si="2"/>
        <v>8.4209852560296287E-3</v>
      </c>
      <c r="M13" s="35" t="s">
        <v>26</v>
      </c>
      <c r="N13" s="67">
        <v>5</v>
      </c>
      <c r="O13" s="67">
        <v>3078296446117.0469</v>
      </c>
      <c r="P13" s="67">
        <v>615659289223.40942</v>
      </c>
      <c r="Q13" s="67">
        <v>16.809347402396153</v>
      </c>
      <c r="R13" s="67">
        <v>5.9651491293282211E-13</v>
      </c>
    </row>
    <row r="14" spans="1:18" x14ac:dyDescent="0.3">
      <c r="A14" s="3">
        <v>37956</v>
      </c>
      <c r="B14" s="59">
        <v>845885.5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61">
        <v>10151</v>
      </c>
      <c r="I14" s="192">
        <f t="shared" si="0"/>
        <v>827148.92847126769</v>
      </c>
      <c r="J14" s="36">
        <f t="shared" si="1"/>
        <v>-18736.571528732311</v>
      </c>
      <c r="K14" s="5">
        <f t="shared" si="2"/>
        <v>-2.2150245545918816E-2</v>
      </c>
      <c r="M14" s="35" t="s">
        <v>27</v>
      </c>
      <c r="N14" s="67">
        <v>138</v>
      </c>
      <c r="O14" s="67">
        <v>5054389077634.2344</v>
      </c>
      <c r="P14" s="67">
        <v>36626007808.943726</v>
      </c>
      <c r="Q14" s="67"/>
      <c r="R14" s="67"/>
    </row>
    <row r="15" spans="1:18" ht="12.9" thickBot="1" x14ac:dyDescent="0.35">
      <c r="A15" s="3">
        <v>37987</v>
      </c>
      <c r="B15" s="59">
        <v>907646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61">
        <v>10373</v>
      </c>
      <c r="I15" s="192">
        <f t="shared" si="0"/>
        <v>946277.60426006652</v>
      </c>
      <c r="J15" s="36">
        <f t="shared" si="1"/>
        <v>38631.604260066524</v>
      </c>
      <c r="K15" s="5">
        <f t="shared" si="2"/>
        <v>4.2562413385908743E-2</v>
      </c>
      <c r="M15" s="51" t="s">
        <v>9</v>
      </c>
      <c r="N15" s="68">
        <v>143</v>
      </c>
      <c r="O15" s="68">
        <v>8132685523751.2812</v>
      </c>
      <c r="P15" s="68"/>
      <c r="Q15" s="68"/>
      <c r="R15" s="68"/>
    </row>
    <row r="16" spans="1:18" ht="12.9" thickBot="1" x14ac:dyDescent="0.35">
      <c r="A16" s="3">
        <v>38018</v>
      </c>
      <c r="B16" s="59">
        <v>891830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61">
        <v>10373</v>
      </c>
      <c r="I16" s="192">
        <f t="shared" si="0"/>
        <v>930737.79108764115</v>
      </c>
      <c r="J16" s="36">
        <f t="shared" si="1"/>
        <v>38907.791087641148</v>
      </c>
      <c r="K16" s="5">
        <f t="shared" si="2"/>
        <v>4.3626914420507437E-2</v>
      </c>
      <c r="M16"/>
      <c r="N16"/>
      <c r="O16"/>
      <c r="P16"/>
      <c r="Q16"/>
    </row>
    <row r="17" spans="1:21" ht="12.9" x14ac:dyDescent="0.35">
      <c r="A17" s="3">
        <v>38047</v>
      </c>
      <c r="B17" s="59">
        <v>767788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61">
        <v>10373</v>
      </c>
      <c r="I17" s="192">
        <f t="shared" si="0"/>
        <v>806757.52428653603</v>
      </c>
      <c r="J17" s="36">
        <f t="shared" si="1"/>
        <v>38969.524286536034</v>
      </c>
      <c r="K17" s="5">
        <f t="shared" si="2"/>
        <v>5.0755578735974034E-2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3">
      <c r="A18" s="3">
        <v>38078</v>
      </c>
      <c r="B18" s="59">
        <v>738766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61">
        <v>10373</v>
      </c>
      <c r="I18" s="192">
        <f t="shared" si="0"/>
        <v>791266.92698366742</v>
      </c>
      <c r="J18" s="36">
        <f t="shared" si="1"/>
        <v>52500.926983667421</v>
      </c>
      <c r="K18" s="5">
        <f t="shared" si="2"/>
        <v>7.1065705492222742E-2</v>
      </c>
      <c r="M18" s="35" t="s">
        <v>28</v>
      </c>
      <c r="N18" s="67">
        <v>1517193.424033653</v>
      </c>
      <c r="O18" s="67">
        <v>625093.29254142975</v>
      </c>
      <c r="P18" s="67">
        <v>2.4271471828872597</v>
      </c>
      <c r="Q18" s="67">
        <v>1.6507627306496499E-2</v>
      </c>
      <c r="R18" s="67">
        <v>281194.24259375501</v>
      </c>
      <c r="S18" s="67">
        <v>2753192.605473551</v>
      </c>
      <c r="T18" s="67">
        <v>281194.24259375501</v>
      </c>
      <c r="U18" s="67">
        <v>2753192.605473551</v>
      </c>
    </row>
    <row r="19" spans="1:21" x14ac:dyDescent="0.3">
      <c r="A19" s="3">
        <v>38108</v>
      </c>
      <c r="B19" s="59">
        <v>620361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61">
        <v>10373</v>
      </c>
      <c r="I19" s="192">
        <f t="shared" si="0"/>
        <v>691720.57770088851</v>
      </c>
      <c r="J19" s="36">
        <f t="shared" si="1"/>
        <v>71359.577700888505</v>
      </c>
      <c r="K19" s="5">
        <f t="shared" si="2"/>
        <v>0.11502911643525061</v>
      </c>
      <c r="M19" s="35" t="s">
        <v>3</v>
      </c>
      <c r="N19" s="67">
        <v>391.52227606345048</v>
      </c>
      <c r="O19" s="67">
        <v>97.543450298425796</v>
      </c>
      <c r="P19" s="67">
        <v>4.0138243507444296</v>
      </c>
      <c r="Q19" s="67">
        <v>9.7573293604485229E-5</v>
      </c>
      <c r="R19" s="67">
        <v>198.64926628677466</v>
      </c>
      <c r="S19" s="67">
        <v>584.39528584012623</v>
      </c>
      <c r="T19" s="67">
        <v>198.64926628677466</v>
      </c>
      <c r="U19" s="67">
        <v>584.39528584012623</v>
      </c>
    </row>
    <row r="20" spans="1:21" x14ac:dyDescent="0.3">
      <c r="A20" s="3">
        <v>38139</v>
      </c>
      <c r="B20" s="59">
        <v>571102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61">
        <v>10373</v>
      </c>
      <c r="I20" s="192">
        <f t="shared" si="0"/>
        <v>670704.81447613484</v>
      </c>
      <c r="J20" s="36">
        <f t="shared" si="1"/>
        <v>99602.814476134838</v>
      </c>
      <c r="K20" s="5">
        <f t="shared" si="2"/>
        <v>0.17440459756074192</v>
      </c>
      <c r="M20" s="35" t="s">
        <v>4</v>
      </c>
      <c r="N20" s="67">
        <v>-1274.5689818035937</v>
      </c>
      <c r="O20" s="67">
        <v>754.59784582056625</v>
      </c>
      <c r="P20" s="67">
        <v>-1.6890705279149048</v>
      </c>
      <c r="Q20" s="67">
        <v>9.3464121435187481E-2</v>
      </c>
      <c r="R20" s="67">
        <v>-2766.6379751510376</v>
      </c>
      <c r="S20" s="67">
        <v>217.50001154384995</v>
      </c>
      <c r="T20" s="67">
        <v>-2766.6379751510376</v>
      </c>
      <c r="U20" s="67">
        <v>217.50001154384995</v>
      </c>
    </row>
    <row r="21" spans="1:21" x14ac:dyDescent="0.3">
      <c r="A21" s="3">
        <v>38169</v>
      </c>
      <c r="B21" s="59">
        <v>568453.46031148627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61">
        <v>10373</v>
      </c>
      <c r="I21" s="192">
        <f t="shared" si="0"/>
        <v>540417.706055413</v>
      </c>
      <c r="J21" s="36">
        <f t="shared" si="1"/>
        <v>-28035.754256073269</v>
      </c>
      <c r="K21" s="5">
        <f t="shared" si="2"/>
        <v>-4.931934839610435E-2</v>
      </c>
      <c r="M21" s="35" t="s">
        <v>218</v>
      </c>
      <c r="N21" s="67">
        <v>3089175.0417982498</v>
      </c>
      <c r="O21" s="67">
        <v>1071232.5219924999</v>
      </c>
      <c r="P21" s="67">
        <v>2.8837577074791967</v>
      </c>
      <c r="Q21" s="67">
        <v>4.5602708001122559E-3</v>
      </c>
      <c r="R21" s="67">
        <v>971023.18172726221</v>
      </c>
      <c r="S21" s="67">
        <v>5207326.9018692374</v>
      </c>
      <c r="T21" s="67">
        <v>971023.18172726221</v>
      </c>
      <c r="U21" s="67">
        <v>5207326.9018692374</v>
      </c>
    </row>
    <row r="22" spans="1:21" x14ac:dyDescent="0.3">
      <c r="A22" s="3">
        <v>38200</v>
      </c>
      <c r="B22" s="59">
        <v>586217.63094622013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61">
        <v>10373</v>
      </c>
      <c r="I22" s="192">
        <f t="shared" si="0"/>
        <v>567319.23112844629</v>
      </c>
      <c r="J22" s="36">
        <f t="shared" si="1"/>
        <v>-18898.399817773839</v>
      </c>
      <c r="K22" s="5">
        <f t="shared" si="2"/>
        <v>-3.2237856420779649E-2</v>
      </c>
      <c r="M22" s="35" t="s">
        <v>5</v>
      </c>
      <c r="N22" s="67">
        <v>-33966.368042151131</v>
      </c>
      <c r="O22" s="67">
        <v>20446.207358888194</v>
      </c>
      <c r="P22" s="67">
        <v>-1.6612551876221471</v>
      </c>
      <c r="Q22" s="67">
        <v>9.8932416252092162E-2</v>
      </c>
      <c r="R22" s="67">
        <v>-74394.726273912645</v>
      </c>
      <c r="S22" s="67">
        <v>6461.9901896103911</v>
      </c>
      <c r="T22" s="67">
        <v>-74394.726273912645</v>
      </c>
      <c r="U22" s="67">
        <v>6461.9901896103911</v>
      </c>
    </row>
    <row r="23" spans="1:21" ht="12.9" thickBot="1" x14ac:dyDescent="0.35">
      <c r="A23" s="3">
        <v>38231</v>
      </c>
      <c r="B23" s="59">
        <v>621745.97221568797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61">
        <v>10373</v>
      </c>
      <c r="I23" s="192">
        <f t="shared" si="0"/>
        <v>638487.2288394667</v>
      </c>
      <c r="J23" s="36">
        <f t="shared" si="1"/>
        <v>16741.256623778725</v>
      </c>
      <c r="K23" s="5">
        <f t="shared" si="2"/>
        <v>2.6926200364625872E-2</v>
      </c>
      <c r="M23" s="51" t="s">
        <v>17</v>
      </c>
      <c r="N23" s="68">
        <v>-5736.9182426494217</v>
      </c>
      <c r="O23" s="68">
        <v>41231.213692260128</v>
      </c>
      <c r="P23" s="68">
        <v>-0.13914017388545485</v>
      </c>
      <c r="Q23" s="68">
        <v>0.88954223268103727</v>
      </c>
      <c r="R23" s="68">
        <v>-87263.543118454501</v>
      </c>
      <c r="S23" s="68">
        <v>75789.706633155656</v>
      </c>
      <c r="T23" s="68">
        <v>-87263.543118454501</v>
      </c>
      <c r="U23" s="68">
        <v>75789.706633155656</v>
      </c>
    </row>
    <row r="24" spans="1:21" x14ac:dyDescent="0.3">
      <c r="A24" s="3">
        <v>38261</v>
      </c>
      <c r="B24" s="59">
        <v>721382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10373</v>
      </c>
      <c r="I24" s="192">
        <f t="shared" si="0"/>
        <v>729678.98378352798</v>
      </c>
      <c r="J24" s="36">
        <f t="shared" si="1"/>
        <v>8296.9837835279759</v>
      </c>
      <c r="K24" s="5">
        <f t="shared" si="2"/>
        <v>1.1501512074778656E-2</v>
      </c>
      <c r="M24"/>
      <c r="N24"/>
      <c r="O24"/>
      <c r="P24"/>
      <c r="Q24"/>
    </row>
    <row r="25" spans="1:21" x14ac:dyDescent="0.3">
      <c r="A25" s="3">
        <v>38292</v>
      </c>
      <c r="B25" s="59">
        <v>849679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10373</v>
      </c>
      <c r="I25" s="192">
        <f t="shared" si="0"/>
        <v>822647.75882844103</v>
      </c>
      <c r="J25" s="36">
        <f t="shared" si="1"/>
        <v>-27031.24117155897</v>
      </c>
      <c r="K25" s="5">
        <f t="shared" si="2"/>
        <v>-3.1813474466897466E-2</v>
      </c>
      <c r="M25"/>
      <c r="N25"/>
      <c r="O25"/>
      <c r="P25"/>
      <c r="Q25"/>
    </row>
    <row r="26" spans="1:21" x14ac:dyDescent="0.3">
      <c r="A26" s="3">
        <v>38322</v>
      </c>
      <c r="B26" s="59">
        <v>898128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10373</v>
      </c>
      <c r="I26" s="192">
        <f t="shared" si="0"/>
        <v>889088.39538108162</v>
      </c>
      <c r="J26" s="36">
        <f t="shared" si="1"/>
        <v>-9039.6046189183835</v>
      </c>
      <c r="K26" s="5">
        <f t="shared" si="2"/>
        <v>-1.0064940207763686E-2</v>
      </c>
      <c r="M26"/>
      <c r="N26"/>
      <c r="O26"/>
      <c r="P26"/>
      <c r="Q26"/>
    </row>
    <row r="27" spans="1:21" x14ac:dyDescent="0.3">
      <c r="A27" s="3">
        <v>38353</v>
      </c>
      <c r="B27" s="59">
        <v>978057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10624</v>
      </c>
      <c r="I27" s="192">
        <f t="shared" si="0"/>
        <v>978536.47454174422</v>
      </c>
      <c r="J27" s="36">
        <f t="shared" si="1"/>
        <v>479.47454174421728</v>
      </c>
      <c r="K27" s="5">
        <f t="shared" si="2"/>
        <v>4.9023169584616979E-4</v>
      </c>
      <c r="M27"/>
      <c r="N27"/>
      <c r="O27"/>
      <c r="P27"/>
      <c r="Q27"/>
    </row>
    <row r="28" spans="1:21" x14ac:dyDescent="0.3">
      <c r="A28" s="3">
        <v>38384</v>
      </c>
      <c r="B28" s="59">
        <v>949499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10624</v>
      </c>
      <c r="I28" s="192">
        <f t="shared" si="0"/>
        <v>1019358.1036022994</v>
      </c>
      <c r="J28" s="36">
        <f t="shared" si="1"/>
        <v>69859.10360229935</v>
      </c>
      <c r="K28" s="5">
        <f t="shared" si="2"/>
        <v>7.3574699501841867E-2</v>
      </c>
    </row>
    <row r="29" spans="1:21" x14ac:dyDescent="0.3">
      <c r="A29" s="3">
        <v>38412</v>
      </c>
      <c r="B29" s="59">
        <v>794528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10624</v>
      </c>
      <c r="I29" s="192">
        <f t="shared" si="0"/>
        <v>907337.03174128593</v>
      </c>
      <c r="J29" s="36">
        <f t="shared" si="1"/>
        <v>112809.03174128593</v>
      </c>
      <c r="K29" s="5">
        <f t="shared" si="2"/>
        <v>0.14198244963209092</v>
      </c>
    </row>
    <row r="30" spans="1:21" x14ac:dyDescent="0.3">
      <c r="A30" s="3">
        <v>38443</v>
      </c>
      <c r="B30" s="59">
        <v>791600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61">
        <v>10624</v>
      </c>
      <c r="I30" s="192">
        <f t="shared" si="0"/>
        <v>814445.68856320006</v>
      </c>
      <c r="J30" s="36">
        <f t="shared" si="1"/>
        <v>22845.688563200063</v>
      </c>
      <c r="K30" s="5">
        <f t="shared" si="2"/>
        <v>2.8860142197069307E-2</v>
      </c>
    </row>
    <row r="31" spans="1:21" x14ac:dyDescent="0.3">
      <c r="A31" s="3">
        <v>38473</v>
      </c>
      <c r="B31" s="59">
        <v>678279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61">
        <v>10624</v>
      </c>
      <c r="I31" s="192">
        <f t="shared" si="0"/>
        <v>737342.71728037903</v>
      </c>
      <c r="J31" s="36">
        <f t="shared" si="1"/>
        <v>59063.717280379031</v>
      </c>
      <c r="K31" s="5">
        <f t="shared" si="2"/>
        <v>8.7078793948182132E-2</v>
      </c>
    </row>
    <row r="32" spans="1:21" x14ac:dyDescent="0.3">
      <c r="A32" s="3">
        <v>38504</v>
      </c>
      <c r="B32" s="59">
        <v>623044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61">
        <v>10624</v>
      </c>
      <c r="I32" s="192">
        <f t="shared" si="0"/>
        <v>583600.51412033511</v>
      </c>
      <c r="J32" s="36">
        <f t="shared" si="1"/>
        <v>-39443.485879664891</v>
      </c>
      <c r="K32" s="5">
        <f t="shared" si="2"/>
        <v>-6.3307705201662956E-2</v>
      </c>
    </row>
    <row r="33" spans="1:11" x14ac:dyDescent="0.3">
      <c r="A33" s="3">
        <v>38534</v>
      </c>
      <c r="B33" s="59">
        <v>559827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61">
        <v>10624</v>
      </c>
      <c r="I33" s="192">
        <f t="shared" si="0"/>
        <v>446171.28690085793</v>
      </c>
      <c r="J33" s="36">
        <f t="shared" si="1"/>
        <v>-113655.71309914207</v>
      </c>
      <c r="K33" s="5">
        <f t="shared" si="2"/>
        <v>-0.20301934901164478</v>
      </c>
    </row>
    <row r="34" spans="1:11" x14ac:dyDescent="0.3">
      <c r="A34" s="3">
        <v>38565</v>
      </c>
      <c r="B34" s="59">
        <v>606119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61">
        <v>10624</v>
      </c>
      <c r="I34" s="192">
        <f t="shared" si="0"/>
        <v>502665.5420746801</v>
      </c>
      <c r="J34" s="36">
        <f t="shared" si="1"/>
        <v>-103453.4579253199</v>
      </c>
      <c r="K34" s="5">
        <f t="shared" si="2"/>
        <v>-0.17068176038916436</v>
      </c>
    </row>
    <row r="35" spans="1:11" x14ac:dyDescent="0.3">
      <c r="A35" s="3">
        <v>38596</v>
      </c>
      <c r="B35" s="59">
        <v>674980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61">
        <v>10624</v>
      </c>
      <c r="I35" s="192">
        <f t="shared" si="0"/>
        <v>641111.44683734083</v>
      </c>
      <c r="J35" s="36">
        <f t="shared" si="1"/>
        <v>-33868.553162659169</v>
      </c>
      <c r="K35" s="5">
        <f t="shared" si="2"/>
        <v>-5.0177121044563053E-2</v>
      </c>
    </row>
    <row r="36" spans="1:11" x14ac:dyDescent="0.3">
      <c r="A36" s="3">
        <v>38626</v>
      </c>
      <c r="B36" s="59">
        <v>744249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10624</v>
      </c>
      <c r="I36" s="192">
        <f t="shared" si="0"/>
        <v>752459.22517689969</v>
      </c>
      <c r="J36" s="36">
        <f t="shared" si="1"/>
        <v>8210.2251768996939</v>
      </c>
      <c r="K36" s="5">
        <f t="shared" si="2"/>
        <v>1.1031556880694087E-2</v>
      </c>
    </row>
    <row r="37" spans="1:11" x14ac:dyDescent="0.3">
      <c r="A37" s="3">
        <v>38657</v>
      </c>
      <c r="B37" s="59">
        <v>859234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10624</v>
      </c>
      <c r="I37" s="192">
        <f t="shared" si="0"/>
        <v>855461.81933823728</v>
      </c>
      <c r="J37" s="36">
        <f t="shared" si="1"/>
        <v>-3772.1806617627153</v>
      </c>
      <c r="K37" s="5">
        <f t="shared" si="2"/>
        <v>-4.3901668948886042E-3</v>
      </c>
    </row>
    <row r="38" spans="1:11" x14ac:dyDescent="0.3">
      <c r="A38" s="3">
        <v>38687</v>
      </c>
      <c r="B38" s="59">
        <v>923562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10624</v>
      </c>
      <c r="I38" s="192">
        <f t="shared" si="0"/>
        <v>922215.67371172877</v>
      </c>
      <c r="J38" s="36">
        <f t="shared" si="1"/>
        <v>-1346.3262882712297</v>
      </c>
      <c r="K38" s="5">
        <f t="shared" si="2"/>
        <v>-1.4577540958497965E-3</v>
      </c>
    </row>
    <row r="39" spans="1:11" x14ac:dyDescent="0.3">
      <c r="A39" s="3">
        <v>38718</v>
      </c>
      <c r="B39" s="60">
        <v>986287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61">
        <v>11038</v>
      </c>
      <c r="I39" s="192">
        <f t="shared" si="0"/>
        <v>889758.47702606884</v>
      </c>
      <c r="J39" s="36">
        <f t="shared" si="1"/>
        <v>-96528.522973931162</v>
      </c>
      <c r="K39" s="5">
        <f t="shared" si="2"/>
        <v>-9.7870622824726639E-2</v>
      </c>
    </row>
    <row r="40" spans="1:11" x14ac:dyDescent="0.3">
      <c r="A40" s="3">
        <v>38749</v>
      </c>
      <c r="B40" s="60">
        <v>965836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61">
        <v>11038</v>
      </c>
      <c r="I40" s="192">
        <f t="shared" si="0"/>
        <v>1011468.6083213325</v>
      </c>
      <c r="J40" s="36">
        <f t="shared" si="1"/>
        <v>45632.608321332489</v>
      </c>
      <c r="K40" s="5">
        <f t="shared" si="2"/>
        <v>4.7246746157041664E-2</v>
      </c>
    </row>
    <row r="41" spans="1:11" x14ac:dyDescent="0.3">
      <c r="A41" s="3">
        <v>38777</v>
      </c>
      <c r="B41" s="60">
        <v>814933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61">
        <v>11038</v>
      </c>
      <c r="I41" s="192">
        <f t="shared" si="0"/>
        <v>874546.71970268385</v>
      </c>
      <c r="J41" s="36">
        <f t="shared" si="1"/>
        <v>59613.719702683855</v>
      </c>
      <c r="K41" s="5">
        <f t="shared" si="2"/>
        <v>7.3151682043411978E-2</v>
      </c>
    </row>
    <row r="42" spans="1:11" x14ac:dyDescent="0.3">
      <c r="A42" s="3">
        <v>38808</v>
      </c>
      <c r="B42" s="60">
        <v>803774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61">
        <v>11038</v>
      </c>
      <c r="I42" s="192">
        <f t="shared" si="0"/>
        <v>813780.10069389211</v>
      </c>
      <c r="J42" s="36">
        <f t="shared" si="1"/>
        <v>10006.100693892105</v>
      </c>
      <c r="K42" s="5">
        <f t="shared" si="2"/>
        <v>1.2448898190153084E-2</v>
      </c>
    </row>
    <row r="43" spans="1:11" x14ac:dyDescent="0.3">
      <c r="A43" s="3">
        <v>38838</v>
      </c>
      <c r="B43" s="60">
        <v>691635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61">
        <v>11038</v>
      </c>
      <c r="I43" s="192">
        <f t="shared" si="0"/>
        <v>704379.38599907397</v>
      </c>
      <c r="J43" s="36">
        <f t="shared" si="1"/>
        <v>12744.385999073973</v>
      </c>
      <c r="K43" s="5">
        <f t="shared" si="2"/>
        <v>1.842646193306292E-2</v>
      </c>
    </row>
    <row r="44" spans="1:11" x14ac:dyDescent="0.3">
      <c r="A44" s="3">
        <v>38869</v>
      </c>
      <c r="B44" s="60">
        <v>643096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61">
        <v>11038</v>
      </c>
      <c r="I44" s="192">
        <f t="shared" si="0"/>
        <v>655529.4167001528</v>
      </c>
      <c r="J44" s="36">
        <f t="shared" si="1"/>
        <v>12433.416700152797</v>
      </c>
      <c r="K44" s="5">
        <f t="shared" si="2"/>
        <v>1.9333686883688899E-2</v>
      </c>
    </row>
    <row r="45" spans="1:11" x14ac:dyDescent="0.3">
      <c r="A45" s="3">
        <v>38899</v>
      </c>
      <c r="B45" s="60">
        <v>580475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61">
        <v>11038</v>
      </c>
      <c r="I45" s="192">
        <f t="shared" si="0"/>
        <v>531643.53291289369</v>
      </c>
      <c r="J45" s="36">
        <f t="shared" si="1"/>
        <v>-48831.467087106314</v>
      </c>
      <c r="K45" s="5">
        <f t="shared" si="2"/>
        <v>-8.4123290558777403E-2</v>
      </c>
    </row>
    <row r="46" spans="1:11" x14ac:dyDescent="0.3">
      <c r="A46" s="3">
        <v>38930</v>
      </c>
      <c r="B46" s="60">
        <v>620967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61">
        <v>11038</v>
      </c>
      <c r="I46" s="192">
        <f t="shared" si="0"/>
        <v>565202.1520942566</v>
      </c>
      <c r="J46" s="36">
        <f t="shared" si="1"/>
        <v>-55764.847905743401</v>
      </c>
      <c r="K46" s="5">
        <f t="shared" si="2"/>
        <v>-8.9803238989742448E-2</v>
      </c>
    </row>
    <row r="47" spans="1:11" x14ac:dyDescent="0.3">
      <c r="A47" s="3">
        <v>38961</v>
      </c>
      <c r="B47" s="60">
        <v>694246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61">
        <v>11038</v>
      </c>
      <c r="I47" s="192">
        <f t="shared" si="0"/>
        <v>717531.34039564186</v>
      </c>
      <c r="J47" s="36">
        <f t="shared" si="1"/>
        <v>23285.340395641862</v>
      </c>
      <c r="K47" s="5">
        <f t="shared" si="2"/>
        <v>3.3540474695773349E-2</v>
      </c>
    </row>
    <row r="48" spans="1:11" x14ac:dyDescent="0.3">
      <c r="A48" s="3">
        <v>38991</v>
      </c>
      <c r="B48" s="60">
        <v>766235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61">
        <v>11038</v>
      </c>
      <c r="I48" s="192">
        <f t="shared" si="0"/>
        <v>772985.84129182482</v>
      </c>
      <c r="J48" s="36">
        <f t="shared" si="1"/>
        <v>6750.8412918248214</v>
      </c>
      <c r="K48" s="5">
        <f t="shared" si="2"/>
        <v>8.8104058047789799E-3</v>
      </c>
    </row>
    <row r="49" spans="1:11" x14ac:dyDescent="0.3">
      <c r="A49" s="3">
        <v>39022</v>
      </c>
      <c r="B49" s="60">
        <v>886587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61">
        <v>11038</v>
      </c>
      <c r="I49" s="192">
        <f t="shared" si="0"/>
        <v>843324.62878027034</v>
      </c>
      <c r="J49" s="36">
        <f t="shared" si="1"/>
        <v>-43262.371219729655</v>
      </c>
      <c r="K49" s="5">
        <f t="shared" si="2"/>
        <v>-4.8796532342262694E-2</v>
      </c>
    </row>
    <row r="50" spans="1:11" x14ac:dyDescent="0.3">
      <c r="A50" s="3">
        <v>39052</v>
      </c>
      <c r="B50" s="60">
        <v>944454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61">
        <v>11038</v>
      </c>
      <c r="I50" s="192">
        <f t="shared" si="0"/>
        <v>855813.49569136766</v>
      </c>
      <c r="J50" s="36">
        <f t="shared" si="1"/>
        <v>-88640.504308632342</v>
      </c>
      <c r="K50" s="5">
        <f t="shared" si="2"/>
        <v>-9.3853702042272405E-2</v>
      </c>
    </row>
    <row r="51" spans="1:11" x14ac:dyDescent="0.3">
      <c r="A51" s="3">
        <v>39083</v>
      </c>
      <c r="B51" s="60">
        <v>1025924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61">
        <v>11523</v>
      </c>
      <c r="I51" s="192">
        <f t="shared" si="0"/>
        <v>880146.28373042308</v>
      </c>
      <c r="J51" s="36">
        <f t="shared" si="1"/>
        <v>-145777.71626957692</v>
      </c>
      <c r="K51" s="5">
        <f t="shared" si="2"/>
        <v>-0.14209406960903237</v>
      </c>
    </row>
    <row r="52" spans="1:11" x14ac:dyDescent="0.3">
      <c r="A52" s="3">
        <v>39114</v>
      </c>
      <c r="B52" s="60">
        <v>999738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61">
        <v>11523</v>
      </c>
      <c r="I52" s="192">
        <f t="shared" si="0"/>
        <v>1029184.6698949157</v>
      </c>
      <c r="J52" s="36">
        <f t="shared" si="1"/>
        <v>29446.669894915656</v>
      </c>
      <c r="K52" s="5">
        <f t="shared" si="2"/>
        <v>2.9454386944295061E-2</v>
      </c>
    </row>
    <row r="53" spans="1:11" x14ac:dyDescent="0.3">
      <c r="A53" s="3">
        <v>39142</v>
      </c>
      <c r="B53" s="60">
        <v>838997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61">
        <v>11523</v>
      </c>
      <c r="I53" s="192">
        <f t="shared" si="0"/>
        <v>837136.44480653317</v>
      </c>
      <c r="J53" s="36">
        <f t="shared" si="1"/>
        <v>-1860.5551934668329</v>
      </c>
      <c r="K53" s="5">
        <f t="shared" si="2"/>
        <v>-2.2175945724082838E-3</v>
      </c>
    </row>
    <row r="54" spans="1:11" x14ac:dyDescent="0.3">
      <c r="A54" s="3">
        <v>39173</v>
      </c>
      <c r="B54" s="60">
        <v>828764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61">
        <v>11523</v>
      </c>
      <c r="I54" s="192">
        <f t="shared" si="0"/>
        <v>784509.63820075791</v>
      </c>
      <c r="J54" s="36">
        <f t="shared" si="1"/>
        <v>-44254.361799242091</v>
      </c>
      <c r="K54" s="5">
        <f t="shared" si="2"/>
        <v>-5.3398026216440499E-2</v>
      </c>
    </row>
    <row r="55" spans="1:11" x14ac:dyDescent="0.3">
      <c r="A55" s="3">
        <v>39203</v>
      </c>
      <c r="B55" s="60">
        <v>711436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61">
        <v>11523</v>
      </c>
      <c r="I55" s="192">
        <f t="shared" si="0"/>
        <v>663527.68522971845</v>
      </c>
      <c r="J55" s="36">
        <f t="shared" si="1"/>
        <v>-47908.314770281548</v>
      </c>
      <c r="K55" s="5">
        <f t="shared" si="2"/>
        <v>-6.7340301545439851E-2</v>
      </c>
    </row>
    <row r="56" spans="1:11" x14ac:dyDescent="0.3">
      <c r="A56" s="3">
        <v>39234</v>
      </c>
      <c r="B56" s="60">
        <v>632106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61">
        <v>11523</v>
      </c>
      <c r="I56" s="192">
        <f t="shared" si="0"/>
        <v>641085.28574365156</v>
      </c>
      <c r="J56" s="36">
        <f t="shared" si="1"/>
        <v>8979.2857436515624</v>
      </c>
      <c r="K56" s="5">
        <f t="shared" si="2"/>
        <v>1.4205348064488492E-2</v>
      </c>
    </row>
    <row r="57" spans="1:11" x14ac:dyDescent="0.3">
      <c r="A57" s="3">
        <v>39264</v>
      </c>
      <c r="B57" s="60">
        <v>597445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61">
        <v>11523</v>
      </c>
      <c r="I57" s="192">
        <f t="shared" si="0"/>
        <v>612327.39156077872</v>
      </c>
      <c r="J57" s="36">
        <f t="shared" si="1"/>
        <v>14882.39156077872</v>
      </c>
      <c r="K57" s="5">
        <f t="shared" si="2"/>
        <v>2.4910061278910562E-2</v>
      </c>
    </row>
    <row r="58" spans="1:11" x14ac:dyDescent="0.3">
      <c r="A58" s="3">
        <v>39295</v>
      </c>
      <c r="B58" s="60">
        <v>643097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61">
        <v>11523</v>
      </c>
      <c r="I58" s="192">
        <f t="shared" si="0"/>
        <v>551602.14990395447</v>
      </c>
      <c r="J58" s="36">
        <f t="shared" si="1"/>
        <v>-91494.850096045528</v>
      </c>
      <c r="K58" s="5">
        <f t="shared" si="2"/>
        <v>-0.14227223901844593</v>
      </c>
    </row>
    <row r="59" spans="1:11" x14ac:dyDescent="0.3">
      <c r="A59" s="3">
        <v>39326</v>
      </c>
      <c r="B59" s="60">
        <v>721567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61">
        <v>11523</v>
      </c>
      <c r="I59" s="192">
        <f t="shared" si="0"/>
        <v>682365.066474249</v>
      </c>
      <c r="J59" s="36">
        <f t="shared" si="1"/>
        <v>-39201.933525750996</v>
      </c>
      <c r="K59" s="5">
        <f t="shared" si="2"/>
        <v>-5.4328889106279796E-2</v>
      </c>
    </row>
    <row r="60" spans="1:11" x14ac:dyDescent="0.3">
      <c r="A60" s="3">
        <v>39356</v>
      </c>
      <c r="B60" s="60">
        <v>796324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61">
        <v>11523</v>
      </c>
      <c r="I60" s="192">
        <f t="shared" si="0"/>
        <v>686678.28505445202</v>
      </c>
      <c r="J60" s="36">
        <f t="shared" si="1"/>
        <v>-109645.71494554798</v>
      </c>
      <c r="K60" s="5">
        <f t="shared" si="2"/>
        <v>-0.13768982844363348</v>
      </c>
    </row>
    <row r="61" spans="1:11" x14ac:dyDescent="0.3">
      <c r="A61" s="3">
        <v>39387</v>
      </c>
      <c r="B61" s="60">
        <v>921833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61">
        <v>11523</v>
      </c>
      <c r="I61" s="192">
        <f t="shared" si="0"/>
        <v>803882.28898769279</v>
      </c>
      <c r="J61" s="36">
        <f t="shared" si="1"/>
        <v>-117950.71101230721</v>
      </c>
      <c r="K61" s="5">
        <f t="shared" si="2"/>
        <v>-0.12795236340238114</v>
      </c>
    </row>
    <row r="62" spans="1:11" x14ac:dyDescent="0.3">
      <c r="A62" s="3">
        <v>39417</v>
      </c>
      <c r="B62" s="60">
        <v>987290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61">
        <v>11523</v>
      </c>
      <c r="I62" s="192">
        <f t="shared" si="0"/>
        <v>784931.91713089496</v>
      </c>
      <c r="J62" s="36">
        <f t="shared" si="1"/>
        <v>-202358.08286910504</v>
      </c>
      <c r="K62" s="5">
        <f t="shared" si="2"/>
        <v>-0.20496316469234474</v>
      </c>
    </row>
    <row r="63" spans="1:11" x14ac:dyDescent="0.3">
      <c r="A63" s="3">
        <v>39448</v>
      </c>
      <c r="B63" s="61">
        <v>1065645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61">
        <v>11548</v>
      </c>
      <c r="I63" s="192">
        <f t="shared" si="0"/>
        <v>837572.40856591379</v>
      </c>
      <c r="J63" s="36">
        <f t="shared" si="1"/>
        <v>-228072.59143408621</v>
      </c>
      <c r="K63" s="5">
        <f t="shared" si="2"/>
        <v>-0.21402304842052111</v>
      </c>
    </row>
    <row r="64" spans="1:11" x14ac:dyDescent="0.3">
      <c r="A64" s="3">
        <v>39479</v>
      </c>
      <c r="B64" s="61">
        <v>1048455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61">
        <v>11548</v>
      </c>
      <c r="I64" s="192">
        <f t="shared" si="0"/>
        <v>860401.77844770649</v>
      </c>
      <c r="J64" s="36">
        <f t="shared" si="1"/>
        <v>-188053.22155229351</v>
      </c>
      <c r="K64" s="5">
        <f t="shared" si="2"/>
        <v>-0.17936222494269521</v>
      </c>
    </row>
    <row r="65" spans="1:17" x14ac:dyDescent="0.3">
      <c r="A65" s="3">
        <v>39508</v>
      </c>
      <c r="B65" s="61">
        <v>899688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61">
        <v>11548</v>
      </c>
      <c r="I65" s="192">
        <f t="shared" si="0"/>
        <v>830739.22795028682</v>
      </c>
      <c r="J65" s="36">
        <f t="shared" si="1"/>
        <v>-68948.772049713181</v>
      </c>
      <c r="K65" s="5">
        <f t="shared" si="2"/>
        <v>-7.6636313977415702E-2</v>
      </c>
    </row>
    <row r="66" spans="1:17" x14ac:dyDescent="0.3">
      <c r="A66" s="3">
        <v>39539</v>
      </c>
      <c r="B66" s="61">
        <v>864033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11606</v>
      </c>
      <c r="I66" s="192">
        <f t="shared" si="0"/>
        <v>777678.53873831511</v>
      </c>
      <c r="J66" s="36">
        <f t="shared" si="1"/>
        <v>-86354.46126168489</v>
      </c>
      <c r="K66" s="5">
        <f t="shared" si="2"/>
        <v>-9.9943475841414497E-2</v>
      </c>
    </row>
    <row r="67" spans="1:17" x14ac:dyDescent="0.3">
      <c r="A67" s="3">
        <v>39569</v>
      </c>
      <c r="B67" s="61">
        <v>734031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11633</v>
      </c>
      <c r="I67" s="192">
        <f t="shared" si="0"/>
        <v>746217.91326297028</v>
      </c>
      <c r="J67" s="36">
        <f t="shared" si="1"/>
        <v>12186.91326297028</v>
      </c>
      <c r="K67" s="5">
        <f t="shared" si="2"/>
        <v>1.6602722859075814E-2</v>
      </c>
    </row>
    <row r="68" spans="1:17" x14ac:dyDescent="0.3">
      <c r="A68" s="3">
        <v>39600</v>
      </c>
      <c r="B68" s="61">
        <v>674578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11633</v>
      </c>
      <c r="I68" s="192">
        <f t="shared" ref="I68:I131" si="3">$N$18+C68*$N$19+D68*$N$20+E68*$N$21+F68*$N$22+G68*$N$23</f>
        <v>702790.10317060829</v>
      </c>
      <c r="J68" s="36">
        <f t="shared" ref="J68:J131" si="4">I68-B68</f>
        <v>28212.103170608287</v>
      </c>
      <c r="K68" s="5">
        <f t="shared" ref="K68:K131" si="5">J68/B68</f>
        <v>4.1821854804942181E-2</v>
      </c>
    </row>
    <row r="69" spans="1:17" x14ac:dyDescent="0.3">
      <c r="A69" s="3">
        <v>39630</v>
      </c>
      <c r="B69" s="61">
        <v>610991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11633</v>
      </c>
      <c r="I69" s="192">
        <f t="shared" si="3"/>
        <v>596432.90436257166</v>
      </c>
      <c r="J69" s="36">
        <f t="shared" si="4"/>
        <v>-14558.095637428341</v>
      </c>
      <c r="K69" s="5">
        <f t="shared" si="5"/>
        <v>-2.3827021408545038E-2</v>
      </c>
    </row>
    <row r="70" spans="1:17" x14ac:dyDescent="0.3">
      <c r="A70" s="3">
        <v>39661</v>
      </c>
      <c r="B70" s="61">
        <v>654944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11633</v>
      </c>
      <c r="I70" s="192">
        <f t="shared" si="3"/>
        <v>641593.31242299709</v>
      </c>
      <c r="J70" s="36">
        <f t="shared" si="4"/>
        <v>-13350.687577002915</v>
      </c>
      <c r="K70" s="5">
        <f t="shared" si="5"/>
        <v>-2.03844719197411E-2</v>
      </c>
    </row>
    <row r="71" spans="1:17" x14ac:dyDescent="0.3">
      <c r="A71" s="3">
        <v>39692</v>
      </c>
      <c r="B71" s="61">
        <v>733090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11663</v>
      </c>
      <c r="I71" s="192">
        <f t="shared" si="3"/>
        <v>703485.92518839042</v>
      </c>
      <c r="J71" s="36">
        <f t="shared" si="4"/>
        <v>-29604.074811609578</v>
      </c>
      <c r="K71" s="5">
        <f t="shared" si="5"/>
        <v>-4.0382592603376906E-2</v>
      </c>
    </row>
    <row r="72" spans="1:17" x14ac:dyDescent="0.3">
      <c r="A72" s="3">
        <v>39722</v>
      </c>
      <c r="B72" s="61">
        <v>803901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61">
        <v>11679</v>
      </c>
      <c r="I72" s="192">
        <f t="shared" si="3"/>
        <v>785151.27409666544</v>
      </c>
      <c r="J72" s="36">
        <f t="shared" si="4"/>
        <v>-18749.725903334562</v>
      </c>
      <c r="K72" s="5">
        <f t="shared" si="5"/>
        <v>-2.332342652059714E-2</v>
      </c>
    </row>
    <row r="73" spans="1:17" x14ac:dyDescent="0.3">
      <c r="A73" s="3">
        <v>39753</v>
      </c>
      <c r="B73" s="61">
        <v>828423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61">
        <v>11687</v>
      </c>
      <c r="I73" s="192">
        <f t="shared" si="3"/>
        <v>844840.65567618504</v>
      </c>
      <c r="J73" s="36">
        <f t="shared" si="4"/>
        <v>16417.655676185037</v>
      </c>
      <c r="K73" s="5">
        <f t="shared" si="5"/>
        <v>1.9817962171722703E-2</v>
      </c>
    </row>
    <row r="74" spans="1:17" x14ac:dyDescent="0.3">
      <c r="A74" s="3">
        <v>39783</v>
      </c>
      <c r="B74" s="61">
        <v>808061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61">
        <v>11720</v>
      </c>
      <c r="I74" s="192">
        <f t="shared" si="3"/>
        <v>859717.80847126921</v>
      </c>
      <c r="J74" s="36">
        <f t="shared" si="4"/>
        <v>51656.808471269207</v>
      </c>
      <c r="K74" s="5">
        <f t="shared" si="5"/>
        <v>6.3926867490535E-2</v>
      </c>
    </row>
    <row r="75" spans="1:17" s="14" customFormat="1" x14ac:dyDescent="0.3">
      <c r="A75" s="3">
        <v>39814</v>
      </c>
      <c r="B75" s="61">
        <v>1078053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61">
        <v>11815</v>
      </c>
      <c r="I75" s="192">
        <f t="shared" si="3"/>
        <v>988556.23670644197</v>
      </c>
      <c r="J75" s="36">
        <f t="shared" si="4"/>
        <v>-89496.763293558033</v>
      </c>
      <c r="K75" s="5">
        <f t="shared" si="5"/>
        <v>-8.3017034685268748E-2</v>
      </c>
      <c r="L75" s="11"/>
      <c r="M75" s="11"/>
      <c r="N75" s="11"/>
      <c r="O75" s="11"/>
      <c r="P75" s="11"/>
      <c r="Q75" s="11"/>
    </row>
    <row r="76" spans="1:17" x14ac:dyDescent="0.3">
      <c r="A76" s="3">
        <v>39845</v>
      </c>
      <c r="B76" s="61">
        <v>1060644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61">
        <v>11815</v>
      </c>
      <c r="I76" s="192">
        <f t="shared" si="3"/>
        <v>1055609.8582632481</v>
      </c>
      <c r="J76" s="36">
        <f t="shared" si="4"/>
        <v>-5034.1417367518879</v>
      </c>
      <c r="K76" s="5">
        <f t="shared" si="5"/>
        <v>-4.7463067124802368E-3</v>
      </c>
    </row>
    <row r="77" spans="1:17" x14ac:dyDescent="0.3">
      <c r="A77" s="3">
        <v>39873</v>
      </c>
      <c r="B77" s="61">
        <v>887461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61">
        <v>11815</v>
      </c>
      <c r="I77" s="192">
        <f t="shared" si="3"/>
        <v>888031.77542883111</v>
      </c>
      <c r="J77" s="36">
        <f t="shared" si="4"/>
        <v>570.77542883111164</v>
      </c>
      <c r="K77" s="5">
        <f t="shared" si="5"/>
        <v>6.431555063615321E-4</v>
      </c>
    </row>
    <row r="78" spans="1:17" x14ac:dyDescent="0.3">
      <c r="A78" s="3">
        <v>39904</v>
      </c>
      <c r="B78" s="61">
        <v>893766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61">
        <v>11815</v>
      </c>
      <c r="I78" s="192">
        <f t="shared" si="3"/>
        <v>887172.55843342666</v>
      </c>
      <c r="J78" s="36">
        <f t="shared" si="4"/>
        <v>-6593.4415665733395</v>
      </c>
      <c r="K78" s="5">
        <f t="shared" si="5"/>
        <v>-7.3771452109090514E-3</v>
      </c>
    </row>
    <row r="79" spans="1:17" x14ac:dyDescent="0.3">
      <c r="A79" s="3">
        <v>39934</v>
      </c>
      <c r="B79" s="61">
        <v>768408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61">
        <v>11872</v>
      </c>
      <c r="I79" s="192">
        <f t="shared" si="3"/>
        <v>796944.43932095752</v>
      </c>
      <c r="J79" s="36">
        <f t="shared" si="4"/>
        <v>28536.439320957521</v>
      </c>
      <c r="K79" s="5">
        <f t="shared" si="5"/>
        <v>3.7137092951866096E-2</v>
      </c>
    </row>
    <row r="80" spans="1:17" x14ac:dyDescent="0.3">
      <c r="A80" s="3">
        <v>39965</v>
      </c>
      <c r="B80" s="61">
        <v>705252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61">
        <v>11873</v>
      </c>
      <c r="I80" s="192">
        <f t="shared" si="3"/>
        <v>759197.76201000425</v>
      </c>
      <c r="J80" s="36">
        <f t="shared" si="4"/>
        <v>53945.762010004255</v>
      </c>
      <c r="K80" s="5">
        <f t="shared" si="5"/>
        <v>7.6491469729974892E-2</v>
      </c>
    </row>
    <row r="81" spans="1:17" x14ac:dyDescent="0.3">
      <c r="A81" s="3">
        <v>39995</v>
      </c>
      <c r="B81" s="61">
        <v>633473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61">
        <v>11873</v>
      </c>
      <c r="I81" s="192">
        <f t="shared" si="3"/>
        <v>731656.25200149557</v>
      </c>
      <c r="J81" s="36">
        <f t="shared" si="4"/>
        <v>98183.252001495566</v>
      </c>
      <c r="K81" s="5">
        <f t="shared" si="5"/>
        <v>0.1549920075543797</v>
      </c>
    </row>
    <row r="82" spans="1:17" x14ac:dyDescent="0.3">
      <c r="A82" s="3">
        <v>40026</v>
      </c>
      <c r="B82" s="61">
        <v>670214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61">
        <v>11875</v>
      </c>
      <c r="I82" s="192">
        <f t="shared" si="3"/>
        <v>663802.57562809368</v>
      </c>
      <c r="J82" s="36">
        <f t="shared" si="4"/>
        <v>-6411.4243719063234</v>
      </c>
      <c r="K82" s="5">
        <f t="shared" si="5"/>
        <v>-9.5662346234282238E-3</v>
      </c>
    </row>
    <row r="83" spans="1:17" x14ac:dyDescent="0.3">
      <c r="A83" s="3">
        <v>40057</v>
      </c>
      <c r="B83" s="61">
        <v>756265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61">
        <v>11875</v>
      </c>
      <c r="I83" s="192">
        <f t="shared" si="3"/>
        <v>799836.61614998279</v>
      </c>
      <c r="J83" s="36">
        <f t="shared" si="4"/>
        <v>43571.616149982787</v>
      </c>
      <c r="K83" s="5">
        <f t="shared" si="5"/>
        <v>5.7614217436986755E-2</v>
      </c>
    </row>
    <row r="84" spans="1:17" x14ac:dyDescent="0.3">
      <c r="A84" s="3">
        <v>40087</v>
      </c>
      <c r="B84" s="61">
        <v>821580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61">
        <v>11882</v>
      </c>
      <c r="I84" s="192">
        <f t="shared" si="3"/>
        <v>880135.86394281103</v>
      </c>
      <c r="J84" s="36">
        <f t="shared" si="4"/>
        <v>58555.863942811033</v>
      </c>
      <c r="K84" s="5">
        <f t="shared" si="5"/>
        <v>7.1272260696232909E-2</v>
      </c>
    </row>
    <row r="85" spans="1:17" x14ac:dyDescent="0.3">
      <c r="A85" s="3">
        <v>40118</v>
      </c>
      <c r="B85" s="61">
        <v>933314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61">
        <v>11882</v>
      </c>
      <c r="I85" s="192">
        <f t="shared" si="3"/>
        <v>937397.80741073738</v>
      </c>
      <c r="J85" s="36">
        <f t="shared" si="4"/>
        <v>4083.8074107373832</v>
      </c>
      <c r="K85" s="5">
        <f t="shared" si="5"/>
        <v>4.3755985774748722E-3</v>
      </c>
    </row>
    <row r="86" spans="1:17" s="31" customFormat="1" x14ac:dyDescent="0.3">
      <c r="A86" s="3">
        <v>40148</v>
      </c>
      <c r="B86" s="61">
        <v>994328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61">
        <v>11882</v>
      </c>
      <c r="I86" s="192">
        <f t="shared" si="3"/>
        <v>1015544.9600176753</v>
      </c>
      <c r="J86" s="36">
        <f t="shared" si="4"/>
        <v>21216.960017675301</v>
      </c>
      <c r="K86" s="5">
        <f t="shared" si="5"/>
        <v>2.1337989091804014E-2</v>
      </c>
      <c r="L86" s="27"/>
      <c r="M86" s="27"/>
      <c r="N86" s="27"/>
      <c r="O86" s="27"/>
      <c r="P86" s="27"/>
      <c r="Q86" s="27"/>
    </row>
    <row r="87" spans="1:17" x14ac:dyDescent="0.3">
      <c r="A87" s="3">
        <v>40179</v>
      </c>
      <c r="B87" s="59">
        <v>1093374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11946</v>
      </c>
      <c r="I87" s="192">
        <f t="shared" si="3"/>
        <v>1056447.4850489968</v>
      </c>
      <c r="J87" s="36">
        <f t="shared" si="4"/>
        <v>-36926.51495100325</v>
      </c>
      <c r="K87" s="5">
        <f t="shared" si="5"/>
        <v>-3.3772995288897711E-2</v>
      </c>
    </row>
    <row r="88" spans="1:17" x14ac:dyDescent="0.3">
      <c r="A88" s="3">
        <v>40210</v>
      </c>
      <c r="B88" s="59">
        <v>1080449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12017</v>
      </c>
      <c r="I88" s="192">
        <f t="shared" si="3"/>
        <v>1112890.8529244834</v>
      </c>
      <c r="J88" s="36">
        <f t="shared" si="4"/>
        <v>32441.852924483363</v>
      </c>
      <c r="K88" s="5">
        <f t="shared" si="5"/>
        <v>3.0026269564304622E-2</v>
      </c>
    </row>
    <row r="89" spans="1:17" x14ac:dyDescent="0.3">
      <c r="A89" s="3">
        <v>40238</v>
      </c>
      <c r="B89" s="59">
        <v>899210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12051</v>
      </c>
      <c r="I89" s="192">
        <f t="shared" si="3"/>
        <v>937599.78125161654</v>
      </c>
      <c r="J89" s="36">
        <f t="shared" si="4"/>
        <v>38389.781251616543</v>
      </c>
      <c r="K89" s="5">
        <f t="shared" si="5"/>
        <v>4.2692787281743465E-2</v>
      </c>
    </row>
    <row r="90" spans="1:17" x14ac:dyDescent="0.3">
      <c r="A90" s="3">
        <v>40269</v>
      </c>
      <c r="B90" s="59">
        <v>912185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12098</v>
      </c>
      <c r="I90" s="192">
        <f t="shared" si="3"/>
        <v>893825.22902397846</v>
      </c>
      <c r="J90" s="36">
        <f t="shared" si="4"/>
        <v>-18359.770976021537</v>
      </c>
      <c r="K90" s="5">
        <f t="shared" si="5"/>
        <v>-2.0127244995282248E-2</v>
      </c>
    </row>
    <row r="91" spans="1:17" x14ac:dyDescent="0.3">
      <c r="A91" s="3">
        <v>40299</v>
      </c>
      <c r="B91" s="59">
        <v>782329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12098</v>
      </c>
      <c r="I91" s="192">
        <f t="shared" si="3"/>
        <v>782405.68624142394</v>
      </c>
      <c r="J91" s="36">
        <f t="shared" si="4"/>
        <v>76.686241423944011</v>
      </c>
      <c r="K91" s="5">
        <f t="shared" si="5"/>
        <v>9.8023007486548511E-5</v>
      </c>
    </row>
    <row r="92" spans="1:17" x14ac:dyDescent="0.3">
      <c r="A92" s="3">
        <v>40330</v>
      </c>
      <c r="B92" s="59">
        <v>718278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12098</v>
      </c>
      <c r="I92" s="192">
        <f t="shared" si="3"/>
        <v>752231.32951072941</v>
      </c>
      <c r="J92" s="36">
        <f t="shared" si="4"/>
        <v>33953.329510729411</v>
      </c>
      <c r="K92" s="5">
        <f t="shared" si="5"/>
        <v>4.7270457275218523E-2</v>
      </c>
    </row>
    <row r="93" spans="1:17" x14ac:dyDescent="0.3">
      <c r="A93" s="3">
        <v>40360</v>
      </c>
      <c r="B93" s="59">
        <v>647002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61">
        <v>12098</v>
      </c>
      <c r="I93" s="192">
        <f t="shared" si="3"/>
        <v>619566.46817116765</v>
      </c>
      <c r="J93" s="36">
        <f t="shared" si="4"/>
        <v>-27435.531828832347</v>
      </c>
      <c r="K93" s="5">
        <f t="shared" si="5"/>
        <v>-4.2404091222024577E-2</v>
      </c>
    </row>
    <row r="94" spans="1:17" x14ac:dyDescent="0.3">
      <c r="A94" s="3">
        <v>40391</v>
      </c>
      <c r="B94" s="59">
        <v>685217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61">
        <v>12098</v>
      </c>
      <c r="I94" s="192">
        <f t="shared" si="3"/>
        <v>654117.28779340629</v>
      </c>
      <c r="J94" s="36">
        <f t="shared" si="4"/>
        <v>-31099.712206593715</v>
      </c>
      <c r="K94" s="5">
        <f t="shared" si="5"/>
        <v>-4.5386661753274826E-2</v>
      </c>
    </row>
    <row r="95" spans="1:17" x14ac:dyDescent="0.3">
      <c r="A95" s="3">
        <v>40422</v>
      </c>
      <c r="B95" s="59">
        <v>772567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61">
        <v>12098</v>
      </c>
      <c r="I95" s="192">
        <f t="shared" si="3"/>
        <v>814367.7721881516</v>
      </c>
      <c r="J95" s="36">
        <f t="shared" si="4"/>
        <v>41800.772188151604</v>
      </c>
      <c r="K95" s="5">
        <f t="shared" si="5"/>
        <v>5.410633924067635E-2</v>
      </c>
    </row>
    <row r="96" spans="1:17" x14ac:dyDescent="0.3">
      <c r="A96" s="3">
        <v>40452</v>
      </c>
      <c r="B96" s="59">
        <v>839069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12098</v>
      </c>
      <c r="I96" s="192">
        <f t="shared" si="3"/>
        <v>842811.59538007877</v>
      </c>
      <c r="J96" s="36">
        <f t="shared" si="4"/>
        <v>3742.5953800787684</v>
      </c>
      <c r="K96" s="5">
        <f t="shared" si="5"/>
        <v>4.460414316437347E-3</v>
      </c>
    </row>
    <row r="97" spans="1:11" x14ac:dyDescent="0.3">
      <c r="A97" s="3">
        <v>40483</v>
      </c>
      <c r="B97" s="59">
        <v>972883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12098</v>
      </c>
      <c r="I97" s="192">
        <f t="shared" si="3"/>
        <v>932139.21325760183</v>
      </c>
      <c r="J97" s="36">
        <f t="shared" si="4"/>
        <v>-40743.786742398166</v>
      </c>
      <c r="K97" s="5">
        <f t="shared" si="5"/>
        <v>-4.1879431280429577E-2</v>
      </c>
    </row>
    <row r="98" spans="1:11" x14ac:dyDescent="0.3">
      <c r="A98" s="3">
        <v>40513</v>
      </c>
      <c r="B98" s="59">
        <v>1025341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12109</v>
      </c>
      <c r="I98" s="192">
        <f t="shared" si="3"/>
        <v>997679.34857529658</v>
      </c>
      <c r="J98" s="36">
        <f t="shared" si="4"/>
        <v>-27661.651424703421</v>
      </c>
      <c r="K98" s="5">
        <f t="shared" si="5"/>
        <v>-2.6978001879085514E-2</v>
      </c>
    </row>
    <row r="99" spans="1:11" x14ac:dyDescent="0.3">
      <c r="A99" s="3">
        <v>40544</v>
      </c>
      <c r="B99" s="105">
        <v>1116655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61">
        <v>12109</v>
      </c>
      <c r="I99" s="192">
        <f t="shared" si="3"/>
        <v>1033992.7182618936</v>
      </c>
      <c r="J99" s="36">
        <f t="shared" si="4"/>
        <v>-82662.281738106394</v>
      </c>
      <c r="K99" s="5">
        <f t="shared" si="5"/>
        <v>-7.4026697357828866E-2</v>
      </c>
    </row>
    <row r="100" spans="1:11" x14ac:dyDescent="0.3">
      <c r="A100" s="3">
        <v>40575</v>
      </c>
      <c r="B100" s="105">
        <v>1100542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61">
        <v>12109</v>
      </c>
      <c r="I100" s="192">
        <f t="shared" si="3"/>
        <v>1086285.9500111076</v>
      </c>
      <c r="J100" s="36">
        <f t="shared" si="4"/>
        <v>-14256.049988892395</v>
      </c>
      <c r="K100" s="5">
        <f t="shared" si="5"/>
        <v>-1.2953662821493768E-2</v>
      </c>
    </row>
    <row r="101" spans="1:11" x14ac:dyDescent="0.3">
      <c r="A101" s="3">
        <v>40603</v>
      </c>
      <c r="B101" s="105">
        <v>874357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61">
        <v>12129</v>
      </c>
      <c r="I101" s="192">
        <f t="shared" si="3"/>
        <v>949520.67030288419</v>
      </c>
      <c r="J101" s="36">
        <f t="shared" si="4"/>
        <v>75163.670302884188</v>
      </c>
      <c r="K101" s="5">
        <f t="shared" si="5"/>
        <v>8.5964509122571434E-2</v>
      </c>
    </row>
    <row r="102" spans="1:11" x14ac:dyDescent="0.3">
      <c r="A102" s="3">
        <v>40634</v>
      </c>
      <c r="B102" s="105">
        <v>904402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61">
        <v>12132</v>
      </c>
      <c r="I102" s="192">
        <f t="shared" si="3"/>
        <v>910926.40777316887</v>
      </c>
      <c r="J102" s="36">
        <f t="shared" si="4"/>
        <v>6524.407773168874</v>
      </c>
      <c r="K102" s="5">
        <f t="shared" si="5"/>
        <v>7.2140572147881962E-3</v>
      </c>
    </row>
    <row r="103" spans="1:11" x14ac:dyDescent="0.3">
      <c r="A103" s="3">
        <v>40664</v>
      </c>
      <c r="B103" s="105">
        <v>770615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61">
        <v>12132</v>
      </c>
      <c r="I103" s="192">
        <f t="shared" si="3"/>
        <v>797788.29507411527</v>
      </c>
      <c r="J103" s="36">
        <f t="shared" si="4"/>
        <v>27173.295074115274</v>
      </c>
      <c r="K103" s="5">
        <f t="shared" si="5"/>
        <v>3.5261829933384732E-2</v>
      </c>
    </row>
    <row r="104" spans="1:11" x14ac:dyDescent="0.3">
      <c r="A104" s="3">
        <v>40695</v>
      </c>
      <c r="B104" s="105">
        <v>696486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61">
        <v>12132</v>
      </c>
      <c r="I104" s="192">
        <f t="shared" si="3"/>
        <v>742739.36091510125</v>
      </c>
      <c r="J104" s="36">
        <f t="shared" si="4"/>
        <v>46253.36091510125</v>
      </c>
      <c r="K104" s="5">
        <f t="shared" si="5"/>
        <v>6.6409606101344817E-2</v>
      </c>
    </row>
    <row r="105" spans="1:11" x14ac:dyDescent="0.3">
      <c r="A105" s="3">
        <v>40725</v>
      </c>
      <c r="B105" s="105">
        <v>10638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61">
        <v>12132</v>
      </c>
      <c r="I105" s="192">
        <f t="shared" si="3"/>
        <v>509854.95700278576</v>
      </c>
      <c r="J105" s="36">
        <f t="shared" si="4"/>
        <v>499216.95700278576</v>
      </c>
      <c r="K105" s="5">
        <f t="shared" si="5"/>
        <v>46.927707934084019</v>
      </c>
    </row>
    <row r="106" spans="1:11" x14ac:dyDescent="0.3">
      <c r="A106" s="3">
        <v>40756</v>
      </c>
      <c r="B106" s="105">
        <v>11607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61">
        <v>12132</v>
      </c>
      <c r="I106" s="192">
        <f t="shared" si="3"/>
        <v>588591.62216448598</v>
      </c>
      <c r="J106" s="36">
        <f t="shared" si="4"/>
        <v>576984.62216448598</v>
      </c>
      <c r="K106" s="5">
        <f t="shared" si="5"/>
        <v>49.710056187170323</v>
      </c>
    </row>
    <row r="107" spans="1:11" x14ac:dyDescent="0.3">
      <c r="A107" s="3">
        <v>40787</v>
      </c>
      <c r="B107" s="105">
        <v>2007578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61">
        <v>12137</v>
      </c>
      <c r="I107" s="192">
        <f t="shared" si="3"/>
        <v>693020.59510684025</v>
      </c>
      <c r="J107" s="36">
        <f t="shared" si="4"/>
        <v>-1314557.4048931599</v>
      </c>
      <c r="K107" s="5">
        <f t="shared" si="5"/>
        <v>-0.65479767405956824</v>
      </c>
    </row>
    <row r="108" spans="1:11" x14ac:dyDescent="0.3">
      <c r="A108" s="3">
        <v>40817</v>
      </c>
      <c r="B108" s="105">
        <v>11571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12137</v>
      </c>
      <c r="I108" s="192">
        <f t="shared" si="3"/>
        <v>775308.0183744845</v>
      </c>
      <c r="J108" s="36">
        <f t="shared" si="4"/>
        <v>763737.0183744845</v>
      </c>
      <c r="K108" s="5">
        <f t="shared" si="5"/>
        <v>66.004409158627993</v>
      </c>
    </row>
    <row r="109" spans="1:11" x14ac:dyDescent="0.3">
      <c r="A109" s="3">
        <v>40848</v>
      </c>
      <c r="B109" s="105">
        <v>1744221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12146</v>
      </c>
      <c r="I109" s="192">
        <f t="shared" si="3"/>
        <v>857979.75755892892</v>
      </c>
      <c r="J109" s="36">
        <f t="shared" si="4"/>
        <v>-886241.24244107108</v>
      </c>
      <c r="K109" s="5">
        <f t="shared" si="5"/>
        <v>-0.5081014633128893</v>
      </c>
    </row>
    <row r="110" spans="1:11" x14ac:dyDescent="0.3">
      <c r="A110" s="3">
        <v>40878</v>
      </c>
      <c r="B110" s="105">
        <v>1004345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12146</v>
      </c>
      <c r="I110" s="192">
        <f t="shared" si="3"/>
        <v>900811.60086494358</v>
      </c>
      <c r="J110" s="36">
        <f t="shared" si="4"/>
        <v>-103533.39913505642</v>
      </c>
      <c r="K110" s="5">
        <f t="shared" si="5"/>
        <v>-0.10308549266940784</v>
      </c>
    </row>
    <row r="111" spans="1:11" x14ac:dyDescent="0.3">
      <c r="A111" s="3">
        <v>40909</v>
      </c>
      <c r="B111" s="105">
        <v>1086581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61">
        <v>12154</v>
      </c>
      <c r="I111" s="192">
        <f t="shared" si="3"/>
        <v>947500.95370379789</v>
      </c>
      <c r="J111" s="36">
        <f t="shared" si="4"/>
        <v>-139080.04629620211</v>
      </c>
      <c r="K111" s="5">
        <f t="shared" si="5"/>
        <v>-0.12799786329431687</v>
      </c>
    </row>
    <row r="112" spans="1:11" x14ac:dyDescent="0.3">
      <c r="A112" s="3">
        <v>40940</v>
      </c>
      <c r="B112" s="105">
        <v>1074749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61">
        <v>12209</v>
      </c>
      <c r="I112" s="192">
        <f t="shared" si="3"/>
        <v>986147.82353855413</v>
      </c>
      <c r="J112" s="36">
        <f t="shared" si="4"/>
        <v>-88601.176461445866</v>
      </c>
      <c r="K112" s="5">
        <f t="shared" si="5"/>
        <v>-8.2438947569568211E-2</v>
      </c>
    </row>
    <row r="113" spans="1:11" x14ac:dyDescent="0.3">
      <c r="A113" s="3">
        <v>40969</v>
      </c>
      <c r="B113" s="105">
        <v>918424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61">
        <v>12209</v>
      </c>
      <c r="I113" s="192">
        <f t="shared" si="3"/>
        <v>858917.92184612225</v>
      </c>
      <c r="J113" s="36">
        <f t="shared" si="4"/>
        <v>-59506.078153877752</v>
      </c>
      <c r="K113" s="5">
        <f t="shared" si="5"/>
        <v>-6.4791510406824904E-2</v>
      </c>
    </row>
    <row r="114" spans="1:11" x14ac:dyDescent="0.3">
      <c r="A114" s="3">
        <v>41000</v>
      </c>
      <c r="B114" s="105">
        <v>894097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12209</v>
      </c>
      <c r="I114" s="192">
        <f t="shared" si="3"/>
        <v>883860.02284329908</v>
      </c>
      <c r="J114" s="36">
        <f t="shared" si="4"/>
        <v>-10236.977156700916</v>
      </c>
      <c r="K114" s="5">
        <f t="shared" si="5"/>
        <v>-1.144951516077217E-2</v>
      </c>
    </row>
    <row r="115" spans="1:11" x14ac:dyDescent="0.3">
      <c r="A115" s="3">
        <v>41030</v>
      </c>
      <c r="B115" s="105">
        <v>760348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12209</v>
      </c>
      <c r="I115" s="192">
        <f t="shared" si="3"/>
        <v>732997.58096578857</v>
      </c>
      <c r="J115" s="36">
        <f t="shared" si="4"/>
        <v>-27350.419034211431</v>
      </c>
      <c r="K115" s="5">
        <f t="shared" si="5"/>
        <v>-3.5970922569943539E-2</v>
      </c>
    </row>
    <row r="116" spans="1:11" x14ac:dyDescent="0.3">
      <c r="A116" s="3">
        <v>41061</v>
      </c>
      <c r="B116" s="105">
        <v>695893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12209</v>
      </c>
      <c r="I116" s="192">
        <f t="shared" si="3"/>
        <v>686779.22893519036</v>
      </c>
      <c r="J116" s="36">
        <f t="shared" si="4"/>
        <v>-9113.7710648096399</v>
      </c>
      <c r="K116" s="5">
        <f t="shared" si="5"/>
        <v>-1.3096512056896161E-2</v>
      </c>
    </row>
    <row r="117" spans="1:11" x14ac:dyDescent="0.3">
      <c r="A117" s="3">
        <v>41091</v>
      </c>
      <c r="B117" s="105">
        <v>621732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61">
        <v>12214</v>
      </c>
      <c r="I117" s="192">
        <f t="shared" si="3"/>
        <v>541232.03057291429</v>
      </c>
      <c r="J117" s="36">
        <f t="shared" si="4"/>
        <v>-80499.969427085714</v>
      </c>
      <c r="K117" s="5">
        <f t="shared" si="5"/>
        <v>-0.12947696021289834</v>
      </c>
    </row>
    <row r="118" spans="1:11" x14ac:dyDescent="0.3">
      <c r="A118" s="3">
        <v>41122</v>
      </c>
      <c r="B118" s="105">
        <v>660418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61">
        <v>12231</v>
      </c>
      <c r="I118" s="192">
        <f t="shared" si="3"/>
        <v>609869.60013228212</v>
      </c>
      <c r="J118" s="36">
        <f t="shared" si="4"/>
        <v>-50548.399867717875</v>
      </c>
      <c r="K118" s="5">
        <f t="shared" si="5"/>
        <v>-7.6540009308828455E-2</v>
      </c>
    </row>
    <row r="119" spans="1:11" x14ac:dyDescent="0.3">
      <c r="A119" s="3">
        <v>41153</v>
      </c>
      <c r="B119" s="105">
        <v>749678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61">
        <v>12231</v>
      </c>
      <c r="I119" s="192">
        <f t="shared" si="3"/>
        <v>769190.43127983611</v>
      </c>
      <c r="J119" s="36">
        <f t="shared" si="4"/>
        <v>19512.431279836106</v>
      </c>
      <c r="K119" s="5">
        <f t="shared" si="5"/>
        <v>2.6027749620285118E-2</v>
      </c>
    </row>
    <row r="120" spans="1:11" x14ac:dyDescent="0.3">
      <c r="A120" s="3">
        <v>41183</v>
      </c>
      <c r="B120" s="105">
        <v>813505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61">
        <v>12231</v>
      </c>
      <c r="I120" s="192">
        <f t="shared" si="3"/>
        <v>832361.80154828774</v>
      </c>
      <c r="J120" s="36">
        <f t="shared" si="4"/>
        <v>18856.801548287738</v>
      </c>
      <c r="K120" s="5">
        <f t="shared" si="5"/>
        <v>2.3179699630964452E-2</v>
      </c>
    </row>
    <row r="121" spans="1:11" x14ac:dyDescent="0.3">
      <c r="A121" s="3">
        <v>41214</v>
      </c>
      <c r="B121" s="105">
        <v>952553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61">
        <v>12275</v>
      </c>
      <c r="I121" s="192">
        <f t="shared" si="3"/>
        <v>944201.95029945893</v>
      </c>
      <c r="J121" s="36">
        <f t="shared" si="4"/>
        <v>-8351.0497005410725</v>
      </c>
      <c r="K121" s="5">
        <f t="shared" si="5"/>
        <v>-8.7670184236898867E-3</v>
      </c>
    </row>
    <row r="122" spans="1:11" x14ac:dyDescent="0.3">
      <c r="A122" s="3">
        <v>41244</v>
      </c>
      <c r="B122" s="105">
        <v>911730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61">
        <v>12280</v>
      </c>
      <c r="I122" s="192">
        <f t="shared" si="3"/>
        <v>925055.81730462937</v>
      </c>
      <c r="J122" s="36">
        <f t="shared" si="4"/>
        <v>13325.817304629367</v>
      </c>
      <c r="K122" s="5">
        <f t="shared" si="5"/>
        <v>1.4615968877441092E-2</v>
      </c>
    </row>
    <row r="123" spans="1:11" x14ac:dyDescent="0.3">
      <c r="A123" s="3">
        <v>41275</v>
      </c>
      <c r="B123" s="105">
        <v>991686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61">
        <v>12280</v>
      </c>
      <c r="I123" s="192">
        <f t="shared" si="3"/>
        <v>977026.22709466168</v>
      </c>
      <c r="J123" s="36">
        <f t="shared" si="4"/>
        <v>-14659.772905338323</v>
      </c>
      <c r="K123" s="5">
        <f t="shared" si="5"/>
        <v>-1.4782676074219382E-2</v>
      </c>
    </row>
    <row r="124" spans="1:11" x14ac:dyDescent="0.3">
      <c r="A124" s="3">
        <v>41306</v>
      </c>
      <c r="B124" s="105">
        <v>974438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61">
        <v>12287</v>
      </c>
      <c r="I124" s="192">
        <f t="shared" si="3"/>
        <v>1077398.3943444672</v>
      </c>
      <c r="J124" s="36">
        <f t="shared" si="4"/>
        <v>102960.3943444672</v>
      </c>
      <c r="K124" s="5">
        <f t="shared" si="5"/>
        <v>0.10566130871791453</v>
      </c>
    </row>
    <row r="125" spans="1:11" x14ac:dyDescent="0.3">
      <c r="A125" s="3">
        <v>41334</v>
      </c>
      <c r="B125" s="105">
        <v>807431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61">
        <v>12287</v>
      </c>
      <c r="I125" s="192">
        <f t="shared" si="3"/>
        <v>943726.14061714523</v>
      </c>
      <c r="J125" s="36">
        <f t="shared" si="4"/>
        <v>136295.14061714523</v>
      </c>
      <c r="K125" s="5">
        <f t="shared" si="5"/>
        <v>0.16880097570832087</v>
      </c>
    </row>
    <row r="126" spans="1:11" x14ac:dyDescent="0.3">
      <c r="A126" s="3">
        <v>41365</v>
      </c>
      <c r="B126" s="105">
        <v>811467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61">
        <v>12287</v>
      </c>
      <c r="I126" s="192">
        <f t="shared" si="3"/>
        <v>864557.33179679478</v>
      </c>
      <c r="J126" s="36">
        <f t="shared" si="4"/>
        <v>53090.331796794781</v>
      </c>
      <c r="K126" s="5">
        <f t="shared" si="5"/>
        <v>6.5425127327167681E-2</v>
      </c>
    </row>
    <row r="127" spans="1:11" x14ac:dyDescent="0.3">
      <c r="A127" s="3">
        <v>41395</v>
      </c>
      <c r="B127" s="105">
        <v>688329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61">
        <v>12287</v>
      </c>
      <c r="I127" s="192">
        <f t="shared" si="3"/>
        <v>735503.41425884282</v>
      </c>
      <c r="J127" s="36">
        <f t="shared" si="4"/>
        <v>47174.414258842822</v>
      </c>
      <c r="K127" s="5">
        <f t="shared" si="5"/>
        <v>6.8534689456412307E-2</v>
      </c>
    </row>
    <row r="128" spans="1:11" x14ac:dyDescent="0.3">
      <c r="A128" s="3">
        <v>41426</v>
      </c>
      <c r="B128" s="105">
        <v>631632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61">
        <v>12287</v>
      </c>
      <c r="I128" s="192">
        <f t="shared" si="3"/>
        <v>702556.52029123588</v>
      </c>
      <c r="J128" s="36">
        <f t="shared" si="4"/>
        <v>70924.52029123588</v>
      </c>
      <c r="K128" s="5">
        <f t="shared" si="5"/>
        <v>0.11228772495889359</v>
      </c>
    </row>
    <row r="129" spans="1:11" x14ac:dyDescent="0.3">
      <c r="A129" s="3">
        <v>41456</v>
      </c>
      <c r="B129" s="105">
        <v>563926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61">
        <v>12361</v>
      </c>
      <c r="I129" s="192">
        <f t="shared" si="3"/>
        <v>517284.97733474337</v>
      </c>
      <c r="J129" s="36">
        <f t="shared" si="4"/>
        <v>-46641.022665256634</v>
      </c>
      <c r="K129" s="5">
        <f t="shared" si="5"/>
        <v>-8.2707700416821767E-2</v>
      </c>
    </row>
    <row r="130" spans="1:11" x14ac:dyDescent="0.3">
      <c r="A130" s="3">
        <v>41487</v>
      </c>
      <c r="B130" s="105">
        <v>603382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61">
        <v>12361</v>
      </c>
      <c r="I130" s="192">
        <f t="shared" si="3"/>
        <v>586274.06830872945</v>
      </c>
      <c r="J130" s="36">
        <f t="shared" si="4"/>
        <v>-17107.931691270554</v>
      </c>
      <c r="K130" s="5">
        <f t="shared" si="5"/>
        <v>-2.8353400816183701E-2</v>
      </c>
    </row>
    <row r="131" spans="1:11" x14ac:dyDescent="0.3">
      <c r="A131" s="3">
        <v>41518</v>
      </c>
      <c r="B131" s="105">
        <v>617200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61">
        <v>12367</v>
      </c>
      <c r="I131" s="192">
        <f t="shared" si="3"/>
        <v>701804.63597137399</v>
      </c>
      <c r="J131" s="36">
        <f t="shared" si="4"/>
        <v>84604.635971373995</v>
      </c>
      <c r="K131" s="5">
        <f t="shared" si="5"/>
        <v>0.13707815290242059</v>
      </c>
    </row>
    <row r="132" spans="1:11" x14ac:dyDescent="0.3">
      <c r="A132" s="3">
        <v>41548</v>
      </c>
      <c r="B132" s="105">
        <v>613482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61">
        <v>12375</v>
      </c>
      <c r="I132" s="192">
        <f t="shared" ref="I132:I195" si="6">$N$18+C132*$N$19+D132*$N$20+E132*$N$21+F132*$N$22+G132*$N$23</f>
        <v>775979.1157255976</v>
      </c>
      <c r="J132" s="36">
        <f t="shared" ref="J132:J133" si="7">I132-B132</f>
        <v>162497.1157255976</v>
      </c>
      <c r="K132" s="5">
        <f t="shared" ref="K132:K133" si="8">J132/B132</f>
        <v>0.26487674573271525</v>
      </c>
    </row>
    <row r="133" spans="1:11" x14ac:dyDescent="0.3">
      <c r="A133" s="3">
        <v>41579</v>
      </c>
      <c r="B133" s="105">
        <v>863651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61">
        <v>12375</v>
      </c>
      <c r="I133" s="192">
        <f t="shared" si="6"/>
        <v>906794.88350583508</v>
      </c>
      <c r="J133" s="36">
        <f t="shared" si="7"/>
        <v>43143.883505835081</v>
      </c>
      <c r="K133" s="5">
        <f t="shared" si="8"/>
        <v>4.995522902866445E-2</v>
      </c>
    </row>
    <row r="134" spans="1:11" x14ac:dyDescent="0.3">
      <c r="A134" s="3">
        <v>41609</v>
      </c>
      <c r="B134" s="105">
        <v>915660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61">
        <v>12385</v>
      </c>
      <c r="I134" s="192">
        <f t="shared" ca="1" si="6"/>
        <v>884125.05002643447</v>
      </c>
      <c r="J134" s="36">
        <f t="shared" ref="J134" ca="1" si="9">I134-B134</f>
        <v>-31534.949973565526</v>
      </c>
      <c r="K134" s="5">
        <f t="shared" ref="K134" ca="1" si="10">J134/B134</f>
        <v>-3.4439584533086001E-2</v>
      </c>
    </row>
    <row r="135" spans="1:11" x14ac:dyDescent="0.3">
      <c r="A135" s="3">
        <v>41640</v>
      </c>
      <c r="B135" s="6">
        <v>994940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1">
        <v>12385</v>
      </c>
      <c r="I135" s="192">
        <f t="shared" si="6"/>
        <v>1004083.6244731727</v>
      </c>
      <c r="J135" s="36"/>
      <c r="K135" s="5"/>
    </row>
    <row r="136" spans="1:11" x14ac:dyDescent="0.3">
      <c r="A136" s="3">
        <v>41671</v>
      </c>
      <c r="B136" s="6">
        <v>980089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1">
        <v>12385</v>
      </c>
      <c r="I136" s="192">
        <f t="shared" si="6"/>
        <v>1074484.7614903213</v>
      </c>
      <c r="J136" s="36"/>
      <c r="K136" s="5"/>
    </row>
    <row r="137" spans="1:11" x14ac:dyDescent="0.3">
      <c r="A137" s="3">
        <v>41699</v>
      </c>
      <c r="B137" s="6">
        <v>811042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1">
        <v>12385</v>
      </c>
      <c r="I137" s="192">
        <f t="shared" si="6"/>
        <v>961798.10176000022</v>
      </c>
      <c r="J137" s="36"/>
      <c r="K137" s="5"/>
    </row>
    <row r="138" spans="1:11" x14ac:dyDescent="0.3">
      <c r="A138" s="3">
        <v>41730</v>
      </c>
      <c r="B138" s="6">
        <v>814906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1">
        <v>12424</v>
      </c>
      <c r="I138" s="192">
        <f t="shared" si="6"/>
        <v>844812.41342931159</v>
      </c>
      <c r="J138" s="36"/>
      <c r="K138" s="5"/>
    </row>
    <row r="139" spans="1:11" x14ac:dyDescent="0.3">
      <c r="A139" s="3">
        <v>41760</v>
      </c>
      <c r="B139" s="6">
        <v>695472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1">
        <v>12458</v>
      </c>
      <c r="I139" s="192">
        <f t="shared" si="6"/>
        <v>726656.20991664031</v>
      </c>
      <c r="J139" s="36"/>
      <c r="K139" s="5"/>
    </row>
    <row r="140" spans="1:11" x14ac:dyDescent="0.3">
      <c r="A140" s="3">
        <v>41791</v>
      </c>
      <c r="B140" s="6">
        <v>8808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1">
        <v>12458</v>
      </c>
      <c r="I140" s="192">
        <f t="shared" si="6"/>
        <v>664598.8436253845</v>
      </c>
      <c r="J140" s="36"/>
      <c r="K140" s="5"/>
    </row>
    <row r="141" spans="1:11" x14ac:dyDescent="0.3">
      <c r="A141" s="3">
        <v>41821</v>
      </c>
      <c r="B141" s="6">
        <v>1196582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1">
        <v>12511</v>
      </c>
      <c r="I141" s="192">
        <f t="shared" si="6"/>
        <v>633180.46534736804</v>
      </c>
      <c r="J141" s="36"/>
      <c r="K141" s="5"/>
    </row>
    <row r="142" spans="1:11" x14ac:dyDescent="0.3">
      <c r="A142" s="3">
        <v>41852</v>
      </c>
      <c r="B142" s="6">
        <v>607957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1">
        <v>12511</v>
      </c>
      <c r="I142" s="192">
        <f t="shared" si="6"/>
        <v>630060.64986503264</v>
      </c>
      <c r="J142" s="36"/>
      <c r="K142" s="5"/>
    </row>
    <row r="143" spans="1:11" x14ac:dyDescent="0.3">
      <c r="A143" s="3">
        <v>41883</v>
      </c>
      <c r="B143" s="6">
        <v>624468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1">
        <v>12511</v>
      </c>
      <c r="I143" s="192">
        <f t="shared" si="6"/>
        <v>728868.78977986693</v>
      </c>
      <c r="J143" s="36"/>
      <c r="K143" s="5"/>
    </row>
    <row r="144" spans="1:11" x14ac:dyDescent="0.3">
      <c r="A144" s="3">
        <v>41913</v>
      </c>
      <c r="B144" s="6">
        <v>620856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1">
        <v>12511</v>
      </c>
      <c r="I144" s="192">
        <f t="shared" si="6"/>
        <v>755701.15819002036</v>
      </c>
      <c r="J144" s="36"/>
      <c r="K144" s="5"/>
    </row>
    <row r="145" spans="1:11" x14ac:dyDescent="0.3">
      <c r="A145" s="3">
        <v>41944</v>
      </c>
      <c r="B145" s="6">
        <v>874002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1">
        <v>12511</v>
      </c>
      <c r="I145" s="192">
        <f t="shared" si="6"/>
        <v>865085.56545119232</v>
      </c>
      <c r="J145" s="36"/>
      <c r="K145" s="5"/>
    </row>
    <row r="146" spans="1:11" x14ac:dyDescent="0.3">
      <c r="A146" s="3">
        <v>41974</v>
      </c>
      <c r="B146" s="6">
        <v>926753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1">
        <v>12544</v>
      </c>
      <c r="I146" s="192">
        <f t="shared" si="6"/>
        <v>893431.08454285911</v>
      </c>
      <c r="J146" s="36"/>
      <c r="K146" s="5"/>
    </row>
    <row r="147" spans="1:11" x14ac:dyDescent="0.3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1"/>
      <c r="I147" s="192">
        <f t="shared" ca="1" si="6"/>
        <v>956402.78044542833</v>
      </c>
      <c r="J147" s="36"/>
      <c r="K147" s="5"/>
    </row>
    <row r="148" spans="1:11" x14ac:dyDescent="0.3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1"/>
      <c r="I148" s="192">
        <f t="shared" ca="1" si="6"/>
        <v>1031132.7691800274</v>
      </c>
      <c r="J148" s="36"/>
      <c r="K148" s="5"/>
    </row>
    <row r="149" spans="1:11" x14ac:dyDescent="0.3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1"/>
      <c r="I149" s="192">
        <f t="shared" ca="1" si="6"/>
        <v>919140.232347843</v>
      </c>
      <c r="J149" s="36"/>
      <c r="K149" s="5"/>
    </row>
    <row r="150" spans="1:11" x14ac:dyDescent="0.3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2">
        <f t="shared" ca="1" si="6"/>
        <v>846456.99560839951</v>
      </c>
      <c r="J150" s="36"/>
      <c r="K150" s="5"/>
    </row>
    <row r="151" spans="1:11" x14ac:dyDescent="0.3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2">
        <f t="shared" ca="1" si="6"/>
        <v>738947.85987894773</v>
      </c>
      <c r="J151" s="36"/>
      <c r="K151" s="5"/>
    </row>
    <row r="152" spans="1:11" x14ac:dyDescent="0.3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2">
        <f t="shared" ca="1" si="6"/>
        <v>663316.65238482517</v>
      </c>
      <c r="J152" s="36"/>
      <c r="K152" s="5"/>
    </row>
    <row r="153" spans="1:11" x14ac:dyDescent="0.3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1"/>
      <c r="I153" s="192">
        <f t="shared" ca="1" si="6"/>
        <v>597268.93803727208</v>
      </c>
      <c r="J153" s="36"/>
      <c r="K153" s="5"/>
    </row>
    <row r="154" spans="1:11" x14ac:dyDescent="0.3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1"/>
      <c r="I154" s="192">
        <f t="shared" ca="1" si="6"/>
        <v>592162.91588468291</v>
      </c>
      <c r="J154" s="36"/>
      <c r="K154" s="5"/>
    </row>
    <row r="155" spans="1:11" x14ac:dyDescent="0.3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1"/>
      <c r="I155" s="192">
        <f t="shared" ca="1" si="6"/>
        <v>706486.37646915962</v>
      </c>
      <c r="J155" s="36"/>
      <c r="K155" s="5"/>
    </row>
    <row r="156" spans="1:11" x14ac:dyDescent="0.3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1"/>
      <c r="I156" s="192">
        <f t="shared" ca="1" si="6"/>
        <v>774686.09721698309</v>
      </c>
      <c r="J156" s="36"/>
      <c r="K156" s="5"/>
    </row>
    <row r="157" spans="1:11" x14ac:dyDescent="0.3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1"/>
      <c r="I157" s="192">
        <f t="shared" ca="1" si="6"/>
        <v>874060.74005683593</v>
      </c>
      <c r="J157" s="36"/>
      <c r="K157" s="5"/>
    </row>
    <row r="158" spans="1:11" x14ac:dyDescent="0.3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1"/>
      <c r="I158" s="192">
        <f t="shared" ca="1" si="6"/>
        <v>894631.00652983785</v>
      </c>
      <c r="J158" s="36"/>
      <c r="K158" s="5"/>
    </row>
    <row r="159" spans="1:11" x14ac:dyDescent="0.3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1"/>
      <c r="I159" s="192">
        <f t="shared" ca="1" si="6"/>
        <v>947027.84195241332</v>
      </c>
      <c r="J159" s="36"/>
      <c r="K159" s="5"/>
    </row>
    <row r="160" spans="1:11" x14ac:dyDescent="0.3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1"/>
      <c r="I160" s="192">
        <f t="shared" ca="1" si="6"/>
        <v>987857.3139325981</v>
      </c>
      <c r="J160" s="36"/>
      <c r="K160" s="5"/>
    </row>
    <row r="161" spans="1:11" x14ac:dyDescent="0.3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1"/>
      <c r="I161" s="192">
        <f t="shared" ca="1" si="6"/>
        <v>909841.70426763385</v>
      </c>
      <c r="J161" s="36"/>
      <c r="K161" s="5"/>
    </row>
    <row r="162" spans="1:11" x14ac:dyDescent="0.3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1"/>
      <c r="I162" s="192">
        <f t="shared" ca="1" si="6"/>
        <v>838285.16029530612</v>
      </c>
      <c r="J162" s="36"/>
      <c r="K162" s="5"/>
    </row>
    <row r="163" spans="1:11" x14ac:dyDescent="0.3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1"/>
      <c r="I163" s="192">
        <f t="shared" ca="1" si="6"/>
        <v>730925.35559641453</v>
      </c>
      <c r="J163" s="36"/>
      <c r="K163" s="5"/>
    </row>
    <row r="164" spans="1:11" x14ac:dyDescent="0.3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1"/>
      <c r="I164" s="192">
        <f t="shared" ca="1" si="6"/>
        <v>654710.58041913167</v>
      </c>
      <c r="J164" s="36"/>
      <c r="K164" s="5"/>
    </row>
    <row r="165" spans="1:11" x14ac:dyDescent="0.3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1"/>
      <c r="I165" s="192">
        <f t="shared" ca="1" si="6"/>
        <v>585911.3311466095</v>
      </c>
      <c r="J165" s="36"/>
      <c r="K165" s="5"/>
    </row>
    <row r="166" spans="1:11" x14ac:dyDescent="0.3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1"/>
      <c r="I166" s="192">
        <f t="shared" ca="1" si="6"/>
        <v>580742.0513677157</v>
      </c>
      <c r="J166" s="36"/>
      <c r="K166" s="5"/>
    </row>
    <row r="167" spans="1:11" x14ac:dyDescent="0.3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1"/>
      <c r="I167" s="192">
        <f t="shared" ca="1" si="6"/>
        <v>695646.54254771781</v>
      </c>
      <c r="J167" s="36"/>
      <c r="K167" s="5"/>
    </row>
    <row r="168" spans="1:11" x14ac:dyDescent="0.3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1"/>
      <c r="I168" s="192">
        <f t="shared" ca="1" si="6"/>
        <v>745883.26724022976</v>
      </c>
      <c r="J168" s="36"/>
      <c r="K168" s="5"/>
    </row>
    <row r="169" spans="1:11" x14ac:dyDescent="0.3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1"/>
      <c r="I169" s="192">
        <f t="shared" ca="1" si="6"/>
        <v>845110.49898172368</v>
      </c>
      <c r="J169" s="36"/>
      <c r="K169" s="5"/>
    </row>
    <row r="170" spans="1:11" x14ac:dyDescent="0.3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1"/>
      <c r="I170" s="192">
        <f t="shared" ca="1" si="6"/>
        <v>865562.48688321584</v>
      </c>
      <c r="J170" s="36"/>
      <c r="K170" s="5"/>
    </row>
    <row r="171" spans="1:11" x14ac:dyDescent="0.3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1"/>
      <c r="I171" s="192">
        <f t="shared" ca="1" si="6"/>
        <v>934094.72986275377</v>
      </c>
      <c r="J171" s="36"/>
      <c r="K171" s="5"/>
    </row>
    <row r="172" spans="1:11" x14ac:dyDescent="0.3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1"/>
      <c r="I172" s="192">
        <f t="shared" ca="1" si="6"/>
        <v>1008956.4211728267</v>
      </c>
      <c r="J172" s="36"/>
      <c r="K172" s="5"/>
    </row>
    <row r="173" spans="1:11" x14ac:dyDescent="0.3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1"/>
      <c r="I173" s="192">
        <f t="shared" ca="1" si="6"/>
        <v>896985.00259078038</v>
      </c>
      <c r="J173" s="36"/>
      <c r="K173" s="5"/>
    </row>
    <row r="174" spans="1:11" x14ac:dyDescent="0.3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1"/>
      <c r="I174" s="192">
        <f t="shared" ca="1" si="6"/>
        <v>825191.03347061097</v>
      </c>
      <c r="J174" s="36"/>
      <c r="K174" s="5"/>
    </row>
    <row r="175" spans="1:11" x14ac:dyDescent="0.3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1"/>
      <c r="I175" s="192">
        <f t="shared" ca="1" si="6"/>
        <v>717980.55980227981</v>
      </c>
      <c r="J175" s="36"/>
      <c r="K175" s="5"/>
    </row>
    <row r="176" spans="1:11" x14ac:dyDescent="0.3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1"/>
      <c r="I176" s="192">
        <f t="shared" ca="1" si="6"/>
        <v>641182.2169418371</v>
      </c>
      <c r="J176" s="36"/>
      <c r="K176" s="5"/>
    </row>
    <row r="177" spans="1:11" x14ac:dyDescent="0.3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1"/>
      <c r="I177" s="192">
        <f t="shared" ca="1" si="6"/>
        <v>572326.95421056706</v>
      </c>
      <c r="J177" s="36"/>
      <c r="K177" s="5"/>
    </row>
    <row r="178" spans="1:11" x14ac:dyDescent="0.3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1"/>
      <c r="I178" s="192">
        <f t="shared" ca="1" si="6"/>
        <v>567094.41680536838</v>
      </c>
      <c r="J178" s="36"/>
      <c r="K178" s="5"/>
    </row>
    <row r="179" spans="1:11" x14ac:dyDescent="0.3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1"/>
      <c r="I179" s="192">
        <f t="shared" ca="1" si="6"/>
        <v>682579.93858089589</v>
      </c>
      <c r="J179" s="36"/>
      <c r="K179" s="5"/>
    </row>
    <row r="180" spans="1:11" x14ac:dyDescent="0.3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1"/>
      <c r="I180" s="192">
        <f t="shared" ca="1" si="6"/>
        <v>733962.87154215504</v>
      </c>
      <c r="J180" s="36"/>
      <c r="K180" s="5"/>
    </row>
    <row r="181" spans="1:11" x14ac:dyDescent="0.3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1"/>
      <c r="I181" s="192">
        <f t="shared" ca="1" si="6"/>
        <v>833042.69218529004</v>
      </c>
      <c r="J181" s="36"/>
      <c r="K181" s="5"/>
    </row>
    <row r="182" spans="1:11" x14ac:dyDescent="0.3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1"/>
      <c r="I182" s="192">
        <f t="shared" ca="1" si="6"/>
        <v>853376.40151527245</v>
      </c>
      <c r="J182" s="36"/>
      <c r="K182" s="5"/>
    </row>
    <row r="183" spans="1:11" x14ac:dyDescent="0.3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1"/>
      <c r="I183" s="192">
        <f t="shared" ca="1" si="6"/>
        <v>927383.18541552615</v>
      </c>
      <c r="J183" s="36"/>
      <c r="K183" s="5"/>
    </row>
    <row r="184" spans="1:11" x14ac:dyDescent="0.3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1"/>
      <c r="I184" s="192">
        <f t="shared" ca="1" si="6"/>
        <v>1002310.7280133354</v>
      </c>
      <c r="J184" s="36"/>
      <c r="K184" s="5"/>
    </row>
    <row r="185" spans="1:11" x14ac:dyDescent="0.3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1"/>
      <c r="I185" s="192">
        <f t="shared" ca="1" si="6"/>
        <v>890349.86855635839</v>
      </c>
      <c r="J185" s="36"/>
      <c r="K185" s="5"/>
    </row>
    <row r="186" spans="1:11" x14ac:dyDescent="0.3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1"/>
      <c r="I186" s="192">
        <f t="shared" ca="1" si="6"/>
        <v>819383.86897676287</v>
      </c>
      <c r="J186" s="36"/>
      <c r="K186" s="5"/>
    </row>
    <row r="187" spans="1:11" x14ac:dyDescent="0.3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1"/>
      <c r="I187" s="192">
        <f t="shared" ca="1" si="6"/>
        <v>712322.72633899166</v>
      </c>
      <c r="J187" s="36"/>
      <c r="K187" s="5"/>
    </row>
    <row r="188" spans="1:11" x14ac:dyDescent="0.3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1"/>
      <c r="I188" s="192">
        <f t="shared" ca="1" si="6"/>
        <v>634940.81579538912</v>
      </c>
      <c r="J188" s="36"/>
      <c r="K188" s="5"/>
    </row>
    <row r="189" spans="1:11" x14ac:dyDescent="0.3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1"/>
      <c r="I189" s="192">
        <f t="shared" ca="1" si="6"/>
        <v>565454.89126409637</v>
      </c>
      <c r="J189" s="36"/>
      <c r="K189" s="5"/>
    </row>
    <row r="190" spans="1:11" x14ac:dyDescent="0.3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1"/>
      <c r="I190" s="192">
        <f t="shared" ca="1" si="6"/>
        <v>560159.09623259306</v>
      </c>
      <c r="J190" s="36"/>
      <c r="K190" s="5"/>
    </row>
    <row r="191" spans="1:11" x14ac:dyDescent="0.3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1"/>
      <c r="I191" s="192">
        <f t="shared" ca="1" si="6"/>
        <v>676225.64860364597</v>
      </c>
      <c r="J191" s="36"/>
      <c r="K191" s="5"/>
    </row>
    <row r="192" spans="1:11" x14ac:dyDescent="0.3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1"/>
      <c r="I192" s="192">
        <f t="shared" ca="1" si="6"/>
        <v>726535.52648362378</v>
      </c>
      <c r="J192" s="36"/>
      <c r="K192" s="5"/>
    </row>
    <row r="193" spans="1:11" x14ac:dyDescent="0.3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1"/>
      <c r="I193" s="192">
        <f t="shared" ca="1" si="6"/>
        <v>825467.93602839985</v>
      </c>
      <c r="J193" s="36"/>
      <c r="K193" s="5"/>
    </row>
    <row r="194" spans="1:11" x14ac:dyDescent="0.3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1"/>
      <c r="I194" s="192">
        <f t="shared" ca="1" si="6"/>
        <v>845683.3667868725</v>
      </c>
      <c r="J194" s="36"/>
      <c r="K194" s="5"/>
    </row>
    <row r="195" spans="1:11" x14ac:dyDescent="0.3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1"/>
      <c r="I195" s="192">
        <f t="shared" ca="1" si="6"/>
        <v>914780.70773059037</v>
      </c>
      <c r="J195" s="36"/>
      <c r="K195" s="5"/>
    </row>
    <row r="196" spans="1:11" x14ac:dyDescent="0.3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1"/>
      <c r="I196" s="192">
        <f t="shared" ref="I196:I206" ca="1" si="11">$N$18+C196*$N$19+D196*$N$20+E196*$N$21+F196*$N$22+G196*$N$23</f>
        <v>989774.10161613661</v>
      </c>
      <c r="J196" s="36"/>
      <c r="K196" s="5"/>
    </row>
    <row r="197" spans="1:11" x14ac:dyDescent="0.3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1"/>
      <c r="I197" s="192">
        <f t="shared" ca="1" si="11"/>
        <v>877823.80128422845</v>
      </c>
      <c r="J197" s="36"/>
      <c r="K197" s="5"/>
    </row>
    <row r="198" spans="1:11" x14ac:dyDescent="0.3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2">
        <f t="shared" ca="1" si="11"/>
        <v>804793.46932882222</v>
      </c>
      <c r="J198" s="36"/>
      <c r="K198" s="5"/>
    </row>
    <row r="199" spans="1:11" x14ac:dyDescent="0.3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2">
        <f t="shared" ca="1" si="11"/>
        <v>697881.65772161214</v>
      </c>
      <c r="J199" s="36"/>
      <c r="K199" s="5"/>
    </row>
    <row r="200" spans="1:11" x14ac:dyDescent="0.3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2">
        <f t="shared" ca="1" si="11"/>
        <v>619916.17949484859</v>
      </c>
      <c r="J200" s="36"/>
      <c r="K200" s="5"/>
    </row>
    <row r="201" spans="1:11" x14ac:dyDescent="0.3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1"/>
      <c r="I201" s="192">
        <f t="shared" ca="1" si="11"/>
        <v>547867.62309239269</v>
      </c>
      <c r="J201" s="36"/>
      <c r="K201" s="5"/>
    </row>
    <row r="202" spans="1:11" x14ac:dyDescent="0.3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1"/>
      <c r="I202" s="192">
        <f t="shared" ca="1" si="11"/>
        <v>542508.57043458452</v>
      </c>
      <c r="J202" s="36"/>
      <c r="K202" s="5"/>
    </row>
    <row r="203" spans="1:11" x14ac:dyDescent="0.3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1"/>
      <c r="I203" s="192">
        <f t="shared" ca="1" si="11"/>
        <v>659156.15340116282</v>
      </c>
      <c r="J203" s="36"/>
      <c r="K203" s="5"/>
    </row>
    <row r="204" spans="1:11" x14ac:dyDescent="0.3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2">
        <f t="shared" ca="1" si="11"/>
        <v>707428.44307655934</v>
      </c>
      <c r="J204" s="36"/>
      <c r="K204" s="5"/>
    </row>
    <row r="205" spans="1:11" x14ac:dyDescent="0.3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2">
        <f t="shared" ca="1" si="11"/>
        <v>806213.44152297627</v>
      </c>
      <c r="J205" s="36"/>
      <c r="K205" s="5"/>
    </row>
    <row r="206" spans="1:11" x14ac:dyDescent="0.3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2">
        <f t="shared" ca="1" si="11"/>
        <v>826310.59370993916</v>
      </c>
      <c r="J206" s="36"/>
      <c r="K206" s="5"/>
    </row>
    <row r="207" spans="1:11" x14ac:dyDescent="0.3">
      <c r="A207" s="3"/>
      <c r="I207" s="11"/>
      <c r="J207" s="11"/>
      <c r="K207" s="11"/>
    </row>
    <row r="208" spans="1:11" x14ac:dyDescent="0.3">
      <c r="A208" s="3"/>
      <c r="C208" s="18"/>
      <c r="D208" s="63" t="s">
        <v>60</v>
      </c>
      <c r="I208" s="47">
        <f ca="1">SUM(I3:I206)</f>
        <v>160805932.70173454</v>
      </c>
    </row>
    <row r="209" spans="1:11" x14ac:dyDescent="0.3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3">
      <c r="A210" s="16">
        <v>2003</v>
      </c>
      <c r="B210" s="6">
        <f>SUM(B3:B14)</f>
        <v>8359780.5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8989820.5418832265</v>
      </c>
      <c r="J210" s="36">
        <f>I210-B210</f>
        <v>630040.04188322648</v>
      </c>
      <c r="K210" s="5">
        <f>J210/B210</f>
        <v>7.5365620171872511E-2</v>
      </c>
    </row>
    <row r="211" spans="1:11" x14ac:dyDescent="0.3">
      <c r="A211">
        <v>2004</v>
      </c>
      <c r="B211" s="6">
        <f>SUM(B15:B26)</f>
        <v>8743099.0634733941</v>
      </c>
      <c r="C211" s="107">
        <f>+B211-B210</f>
        <v>383318.56347339414</v>
      </c>
      <c r="D211" s="109">
        <f>+C211/B210</f>
        <v>4.5852706715612229E-2</v>
      </c>
      <c r="E211" s="109">
        <f>RATE(1,0,-B$210,B211)</f>
        <v>4.5852706715612278E-2</v>
      </c>
      <c r="F211" s="179"/>
      <c r="G211" s="179"/>
      <c r="H211"/>
      <c r="I211" s="6">
        <f>SUM(I15:I26)</f>
        <v>9025104.5428113118</v>
      </c>
      <c r="J211" s="36">
        <f t="shared" ref="J211:J226" si="12">I211-B211</f>
        <v>282005.47933791764</v>
      </c>
      <c r="K211" s="5">
        <f t="shared" ref="K211:K226" si="13">J211/B211</f>
        <v>3.2254636175411765E-2</v>
      </c>
    </row>
    <row r="212" spans="1:11" x14ac:dyDescent="0.3">
      <c r="A212" s="16">
        <v>2005</v>
      </c>
      <c r="B212" s="6">
        <f>SUM(B27:B38)</f>
        <v>9182978</v>
      </c>
      <c r="C212" s="107">
        <f t="shared" ref="C212:C226" si="14">+B212-B211</f>
        <v>439878.93652660586</v>
      </c>
      <c r="D212" s="109">
        <f t="shared" ref="D212:D226" si="15">+C212/B211</f>
        <v>5.0311558102357129E-2</v>
      </c>
      <c r="E212" s="109">
        <f>RATE(2,0,-B$210,B212)</f>
        <v>4.807976124722594E-2</v>
      </c>
      <c r="F212" s="179"/>
      <c r="G212" s="179"/>
      <c r="H212"/>
      <c r="I212" s="6">
        <f>SUM(I27:I38)</f>
        <v>9160705.5238889884</v>
      </c>
      <c r="J212" s="36">
        <f t="shared" si="12"/>
        <v>-22272.47611101158</v>
      </c>
      <c r="K212" s="5">
        <f t="shared" si="13"/>
        <v>-2.4254088500496877E-3</v>
      </c>
    </row>
    <row r="213" spans="1:11" x14ac:dyDescent="0.3">
      <c r="A213">
        <v>2006</v>
      </c>
      <c r="B213" s="6">
        <f>SUM(B39:B50)</f>
        <v>9398525</v>
      </c>
      <c r="C213" s="107">
        <f t="shared" si="14"/>
        <v>215547</v>
      </c>
      <c r="D213" s="109">
        <f t="shared" si="15"/>
        <v>2.347245087595767E-2</v>
      </c>
      <c r="E213" s="109">
        <f>RATE(3,0,-B$210,B213)</f>
        <v>3.9812280247915298E-2</v>
      </c>
      <c r="F213" s="179"/>
      <c r="G213" s="179"/>
      <c r="H213"/>
      <c r="I213" s="6">
        <f>SUM(I39:I50)</f>
        <v>9235963.6996094584</v>
      </c>
      <c r="J213" s="36">
        <f t="shared" si="12"/>
        <v>-162561.30039054155</v>
      </c>
      <c r="K213" s="5">
        <f t="shared" si="13"/>
        <v>-1.7296469434357153E-2</v>
      </c>
    </row>
    <row r="214" spans="1:11" x14ac:dyDescent="0.3">
      <c r="A214" s="16">
        <v>2007</v>
      </c>
      <c r="B214" s="6">
        <f>SUM(B51:B62)</f>
        <v>9704521</v>
      </c>
      <c r="C214" s="107">
        <f t="shared" si="14"/>
        <v>305996</v>
      </c>
      <c r="D214" s="109">
        <f t="shared" si="15"/>
        <v>3.2557874772903193E-2</v>
      </c>
      <c r="E214" s="109">
        <f>RATE(4,0,-B$210,B214)</f>
        <v>3.7993914653316314E-2</v>
      </c>
      <c r="F214" s="179"/>
      <c r="G214" s="179"/>
      <c r="H214"/>
      <c r="I214" s="6">
        <f>SUM(I51:I62)</f>
        <v>8957377.1067180224</v>
      </c>
      <c r="J214" s="36">
        <f t="shared" si="12"/>
        <v>-747143.89328197762</v>
      </c>
      <c r="K214" s="5">
        <f t="shared" si="13"/>
        <v>-7.6989260292391309E-2</v>
      </c>
    </row>
    <row r="215" spans="1:11" x14ac:dyDescent="0.3">
      <c r="A215">
        <v>2008</v>
      </c>
      <c r="B215" s="6">
        <f>SUM(B63:B74)</f>
        <v>9725840</v>
      </c>
      <c r="C215" s="107">
        <f t="shared" si="14"/>
        <v>21319</v>
      </c>
      <c r="D215" s="109">
        <f t="shared" si="15"/>
        <v>2.1968111563672229E-3</v>
      </c>
      <c r="E215" s="109">
        <f>RATE(5,0,-B$210,B215)</f>
        <v>3.073363744783051E-2</v>
      </c>
      <c r="F215" s="179"/>
      <c r="G215" s="179"/>
      <c r="H215"/>
      <c r="I215" s="6">
        <f>SUM(I63:I74)</f>
        <v>9186621.8503538799</v>
      </c>
      <c r="J215" s="36">
        <f t="shared" si="12"/>
        <v>-539218.14964612015</v>
      </c>
      <c r="K215" s="5">
        <f t="shared" si="13"/>
        <v>-5.5441807560696055E-2</v>
      </c>
    </row>
    <row r="216" spans="1:11" x14ac:dyDescent="0.3">
      <c r="A216" s="16">
        <v>2009</v>
      </c>
      <c r="B216" s="6">
        <f>SUM(B75:B86)</f>
        <v>10202758</v>
      </c>
      <c r="C216" s="107">
        <f t="shared" si="14"/>
        <v>476918</v>
      </c>
      <c r="D216" s="109">
        <f t="shared" si="15"/>
        <v>4.9036175795612515E-2</v>
      </c>
      <c r="E216" s="109">
        <f>RATE(6,0,-B$210,B216)</f>
        <v>3.3761733300014092E-2</v>
      </c>
      <c r="F216" s="179"/>
      <c r="G216" s="179"/>
      <c r="H216"/>
      <c r="I216" s="6">
        <f>SUM(I75:I86)</f>
        <v>10403886.705313705</v>
      </c>
      <c r="J216" s="36">
        <f t="shared" si="12"/>
        <v>201128.70531370491</v>
      </c>
      <c r="K216" s="5">
        <f t="shared" si="13"/>
        <v>1.9713170234333197E-2</v>
      </c>
    </row>
    <row r="217" spans="1:11" x14ac:dyDescent="0.3">
      <c r="A217">
        <v>2010</v>
      </c>
      <c r="B217" s="6">
        <f>SUM(B87:B98)</f>
        <v>10427904</v>
      </c>
      <c r="C217" s="107">
        <f t="shared" si="14"/>
        <v>225146</v>
      </c>
      <c r="D217" s="109">
        <f t="shared" si="15"/>
        <v>2.2067170465084048E-2</v>
      </c>
      <c r="E217" s="109">
        <f>RATE(7,0,-B$210,B217)</f>
        <v>3.2082924510561987E-2</v>
      </c>
      <c r="F217" s="179"/>
      <c r="G217" s="179"/>
      <c r="H217"/>
      <c r="I217" s="6">
        <f>SUM(I87:I98)</f>
        <v>10396082.04936693</v>
      </c>
      <c r="J217" s="36">
        <f t="shared" si="12"/>
        <v>-31821.9506330695</v>
      </c>
      <c r="K217" s="5">
        <f t="shared" si="13"/>
        <v>-3.0516152270935273E-3</v>
      </c>
    </row>
    <row r="218" spans="1:11" x14ac:dyDescent="0.3">
      <c r="A218">
        <v>2011</v>
      </c>
      <c r="B218" s="6">
        <f>SUM(B99:B110)</f>
        <v>10253017</v>
      </c>
      <c r="C218" s="107">
        <f t="shared" si="14"/>
        <v>-174887</v>
      </c>
      <c r="D218" s="109">
        <f t="shared" si="15"/>
        <v>-1.677105964918741E-2</v>
      </c>
      <c r="E218" s="109">
        <f>RATE(8,0,-B$210,B218)</f>
        <v>2.5845836997099254E-2</v>
      </c>
      <c r="F218" s="179"/>
      <c r="G218" s="179"/>
      <c r="H218"/>
      <c r="I218" s="6">
        <f>SUM(I99:I110)</f>
        <v>9846819.9534107391</v>
      </c>
      <c r="J218" s="36">
        <f t="shared" si="12"/>
        <v>-406197.04658926092</v>
      </c>
      <c r="K218" s="5">
        <f t="shared" si="13"/>
        <v>-3.9617319135358979E-2</v>
      </c>
    </row>
    <row r="219" spans="1:11" x14ac:dyDescent="0.3">
      <c r="A219">
        <v>2012</v>
      </c>
      <c r="B219" s="6">
        <f>SUM(B111:B122)</f>
        <v>10139708</v>
      </c>
      <c r="C219" s="107">
        <f t="shared" si="14"/>
        <v>-113309</v>
      </c>
      <c r="D219" s="109">
        <f t="shared" si="15"/>
        <v>-1.1051283734338878E-2</v>
      </c>
      <c r="E219" s="109">
        <f>RATE(9,0,-B$210,B219)</f>
        <v>2.1679097434702633E-2</v>
      </c>
      <c r="F219" s="179"/>
      <c r="G219" s="179"/>
      <c r="H219"/>
      <c r="I219" s="6">
        <f>SUM(I111:I122)</f>
        <v>9718115.1629701611</v>
      </c>
      <c r="J219" s="36">
        <f t="shared" si="12"/>
        <v>-421592.83702983893</v>
      </c>
      <c r="K219" s="5">
        <f t="shared" si="13"/>
        <v>-4.1578400189614825E-2</v>
      </c>
    </row>
    <row r="220" spans="1:11" x14ac:dyDescent="0.3">
      <c r="A220">
        <v>2013</v>
      </c>
      <c r="B220" s="6">
        <f>SUM(B123:B134)</f>
        <v>9082284</v>
      </c>
      <c r="C220" s="107">
        <f t="shared" si="14"/>
        <v>-1057424</v>
      </c>
      <c r="D220" s="109">
        <f t="shared" si="15"/>
        <v>-0.1042854488511898</v>
      </c>
      <c r="E220" s="109">
        <f>RATE(10,0,-B$210,B220)</f>
        <v>8.3238050230215084E-3</v>
      </c>
      <c r="F220" s="179"/>
      <c r="G220" s="179"/>
      <c r="H220"/>
      <c r="I220" s="6">
        <f ca="1">SUM(I123:I134)</f>
        <v>9673030.7592758611</v>
      </c>
      <c r="J220" s="36">
        <f t="shared" ca="1" si="12"/>
        <v>590746.75927586108</v>
      </c>
      <c r="K220" s="5">
        <f t="shared" ca="1" si="13"/>
        <v>6.5043854527766481E-2</v>
      </c>
    </row>
    <row r="221" spans="1:11" x14ac:dyDescent="0.3">
      <c r="A221">
        <v>2014</v>
      </c>
      <c r="B221" s="6">
        <f>SUM(B135:B146)</f>
        <v>9155875</v>
      </c>
      <c r="C221" s="107">
        <f t="shared" ref="C221" si="16">+B221-B220</f>
        <v>73591</v>
      </c>
      <c r="D221" s="109">
        <f t="shared" ref="D221" si="17">+C221/B220</f>
        <v>8.1026975152946115E-3</v>
      </c>
      <c r="E221" s="109">
        <f>RATE(10,0,-B$210,B221)</f>
        <v>9.13785549133634E-3</v>
      </c>
      <c r="F221" s="103"/>
      <c r="G221" s="179"/>
      <c r="H221"/>
      <c r="I221" s="6">
        <f>SUM(I135:I146)</f>
        <v>9782761.6678711697</v>
      </c>
      <c r="J221" s="36">
        <f t="shared" si="12"/>
        <v>626886.66787116975</v>
      </c>
      <c r="K221" s="5">
        <f t="shared" si="13"/>
        <v>6.8468242289368278E-2</v>
      </c>
    </row>
    <row r="222" spans="1:11" x14ac:dyDescent="0.3">
      <c r="A222">
        <v>2015</v>
      </c>
      <c r="B222" s="6">
        <f t="shared" ref="B222:B226" ca="1" si="18">+I222</f>
        <v>9594693.3640402425</v>
      </c>
      <c r="C222" s="107">
        <f t="shared" ca="1" si="14"/>
        <v>438818.36404024251</v>
      </c>
      <c r="D222" s="109">
        <f t="shared" ca="1" si="15"/>
        <v>4.7927518018784934E-2</v>
      </c>
      <c r="E222" s="109">
        <f ca="1">RATE(12,0,-B$210,B222)</f>
        <v>1.1547665428913135E-2</v>
      </c>
      <c r="F222" s="103"/>
      <c r="G222" s="179"/>
      <c r="H222"/>
      <c r="I222" s="6">
        <f ca="1">SUM(I147:I158)</f>
        <v>9594693.3640402425</v>
      </c>
      <c r="J222" s="36">
        <f t="shared" ca="1" si="12"/>
        <v>0</v>
      </c>
      <c r="K222" s="5">
        <f t="shared" ca="1" si="13"/>
        <v>0</v>
      </c>
    </row>
    <row r="223" spans="1:11" x14ac:dyDescent="0.3">
      <c r="A223">
        <v>2016</v>
      </c>
      <c r="B223" s="6">
        <f t="shared" ca="1" si="18"/>
        <v>9387504.1346307099</v>
      </c>
      <c r="C223" s="107">
        <f t="shared" ca="1" si="14"/>
        <v>-207189.22940953262</v>
      </c>
      <c r="D223" s="109">
        <f t="shared" ca="1" si="15"/>
        <v>-2.1594148092950311E-2</v>
      </c>
      <c r="E223" s="109">
        <f ca="1">RATE(13,0,-B$210,B223)</f>
        <v>8.9589150495857518E-3</v>
      </c>
      <c r="F223" s="103"/>
      <c r="G223" s="179"/>
      <c r="H223"/>
      <c r="I223" s="6">
        <f ca="1">SUM(I159:I170)</f>
        <v>9387504.1346307099</v>
      </c>
      <c r="J223" s="36">
        <f t="shared" ca="1" si="12"/>
        <v>0</v>
      </c>
      <c r="K223" s="5">
        <f t="shared" ca="1" si="13"/>
        <v>0</v>
      </c>
    </row>
    <row r="224" spans="1:11" x14ac:dyDescent="0.3">
      <c r="A224">
        <v>2017</v>
      </c>
      <c r="B224" s="6">
        <f t="shared" ca="1" si="18"/>
        <v>9266773.2386806384</v>
      </c>
      <c r="C224" s="107">
        <f t="shared" ca="1" si="14"/>
        <v>-120730.89595007151</v>
      </c>
      <c r="D224" s="109">
        <f t="shared" ca="1" si="15"/>
        <v>-1.2860808817616663E-2</v>
      </c>
      <c r="E224" s="109">
        <f ca="1">RATE(14,0,-B$210,B224)</f>
        <v>7.3844934382817622E-3</v>
      </c>
      <c r="F224" s="103"/>
      <c r="G224" s="179"/>
      <c r="H224"/>
      <c r="I224" s="6">
        <f ca="1">SUM(I171:I182)</f>
        <v>9266773.2386806384</v>
      </c>
      <c r="J224" s="36">
        <f t="shared" ca="1" si="12"/>
        <v>0</v>
      </c>
      <c r="K224" s="5">
        <f t="shared" ca="1" si="13"/>
        <v>0</v>
      </c>
    </row>
    <row r="225" spans="1:11" x14ac:dyDescent="0.3">
      <c r="A225">
        <v>2018</v>
      </c>
      <c r="B225" s="6">
        <f t="shared" ca="1" si="18"/>
        <v>9186217.6584955938</v>
      </c>
      <c r="C225" s="107">
        <f t="shared" ca="1" si="14"/>
        <v>-80555.580185044557</v>
      </c>
      <c r="D225" s="109">
        <f t="shared" ca="1" si="15"/>
        <v>-8.6929482474865979E-3</v>
      </c>
      <c r="E225" s="109">
        <f ca="1">RATE(15,0,-B$210,B225)</f>
        <v>6.3045981362530416E-3</v>
      </c>
      <c r="F225" s="103"/>
      <c r="G225" s="179"/>
      <c r="H225"/>
      <c r="I225" s="6">
        <f ca="1">SUM(I183:I194)</f>
        <v>9186217.6584955938</v>
      </c>
      <c r="J225" s="36">
        <f t="shared" ca="1" si="12"/>
        <v>0</v>
      </c>
      <c r="K225" s="5">
        <f t="shared" ca="1" si="13"/>
        <v>0</v>
      </c>
    </row>
    <row r="226" spans="1:11" x14ac:dyDescent="0.3">
      <c r="A226">
        <v>2019</v>
      </c>
      <c r="B226" s="6">
        <f t="shared" ca="1" si="18"/>
        <v>8994454.7424138524</v>
      </c>
      <c r="C226" s="107">
        <f t="shared" ca="1" si="14"/>
        <v>-191762.91608174145</v>
      </c>
      <c r="D226" s="109">
        <f t="shared" ca="1" si="15"/>
        <v>-2.0875067760276218E-2</v>
      </c>
      <c r="E226" s="109">
        <f ca="1">RATE(16,0,-B$210,B226)</f>
        <v>4.5839792441541745E-3</v>
      </c>
      <c r="F226" s="103"/>
      <c r="G226" s="179"/>
      <c r="H226"/>
      <c r="I226" s="6">
        <f ca="1">SUM(I195:I206)</f>
        <v>8994454.7424138524</v>
      </c>
      <c r="J226" s="36">
        <f t="shared" ca="1" si="12"/>
        <v>0</v>
      </c>
      <c r="K226" s="5">
        <f t="shared" ca="1" si="13"/>
        <v>0</v>
      </c>
    </row>
    <row r="227" spans="1:11" x14ac:dyDescent="0.3">
      <c r="C227" s="101"/>
      <c r="D227" s="179"/>
      <c r="F227" s="179"/>
      <c r="G227" s="179"/>
      <c r="H227"/>
      <c r="J227" s="179"/>
      <c r="K227" s="179"/>
    </row>
    <row r="228" spans="1:11" x14ac:dyDescent="0.3">
      <c r="A228" t="s">
        <v>9</v>
      </c>
      <c r="B228" s="6">
        <f ca="1">SUM(B210:B226)</f>
        <v>160805932.70173445</v>
      </c>
      <c r="C228" s="101"/>
      <c r="D228" s="179"/>
      <c r="F228" s="179"/>
      <c r="G228" s="179"/>
      <c r="H228"/>
      <c r="I228" s="6">
        <f ca="1">SUM(I210:I226)</f>
        <v>160805932.70173451</v>
      </c>
      <c r="J228" s="183">
        <f ca="1">I228-B228</f>
        <v>0</v>
      </c>
      <c r="K228" s="179"/>
    </row>
    <row r="229" spans="1:11" x14ac:dyDescent="0.3">
      <c r="C229" s="179"/>
      <c r="D229" s="179"/>
      <c r="F229" s="179"/>
      <c r="G229" s="179"/>
      <c r="H229"/>
      <c r="I229" s="179"/>
      <c r="J229" s="62"/>
      <c r="K229" s="179"/>
    </row>
    <row r="230" spans="1:11" x14ac:dyDescent="0.3">
      <c r="C230" s="179"/>
      <c r="D230" s="179"/>
      <c r="F230" s="179"/>
      <c r="G230" s="179"/>
      <c r="H230"/>
      <c r="I230" s="6">
        <f ca="1">SUM(I210:I226)</f>
        <v>160805932.70173451</v>
      </c>
      <c r="J230" s="183">
        <f ca="1">I208-I230</f>
        <v>0</v>
      </c>
      <c r="K230" s="179"/>
    </row>
    <row r="231" spans="1:11" x14ac:dyDescent="0.3">
      <c r="C231" s="179"/>
      <c r="D231" s="179"/>
      <c r="F231" s="179"/>
      <c r="G231" s="179"/>
      <c r="H231"/>
      <c r="I231" s="23"/>
      <c r="J231" s="184" t="s">
        <v>69</v>
      </c>
      <c r="K231" s="18"/>
    </row>
    <row r="243" spans="9:11" x14ac:dyDescent="0.3">
      <c r="I243" s="11"/>
      <c r="J243" s="11"/>
      <c r="K243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45" x14ac:dyDescent="0.3"/>
  <cols>
    <col min="1" max="1" width="11.84375" customWidth="1"/>
    <col min="2" max="2" width="18" style="6" customWidth="1"/>
    <col min="3" max="3" width="11.69140625" style="1" customWidth="1"/>
    <col min="4" max="4" width="13.3828125" style="1" customWidth="1"/>
    <col min="5" max="5" width="14.3828125" style="34" customWidth="1"/>
    <col min="6" max="6" width="10.15234375" style="1" customWidth="1"/>
    <col min="7" max="8" width="12.3828125" style="1" customWidth="1"/>
    <col min="9" max="9" width="12.53515625" style="6" customWidth="1"/>
    <col min="10" max="10" width="21.3046875" style="6" customWidth="1"/>
    <col min="11" max="11" width="11.53515625" style="6" customWidth="1"/>
    <col min="12" max="12" width="9.3046875" style="6" customWidth="1"/>
    <col min="13" max="13" width="27.3046875" style="6" bestFit="1" customWidth="1"/>
    <col min="14" max="14" width="13.53515625" style="6" bestFit="1" customWidth="1"/>
    <col min="15" max="15" width="20.84375" style="6" bestFit="1" customWidth="1"/>
    <col min="16" max="16" width="19" style="6" bestFit="1" customWidth="1"/>
    <col min="17" max="17" width="9.84375" style="6" bestFit="1" customWidth="1"/>
    <col min="18" max="18" width="14" bestFit="1" customWidth="1"/>
    <col min="19" max="19" width="13.53515625" bestFit="1" customWidth="1"/>
    <col min="20" max="20" width="13.84375" bestFit="1" customWidth="1"/>
    <col min="21" max="21" width="13.53515625" bestFit="1" customWidth="1"/>
  </cols>
  <sheetData>
    <row r="2" spans="1:18" ht="42" customHeight="1" x14ac:dyDescent="0.3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2.9" thickBot="1" x14ac:dyDescent="0.35">
      <c r="A3" s="3">
        <v>37622</v>
      </c>
      <c r="B3" s="59">
        <v>300000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61">
        <v>300</v>
      </c>
      <c r="I3" s="192">
        <f>$N$18+C3*$N$19+D3*$N$20+E3*$N$21+F3*$N$22+G3*$N$23</f>
        <v>304257.29185228125</v>
      </c>
      <c r="J3" s="36">
        <f>I3-B3</f>
        <v>4257.2918522812543</v>
      </c>
      <c r="K3" s="5">
        <f>J3/B3</f>
        <v>1.4190972840937514E-2</v>
      </c>
      <c r="M3"/>
      <c r="N3"/>
      <c r="O3"/>
      <c r="P3"/>
      <c r="Q3"/>
    </row>
    <row r="4" spans="1:18" ht="12.9" x14ac:dyDescent="0.35">
      <c r="A4" s="3">
        <v>37653</v>
      </c>
      <c r="B4" s="59">
        <v>300000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61">
        <v>300</v>
      </c>
      <c r="I4" s="192">
        <f t="shared" ref="I4:I67" si="0">$N$18+C4*$N$19+D4*$N$20+E4*$N$21+F4*$N$22+G4*$N$23</f>
        <v>306619.17722689587</v>
      </c>
      <c r="J4" s="36">
        <f t="shared" ref="J4:J67" si="1">I4-B4</f>
        <v>6619.1772268958739</v>
      </c>
      <c r="K4" s="5">
        <f t="shared" ref="K4:K67" si="2">J4/B4</f>
        <v>2.2063924089652912E-2</v>
      </c>
      <c r="M4" s="53" t="s">
        <v>19</v>
      </c>
      <c r="N4" s="53"/>
      <c r="O4"/>
      <c r="P4"/>
      <c r="Q4"/>
    </row>
    <row r="5" spans="1:18" x14ac:dyDescent="0.3">
      <c r="A5" s="3">
        <v>37681</v>
      </c>
      <c r="B5" s="59">
        <v>300000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61">
        <v>300</v>
      </c>
      <c r="I5" s="192">
        <f t="shared" si="0"/>
        <v>301490.08460258081</v>
      </c>
      <c r="J5" s="36">
        <f t="shared" si="1"/>
        <v>1490.0846025808132</v>
      </c>
      <c r="K5" s="5">
        <f t="shared" si="2"/>
        <v>4.9669486752693774E-3</v>
      </c>
      <c r="M5" s="35" t="s">
        <v>20</v>
      </c>
      <c r="N5" s="95">
        <v>0.72058608497363685</v>
      </c>
      <c r="O5"/>
      <c r="P5"/>
      <c r="Q5"/>
    </row>
    <row r="6" spans="1:18" x14ac:dyDescent="0.3">
      <c r="A6" s="3">
        <v>37712</v>
      </c>
      <c r="B6" s="59">
        <v>300000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300</v>
      </c>
      <c r="I6" s="192">
        <f t="shared" si="0"/>
        <v>295822.5209127618</v>
      </c>
      <c r="J6" s="36">
        <f t="shared" si="1"/>
        <v>-4177.4790872382</v>
      </c>
      <c r="K6" s="5">
        <f t="shared" si="2"/>
        <v>-1.3924930290794E-2</v>
      </c>
      <c r="M6" s="35" t="s">
        <v>21</v>
      </c>
      <c r="N6" s="95">
        <v>0.51924430585763337</v>
      </c>
      <c r="O6"/>
      <c r="P6"/>
      <c r="Q6"/>
    </row>
    <row r="7" spans="1:18" x14ac:dyDescent="0.3">
      <c r="A7" s="3">
        <v>37742</v>
      </c>
      <c r="B7" s="59">
        <v>300000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300</v>
      </c>
      <c r="I7" s="192">
        <f t="shared" si="0"/>
        <v>296446.7072035998</v>
      </c>
      <c r="J7" s="36">
        <f t="shared" si="1"/>
        <v>-3553.292796400201</v>
      </c>
      <c r="K7" s="5">
        <f t="shared" si="2"/>
        <v>-1.1844309321334004E-2</v>
      </c>
      <c r="M7" s="35" t="s">
        <v>22</v>
      </c>
      <c r="N7" s="95">
        <v>0.50182562128725783</v>
      </c>
      <c r="O7"/>
      <c r="P7"/>
      <c r="Q7"/>
    </row>
    <row r="8" spans="1:18" x14ac:dyDescent="0.3">
      <c r="A8" s="3">
        <v>37773</v>
      </c>
      <c r="B8" s="59">
        <v>300000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300</v>
      </c>
      <c r="I8" s="192">
        <f t="shared" si="0"/>
        <v>299520.33502750861</v>
      </c>
      <c r="J8" s="36">
        <f t="shared" si="1"/>
        <v>-479.66497249138774</v>
      </c>
      <c r="K8" s="5">
        <f t="shared" si="2"/>
        <v>-1.5988832416379592E-3</v>
      </c>
      <c r="M8" s="35" t="s">
        <v>23</v>
      </c>
      <c r="N8" s="67">
        <v>26613.076164147962</v>
      </c>
      <c r="O8"/>
      <c r="P8"/>
      <c r="Q8"/>
    </row>
    <row r="9" spans="1:18" ht="12.9" thickBot="1" x14ac:dyDescent="0.35">
      <c r="A9" s="3">
        <v>37803</v>
      </c>
      <c r="B9" s="59">
        <v>300000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61">
        <v>300</v>
      </c>
      <c r="I9" s="192">
        <f t="shared" si="0"/>
        <v>306160.11645218008</v>
      </c>
      <c r="J9" s="36">
        <f t="shared" si="1"/>
        <v>6160.116452180082</v>
      </c>
      <c r="K9" s="5">
        <f t="shared" si="2"/>
        <v>2.0533721507266942E-2</v>
      </c>
      <c r="M9" s="51" t="s">
        <v>24</v>
      </c>
      <c r="N9" s="68">
        <v>144</v>
      </c>
      <c r="O9"/>
      <c r="P9"/>
      <c r="Q9"/>
    </row>
    <row r="10" spans="1:18" x14ac:dyDescent="0.3">
      <c r="A10" s="3">
        <v>37834</v>
      </c>
      <c r="B10" s="59">
        <v>300000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61">
        <v>300</v>
      </c>
      <c r="I10" s="192">
        <f t="shared" si="0"/>
        <v>302604.03116443823</v>
      </c>
      <c r="J10" s="36">
        <f t="shared" si="1"/>
        <v>2604.0311644382309</v>
      </c>
      <c r="K10" s="5">
        <f t="shared" si="2"/>
        <v>8.6801038814607705E-3</v>
      </c>
      <c r="M10"/>
      <c r="N10"/>
      <c r="O10"/>
      <c r="P10"/>
      <c r="Q10"/>
    </row>
    <row r="11" spans="1:18" ht="12.9" thickBot="1" x14ac:dyDescent="0.35">
      <c r="A11" s="3">
        <v>37865</v>
      </c>
      <c r="B11" s="59">
        <v>300000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61">
        <v>300</v>
      </c>
      <c r="I11" s="192">
        <f t="shared" si="0"/>
        <v>305973.64283767034</v>
      </c>
      <c r="J11" s="36">
        <f t="shared" si="1"/>
        <v>5973.6428376703407</v>
      </c>
      <c r="K11" s="5">
        <f t="shared" si="2"/>
        <v>1.991214279223447E-2</v>
      </c>
      <c r="M11" t="s">
        <v>25</v>
      </c>
      <c r="N11"/>
      <c r="O11"/>
      <c r="P11"/>
      <c r="Q11"/>
    </row>
    <row r="12" spans="1:18" ht="12.9" x14ac:dyDescent="0.35">
      <c r="A12" s="3">
        <v>37895</v>
      </c>
      <c r="B12" s="59">
        <v>300000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61">
        <v>300</v>
      </c>
      <c r="I12" s="192">
        <f t="shared" si="0"/>
        <v>310353.79234584968</v>
      </c>
      <c r="J12" s="36">
        <f t="shared" si="1"/>
        <v>10353.792345849681</v>
      </c>
      <c r="K12" s="5">
        <f t="shared" si="2"/>
        <v>3.4512641152832271E-2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3">
      <c r="A13" s="3">
        <v>37926</v>
      </c>
      <c r="B13" s="59">
        <v>300000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61">
        <v>300</v>
      </c>
      <c r="I13" s="192">
        <f t="shared" si="0"/>
        <v>310386.19833489839</v>
      </c>
      <c r="J13" s="36">
        <f t="shared" si="1"/>
        <v>10386.198334898392</v>
      </c>
      <c r="K13" s="5">
        <f t="shared" si="2"/>
        <v>3.4620661116327972E-2</v>
      </c>
      <c r="M13" s="35" t="s">
        <v>26</v>
      </c>
      <c r="N13" s="67">
        <v>5</v>
      </c>
      <c r="O13" s="67">
        <v>105564172097.85271</v>
      </c>
      <c r="P13" s="67">
        <v>21112834419.570541</v>
      </c>
      <c r="Q13" s="67">
        <v>29.809616435716702</v>
      </c>
      <c r="R13" s="67">
        <v>1.9087850833779491E-20</v>
      </c>
    </row>
    <row r="14" spans="1:18" x14ac:dyDescent="0.3">
      <c r="A14" s="3">
        <v>37956</v>
      </c>
      <c r="B14" s="59">
        <v>300000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61">
        <v>300</v>
      </c>
      <c r="I14" s="192">
        <f t="shared" si="0"/>
        <v>312861.81843243702</v>
      </c>
      <c r="J14" s="36">
        <f t="shared" si="1"/>
        <v>12861.818432437023</v>
      </c>
      <c r="K14" s="5">
        <f t="shared" si="2"/>
        <v>4.2872728108123412E-2</v>
      </c>
      <c r="M14" s="35" t="s">
        <v>27</v>
      </c>
      <c r="N14" s="67">
        <v>138</v>
      </c>
      <c r="O14" s="67">
        <v>97739303562.786179</v>
      </c>
      <c r="P14" s="67">
        <v>708255822.91874039</v>
      </c>
      <c r="Q14" s="67"/>
      <c r="R14" s="67"/>
    </row>
    <row r="15" spans="1:18" ht="12.9" thickBot="1" x14ac:dyDescent="0.35">
      <c r="A15" s="3">
        <v>37987</v>
      </c>
      <c r="B15" s="59">
        <v>300000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61">
        <v>300</v>
      </c>
      <c r="I15" s="192">
        <f t="shared" si="0"/>
        <v>305819.50629891304</v>
      </c>
      <c r="J15" s="36">
        <f t="shared" si="1"/>
        <v>5819.5062989130383</v>
      </c>
      <c r="K15" s="5">
        <f t="shared" si="2"/>
        <v>1.9398354329710127E-2</v>
      </c>
      <c r="M15" s="51" t="s">
        <v>9</v>
      </c>
      <c r="N15" s="68">
        <v>143</v>
      </c>
      <c r="O15" s="68">
        <v>203303475660.63889</v>
      </c>
      <c r="P15" s="68"/>
      <c r="Q15" s="68"/>
      <c r="R15" s="68"/>
    </row>
    <row r="16" spans="1:18" ht="12.9" thickBot="1" x14ac:dyDescent="0.35">
      <c r="A16" s="3">
        <v>38018</v>
      </c>
      <c r="B16" s="59">
        <v>300000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61">
        <v>300</v>
      </c>
      <c r="I16" s="192">
        <f t="shared" si="0"/>
        <v>308239.9870706388</v>
      </c>
      <c r="J16" s="36">
        <f t="shared" si="1"/>
        <v>8239.9870706388028</v>
      </c>
      <c r="K16" s="5">
        <f t="shared" si="2"/>
        <v>2.7466623568796009E-2</v>
      </c>
      <c r="M16"/>
      <c r="N16"/>
      <c r="O16"/>
      <c r="P16"/>
      <c r="Q16"/>
    </row>
    <row r="17" spans="1:21" ht="12.9" x14ac:dyDescent="0.35">
      <c r="A17" s="3">
        <v>38047</v>
      </c>
      <c r="B17" s="59">
        <v>300000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61">
        <v>300</v>
      </c>
      <c r="I17" s="192">
        <f t="shared" si="0"/>
        <v>303790.67738501506</v>
      </c>
      <c r="J17" s="36">
        <f t="shared" si="1"/>
        <v>3790.6773850150639</v>
      </c>
      <c r="K17" s="5">
        <f t="shared" si="2"/>
        <v>1.2635591283383546E-2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3">
      <c r="A18" s="3">
        <v>38078</v>
      </c>
      <c r="B18" s="59">
        <v>300000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61">
        <v>300</v>
      </c>
      <c r="I18" s="192">
        <f t="shared" si="0"/>
        <v>301587.93384934822</v>
      </c>
      <c r="J18" s="36">
        <f t="shared" si="1"/>
        <v>1587.933849348221</v>
      </c>
      <c r="K18" s="5">
        <f t="shared" si="2"/>
        <v>5.2931128311607366E-3</v>
      </c>
      <c r="M18" s="35" t="s">
        <v>28</v>
      </c>
      <c r="N18" s="67">
        <v>421322.33768794831</v>
      </c>
      <c r="O18" s="67">
        <v>86925.084963383022</v>
      </c>
      <c r="P18" s="67">
        <v>4.8469591702490638</v>
      </c>
      <c r="Q18" s="67">
        <v>3.3283630352597427E-6</v>
      </c>
      <c r="R18" s="67">
        <v>249445.05929879626</v>
      </c>
      <c r="S18" s="67">
        <v>593199.61607710039</v>
      </c>
      <c r="T18" s="67">
        <v>249445.05929879626</v>
      </c>
      <c r="U18" s="67">
        <v>593199.61607710039</v>
      </c>
    </row>
    <row r="19" spans="1:21" x14ac:dyDescent="0.3">
      <c r="A19" s="3">
        <v>38108</v>
      </c>
      <c r="B19" s="59">
        <v>300000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61">
        <v>300</v>
      </c>
      <c r="I19" s="192">
        <f t="shared" si="0"/>
        <v>301956.39472591464</v>
      </c>
      <c r="J19" s="36">
        <f t="shared" si="1"/>
        <v>1956.3947259146371</v>
      </c>
      <c r="K19" s="5">
        <f t="shared" si="2"/>
        <v>6.5213157530487906E-3</v>
      </c>
      <c r="M19" s="35" t="s">
        <v>3</v>
      </c>
      <c r="N19" s="67">
        <v>-5.75958140251457</v>
      </c>
      <c r="O19" s="67">
        <v>13.564331606150171</v>
      </c>
      <c r="P19" s="67">
        <v>-0.42461225291065074</v>
      </c>
      <c r="Q19" s="67">
        <v>0.67178062127146232</v>
      </c>
      <c r="R19" s="67">
        <v>-32.580382332592968</v>
      </c>
      <c r="S19" s="67">
        <v>21.061219527563829</v>
      </c>
      <c r="T19" s="67">
        <v>-32.580382332592968</v>
      </c>
      <c r="U19" s="67">
        <v>21.061219527563829</v>
      </c>
    </row>
    <row r="20" spans="1:21" x14ac:dyDescent="0.3">
      <c r="A20" s="3">
        <v>38139</v>
      </c>
      <c r="B20" s="59">
        <v>300000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61">
        <v>300</v>
      </c>
      <c r="I20" s="192">
        <f t="shared" si="0"/>
        <v>305988.81789503206</v>
      </c>
      <c r="J20" s="36">
        <f t="shared" si="1"/>
        <v>5988.817895032058</v>
      </c>
      <c r="K20" s="5">
        <f t="shared" si="2"/>
        <v>1.9962726316773528E-2</v>
      </c>
      <c r="M20" s="35" t="s">
        <v>4</v>
      </c>
      <c r="N20" s="67">
        <v>-74.451798631856761</v>
      </c>
      <c r="O20" s="67">
        <v>104.9339076963318</v>
      </c>
      <c r="P20" s="67">
        <v>-0.70951135115746189</v>
      </c>
      <c r="Q20" s="67">
        <v>0.47920427640450203</v>
      </c>
      <c r="R20" s="67">
        <v>-281.93798599861657</v>
      </c>
      <c r="S20" s="67">
        <v>133.03438873490308</v>
      </c>
      <c r="T20" s="67">
        <v>-281.93798599861657</v>
      </c>
      <c r="U20" s="67">
        <v>133.03438873490308</v>
      </c>
    </row>
    <row r="21" spans="1:21" x14ac:dyDescent="0.3">
      <c r="A21" s="3">
        <v>38169</v>
      </c>
      <c r="B21" s="59">
        <v>300000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61">
        <v>300</v>
      </c>
      <c r="I21" s="192">
        <f t="shared" si="0"/>
        <v>301804.56949600554</v>
      </c>
      <c r="J21" s="36">
        <f t="shared" si="1"/>
        <v>1804.5694960055407</v>
      </c>
      <c r="K21" s="5">
        <f t="shared" si="2"/>
        <v>6.0152316533518026E-3</v>
      </c>
      <c r="M21" s="35" t="s">
        <v>218</v>
      </c>
      <c r="N21" s="67">
        <v>-1808724.5306594479</v>
      </c>
      <c r="O21" s="67">
        <v>148964.92907667148</v>
      </c>
      <c r="P21" s="67">
        <v>-12.14194872491435</v>
      </c>
      <c r="Q21" s="67">
        <v>1.5643076770550687E-23</v>
      </c>
      <c r="R21" s="67">
        <v>-2103273.4125606488</v>
      </c>
      <c r="S21" s="67">
        <v>-1514175.648758247</v>
      </c>
      <c r="T21" s="67">
        <v>-2103273.4125606488</v>
      </c>
      <c r="U21" s="67">
        <v>-1514175.648758247</v>
      </c>
    </row>
    <row r="22" spans="1:21" x14ac:dyDescent="0.3">
      <c r="A22" s="3">
        <v>38200</v>
      </c>
      <c r="B22" s="59">
        <v>300000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61">
        <v>300</v>
      </c>
      <c r="I22" s="192">
        <f t="shared" si="0"/>
        <v>302872.09410184145</v>
      </c>
      <c r="J22" s="36">
        <f t="shared" si="1"/>
        <v>2872.0941018414451</v>
      </c>
      <c r="K22" s="5">
        <f t="shared" si="2"/>
        <v>9.5736470061381501E-3</v>
      </c>
      <c r="M22" s="35" t="s">
        <v>5</v>
      </c>
      <c r="N22" s="67">
        <v>-596.26900835481752</v>
      </c>
      <c r="O22" s="67">
        <v>2843.2368944872483</v>
      </c>
      <c r="P22" s="67">
        <v>-0.20971485334581985</v>
      </c>
      <c r="Q22" s="67">
        <v>0.83419951966044603</v>
      </c>
      <c r="R22" s="67">
        <v>-6218.2113906481627</v>
      </c>
      <c r="S22" s="67">
        <v>5025.6733739385272</v>
      </c>
      <c r="T22" s="67">
        <v>-6218.2113906481627</v>
      </c>
      <c r="U22" s="67">
        <v>5025.6733739385272</v>
      </c>
    </row>
    <row r="23" spans="1:21" ht="12.9" thickBot="1" x14ac:dyDescent="0.35">
      <c r="A23" s="3">
        <v>38231</v>
      </c>
      <c r="B23" s="59">
        <v>300000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61">
        <v>300</v>
      </c>
      <c r="I23" s="192">
        <f t="shared" si="0"/>
        <v>301346.95186526031</v>
      </c>
      <c r="J23" s="36">
        <f t="shared" si="1"/>
        <v>1346.9518652603147</v>
      </c>
      <c r="K23" s="5">
        <f t="shared" si="2"/>
        <v>4.4898395508677158E-3</v>
      </c>
      <c r="M23" s="51" t="s">
        <v>17</v>
      </c>
      <c r="N23" s="68">
        <v>-3996.8778791372624</v>
      </c>
      <c r="O23" s="68">
        <v>5733.5869639099865</v>
      </c>
      <c r="P23" s="68">
        <v>-0.69709902444936744</v>
      </c>
      <c r="Q23" s="68">
        <v>0.48691350448310222</v>
      </c>
      <c r="R23" s="68">
        <v>-15333.919691400064</v>
      </c>
      <c r="S23" s="68">
        <v>7340.1639331255392</v>
      </c>
      <c r="T23" s="68">
        <v>-15333.919691400064</v>
      </c>
      <c r="U23" s="68">
        <v>7340.1639331255392</v>
      </c>
    </row>
    <row r="24" spans="1:21" x14ac:dyDescent="0.3">
      <c r="A24" s="3">
        <v>38261</v>
      </c>
      <c r="B24" s="59">
        <v>300000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300</v>
      </c>
      <c r="I24" s="192">
        <f t="shared" si="0"/>
        <v>292581.59614197281</v>
      </c>
      <c r="J24" s="36">
        <f t="shared" si="1"/>
        <v>-7418.4038580271881</v>
      </c>
      <c r="K24" s="5">
        <f t="shared" si="2"/>
        <v>-2.4728012860090628E-2</v>
      </c>
      <c r="M24"/>
      <c r="N24"/>
      <c r="O24"/>
      <c r="P24"/>
      <c r="Q24"/>
    </row>
    <row r="25" spans="1:21" x14ac:dyDescent="0.3">
      <c r="A25" s="3">
        <v>38292</v>
      </c>
      <c r="B25" s="59">
        <v>300000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300</v>
      </c>
      <c r="I25" s="192">
        <f t="shared" si="0"/>
        <v>292309.89623296866</v>
      </c>
      <c r="J25" s="36">
        <f t="shared" si="1"/>
        <v>-7690.1037670313381</v>
      </c>
      <c r="K25" s="5">
        <f t="shared" si="2"/>
        <v>-2.5633679223437792E-2</v>
      </c>
      <c r="M25"/>
      <c r="N25"/>
      <c r="O25"/>
      <c r="P25"/>
      <c r="Q25"/>
    </row>
    <row r="26" spans="1:21" x14ac:dyDescent="0.3">
      <c r="A26" s="3">
        <v>38322</v>
      </c>
      <c r="B26" s="59">
        <v>300000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300</v>
      </c>
      <c r="I26" s="192">
        <f t="shared" si="0"/>
        <v>294317.83832062315</v>
      </c>
      <c r="J26" s="36">
        <f t="shared" si="1"/>
        <v>-5682.161679376848</v>
      </c>
      <c r="K26" s="5">
        <f t="shared" si="2"/>
        <v>-1.8940538931256159E-2</v>
      </c>
      <c r="M26"/>
      <c r="N26"/>
      <c r="O26"/>
      <c r="P26"/>
      <c r="Q26"/>
    </row>
    <row r="27" spans="1:21" x14ac:dyDescent="0.3">
      <c r="A27" s="3">
        <v>38353</v>
      </c>
      <c r="B27" s="59">
        <v>300000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300</v>
      </c>
      <c r="I27" s="192">
        <f t="shared" si="0"/>
        <v>268316.0642858941</v>
      </c>
      <c r="J27" s="36">
        <f t="shared" si="1"/>
        <v>-31683.935714105901</v>
      </c>
      <c r="K27" s="5">
        <f t="shared" si="2"/>
        <v>-0.10561311904701967</v>
      </c>
      <c r="M27"/>
      <c r="N27"/>
      <c r="O27"/>
      <c r="P27"/>
      <c r="Q27"/>
    </row>
    <row r="28" spans="1:21" x14ac:dyDescent="0.3">
      <c r="A28" s="3">
        <v>38384</v>
      </c>
      <c r="B28" s="59">
        <v>300000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300</v>
      </c>
      <c r="I28" s="192">
        <f t="shared" si="0"/>
        <v>271003.36600975081</v>
      </c>
      <c r="J28" s="36">
        <f t="shared" si="1"/>
        <v>-28996.633990249189</v>
      </c>
      <c r="K28" s="5">
        <f t="shared" si="2"/>
        <v>-9.6655446634163963E-2</v>
      </c>
    </row>
    <row r="29" spans="1:21" x14ac:dyDescent="0.3">
      <c r="A29" s="3">
        <v>38412</v>
      </c>
      <c r="B29" s="59">
        <v>300000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300</v>
      </c>
      <c r="I29" s="192">
        <f t="shared" si="0"/>
        <v>265282.18841725728</v>
      </c>
      <c r="J29" s="36">
        <f t="shared" si="1"/>
        <v>-34717.811582742725</v>
      </c>
      <c r="K29" s="5">
        <f t="shared" si="2"/>
        <v>-0.11572603860914242</v>
      </c>
    </row>
    <row r="30" spans="1:21" x14ac:dyDescent="0.3">
      <c r="A30" s="3">
        <v>38443</v>
      </c>
      <c r="B30" s="59">
        <v>300000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61">
        <v>300</v>
      </c>
      <c r="I30" s="192">
        <f t="shared" si="0"/>
        <v>283614.15229638328</v>
      </c>
      <c r="J30" s="36">
        <f t="shared" si="1"/>
        <v>-16385.847703616717</v>
      </c>
      <c r="K30" s="5">
        <f t="shared" si="2"/>
        <v>-5.4619492345389056E-2</v>
      </c>
    </row>
    <row r="31" spans="1:21" x14ac:dyDescent="0.3">
      <c r="A31" s="3">
        <v>38473</v>
      </c>
      <c r="B31" s="59">
        <v>300000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61">
        <v>300</v>
      </c>
      <c r="I31" s="192">
        <f t="shared" si="0"/>
        <v>283624.49403759348</v>
      </c>
      <c r="J31" s="36">
        <f t="shared" si="1"/>
        <v>-16375.505962406518</v>
      </c>
      <c r="K31" s="5">
        <f t="shared" si="2"/>
        <v>-5.458501987468839E-2</v>
      </c>
    </row>
    <row r="32" spans="1:21" x14ac:dyDescent="0.3">
      <c r="A32" s="3">
        <v>38504</v>
      </c>
      <c r="B32" s="59">
        <v>300000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61">
        <v>300</v>
      </c>
      <c r="I32" s="192">
        <f t="shared" si="0"/>
        <v>282712.49904354021</v>
      </c>
      <c r="J32" s="36">
        <f t="shared" si="1"/>
        <v>-17287.500956459786</v>
      </c>
      <c r="K32" s="5">
        <f t="shared" si="2"/>
        <v>-5.7625003188199284E-2</v>
      </c>
    </row>
    <row r="33" spans="1:11" x14ac:dyDescent="0.3">
      <c r="A33" s="3">
        <v>38534</v>
      </c>
      <c r="B33" s="59">
        <v>300000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61">
        <v>300</v>
      </c>
      <c r="I33" s="192">
        <f t="shared" si="0"/>
        <v>288336.90391160082</v>
      </c>
      <c r="J33" s="36">
        <f t="shared" si="1"/>
        <v>-11663.096088399179</v>
      </c>
      <c r="K33" s="5">
        <f t="shared" si="2"/>
        <v>-3.8876986961330601E-2</v>
      </c>
    </row>
    <row r="34" spans="1:11" x14ac:dyDescent="0.3">
      <c r="A34" s="3">
        <v>38565</v>
      </c>
      <c r="B34" s="59">
        <v>300000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61">
        <v>300</v>
      </c>
      <c r="I34" s="192">
        <f t="shared" si="0"/>
        <v>291699.90592911991</v>
      </c>
      <c r="J34" s="36">
        <f t="shared" si="1"/>
        <v>-8300.0940708800917</v>
      </c>
      <c r="K34" s="5">
        <f t="shared" si="2"/>
        <v>-2.7666980236266972E-2</v>
      </c>
    </row>
    <row r="35" spans="1:11" x14ac:dyDescent="0.3">
      <c r="A35" s="3">
        <v>38596</v>
      </c>
      <c r="B35" s="59">
        <v>300000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61">
        <v>300</v>
      </c>
      <c r="I35" s="192">
        <f t="shared" si="0"/>
        <v>293686.69567798072</v>
      </c>
      <c r="J35" s="36">
        <f t="shared" si="1"/>
        <v>-6313.3043220192776</v>
      </c>
      <c r="K35" s="5">
        <f t="shared" si="2"/>
        <v>-2.1044347740064258E-2</v>
      </c>
    </row>
    <row r="36" spans="1:11" x14ac:dyDescent="0.3">
      <c r="A36" s="3">
        <v>38626</v>
      </c>
      <c r="B36" s="59">
        <v>300000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300</v>
      </c>
      <c r="I36" s="192">
        <f t="shared" si="0"/>
        <v>276330.35677843</v>
      </c>
      <c r="J36" s="36">
        <f t="shared" si="1"/>
        <v>-23669.643221570004</v>
      </c>
      <c r="K36" s="5">
        <f t="shared" si="2"/>
        <v>-7.889881073856668E-2</v>
      </c>
    </row>
    <row r="37" spans="1:11" x14ac:dyDescent="0.3">
      <c r="A37" s="3">
        <v>38657</v>
      </c>
      <c r="B37" s="59">
        <v>300000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300</v>
      </c>
      <c r="I37" s="192">
        <f t="shared" si="0"/>
        <v>275957.65281508141</v>
      </c>
      <c r="J37" s="36">
        <f t="shared" si="1"/>
        <v>-24042.347184918588</v>
      </c>
      <c r="K37" s="5">
        <f t="shared" si="2"/>
        <v>-8.0141157283061953E-2</v>
      </c>
    </row>
    <row r="38" spans="1:11" x14ac:dyDescent="0.3">
      <c r="A38" s="3">
        <v>38687</v>
      </c>
      <c r="B38" s="59">
        <v>300000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300</v>
      </c>
      <c r="I38" s="192">
        <f t="shared" si="0"/>
        <v>277960.98723761382</v>
      </c>
      <c r="J38" s="36">
        <f t="shared" si="1"/>
        <v>-22039.012762386177</v>
      </c>
      <c r="K38" s="5">
        <f t="shared" si="2"/>
        <v>-7.3463375874620596E-2</v>
      </c>
    </row>
    <row r="39" spans="1:11" x14ac:dyDescent="0.3">
      <c r="A39" s="3">
        <v>38718</v>
      </c>
      <c r="B39" s="59">
        <v>300000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61">
        <v>300</v>
      </c>
      <c r="I39" s="192">
        <f t="shared" si="0"/>
        <v>278438.45653588232</v>
      </c>
      <c r="J39" s="36">
        <f t="shared" si="1"/>
        <v>-21561.543464117683</v>
      </c>
      <c r="K39" s="5">
        <f t="shared" si="2"/>
        <v>-7.1871811547058947E-2</v>
      </c>
    </row>
    <row r="40" spans="1:11" x14ac:dyDescent="0.3">
      <c r="A40" s="3">
        <v>38749</v>
      </c>
      <c r="B40" s="59">
        <v>300000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61">
        <v>300</v>
      </c>
      <c r="I40" s="192">
        <f t="shared" si="0"/>
        <v>279935.82874197949</v>
      </c>
      <c r="J40" s="36">
        <f t="shared" si="1"/>
        <v>-20064.171258020506</v>
      </c>
      <c r="K40" s="5">
        <f t="shared" si="2"/>
        <v>-6.688057086006835E-2</v>
      </c>
    </row>
    <row r="41" spans="1:11" x14ac:dyDescent="0.3">
      <c r="A41" s="3">
        <v>38777</v>
      </c>
      <c r="B41" s="59">
        <v>300000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61">
        <v>300</v>
      </c>
      <c r="I41" s="192">
        <f t="shared" si="0"/>
        <v>274580.96052668587</v>
      </c>
      <c r="J41" s="36">
        <f t="shared" si="1"/>
        <v>-25419.039473314129</v>
      </c>
      <c r="K41" s="5">
        <f t="shared" si="2"/>
        <v>-8.4730131577713766E-2</v>
      </c>
    </row>
    <row r="42" spans="1:11" x14ac:dyDescent="0.3">
      <c r="A42" s="3">
        <v>38808</v>
      </c>
      <c r="B42" s="59">
        <v>300000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61">
        <v>300</v>
      </c>
      <c r="I42" s="192">
        <f t="shared" si="0"/>
        <v>283623.94358476758</v>
      </c>
      <c r="J42" s="36">
        <f t="shared" si="1"/>
        <v>-16376.056415232422</v>
      </c>
      <c r="K42" s="5">
        <f t="shared" si="2"/>
        <v>-5.4586854717441409E-2</v>
      </c>
    </row>
    <row r="43" spans="1:11" x14ac:dyDescent="0.3">
      <c r="A43" s="3">
        <v>38838</v>
      </c>
      <c r="B43" s="59">
        <v>300000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61">
        <v>300</v>
      </c>
      <c r="I43" s="192">
        <f t="shared" si="0"/>
        <v>282944.3883457047</v>
      </c>
      <c r="J43" s="36">
        <f t="shared" si="1"/>
        <v>-17055.611654295295</v>
      </c>
      <c r="K43" s="5">
        <f t="shared" si="2"/>
        <v>-5.6852038847650985E-2</v>
      </c>
    </row>
    <row r="44" spans="1:11" x14ac:dyDescent="0.3">
      <c r="A44" s="3">
        <v>38869</v>
      </c>
      <c r="B44" s="60">
        <v>312888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61">
        <v>302</v>
      </c>
      <c r="I44" s="192">
        <f t="shared" si="0"/>
        <v>286659.30035558855</v>
      </c>
      <c r="J44" s="36">
        <f t="shared" si="1"/>
        <v>-26228.699644411448</v>
      </c>
      <c r="K44" s="5">
        <f t="shared" si="2"/>
        <v>-8.3827758317389769E-2</v>
      </c>
    </row>
    <row r="45" spans="1:11" x14ac:dyDescent="0.3">
      <c r="A45" s="3">
        <v>38899</v>
      </c>
      <c r="B45" s="60">
        <v>314422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61">
        <v>302</v>
      </c>
      <c r="I45" s="192">
        <f t="shared" si="0"/>
        <v>275441.3745842533</v>
      </c>
      <c r="J45" s="36">
        <f t="shared" si="1"/>
        <v>-38980.625415746705</v>
      </c>
      <c r="K45" s="5">
        <f t="shared" si="2"/>
        <v>-0.12397550240042587</v>
      </c>
    </row>
    <row r="46" spans="1:11" x14ac:dyDescent="0.3">
      <c r="A46" s="3">
        <v>38930</v>
      </c>
      <c r="B46" s="60">
        <v>315113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61">
        <v>302</v>
      </c>
      <c r="I46" s="192">
        <f t="shared" si="0"/>
        <v>277324.34457957896</v>
      </c>
      <c r="J46" s="36">
        <f t="shared" si="1"/>
        <v>-37788.655420421041</v>
      </c>
      <c r="K46" s="5">
        <f t="shared" si="2"/>
        <v>-0.1199209661944161</v>
      </c>
    </row>
    <row r="47" spans="1:11" x14ac:dyDescent="0.3">
      <c r="A47" s="3">
        <v>38961</v>
      </c>
      <c r="B47" s="60">
        <v>315057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61">
        <v>303</v>
      </c>
      <c r="I47" s="192">
        <f t="shared" si="0"/>
        <v>279274.6639564627</v>
      </c>
      <c r="J47" s="36">
        <f t="shared" si="1"/>
        <v>-35782.336043537303</v>
      </c>
      <c r="K47" s="5">
        <f t="shared" si="2"/>
        <v>-0.11357416608276376</v>
      </c>
    </row>
    <row r="48" spans="1:11" x14ac:dyDescent="0.3">
      <c r="A48" s="3">
        <v>38991</v>
      </c>
      <c r="B48" s="60">
        <v>316073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61">
        <v>302</v>
      </c>
      <c r="I48" s="192">
        <f t="shared" si="0"/>
        <v>276074.99594249815</v>
      </c>
      <c r="J48" s="36">
        <f t="shared" si="1"/>
        <v>-39998.00405750185</v>
      </c>
      <c r="K48" s="5">
        <f t="shared" si="2"/>
        <v>-0.12654672831118713</v>
      </c>
    </row>
    <row r="49" spans="1:11" x14ac:dyDescent="0.3">
      <c r="A49" s="3">
        <v>39022</v>
      </c>
      <c r="B49" s="60">
        <v>314584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61">
        <v>301</v>
      </c>
      <c r="I49" s="192">
        <f t="shared" si="0"/>
        <v>276136.19983855938</v>
      </c>
      <c r="J49" s="36">
        <f t="shared" si="1"/>
        <v>-38447.800161440624</v>
      </c>
      <c r="K49" s="5">
        <f t="shared" si="2"/>
        <v>-0.12221791369376898</v>
      </c>
    </row>
    <row r="50" spans="1:11" x14ac:dyDescent="0.3">
      <c r="A50" s="3">
        <v>39052</v>
      </c>
      <c r="B50" s="60">
        <v>317051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61">
        <v>301</v>
      </c>
      <c r="I50" s="192">
        <f t="shared" si="0"/>
        <v>278937.81224348035</v>
      </c>
      <c r="J50" s="36">
        <f t="shared" si="1"/>
        <v>-38113.187756519648</v>
      </c>
      <c r="K50" s="5">
        <f t="shared" si="2"/>
        <v>-0.12021153617720698</v>
      </c>
    </row>
    <row r="51" spans="1:11" x14ac:dyDescent="0.3">
      <c r="A51" s="3">
        <v>39083</v>
      </c>
      <c r="B51" s="60">
        <v>320674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61">
        <v>301</v>
      </c>
      <c r="I51" s="192">
        <f t="shared" si="0"/>
        <v>287396.26142628212</v>
      </c>
      <c r="J51" s="36">
        <f t="shared" si="1"/>
        <v>-33277.738573717885</v>
      </c>
      <c r="K51" s="5">
        <f t="shared" si="2"/>
        <v>-0.10377435830069755</v>
      </c>
    </row>
    <row r="52" spans="1:11" x14ac:dyDescent="0.3">
      <c r="A52" s="3">
        <v>39114</v>
      </c>
      <c r="B52" s="60">
        <v>316965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61">
        <v>301</v>
      </c>
      <c r="I52" s="192">
        <f t="shared" si="0"/>
        <v>288491.61485048378</v>
      </c>
      <c r="J52" s="36">
        <f t="shared" si="1"/>
        <v>-28473.385149516223</v>
      </c>
      <c r="K52" s="5">
        <f t="shared" si="2"/>
        <v>-8.9831322541972222E-2</v>
      </c>
    </row>
    <row r="53" spans="1:11" x14ac:dyDescent="0.3">
      <c r="A53" s="3">
        <v>39142</v>
      </c>
      <c r="B53" s="60">
        <v>316965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61">
        <v>301</v>
      </c>
      <c r="I53" s="192">
        <f t="shared" si="0"/>
        <v>283947.69569666422</v>
      </c>
      <c r="J53" s="36">
        <f t="shared" si="1"/>
        <v>-33017.304303335783</v>
      </c>
      <c r="K53" s="5">
        <f t="shared" si="2"/>
        <v>-0.10416703517213503</v>
      </c>
    </row>
    <row r="54" spans="1:11" x14ac:dyDescent="0.3">
      <c r="A54" s="3">
        <v>39173</v>
      </c>
      <c r="B54" s="60">
        <v>319741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61">
        <v>301</v>
      </c>
      <c r="I54" s="192">
        <f t="shared" si="0"/>
        <v>291107.65562399395</v>
      </c>
      <c r="J54" s="36">
        <f t="shared" si="1"/>
        <v>-28633.344376006047</v>
      </c>
      <c r="K54" s="5">
        <f t="shared" si="2"/>
        <v>-8.9551682067692442E-2</v>
      </c>
    </row>
    <row r="55" spans="1:11" x14ac:dyDescent="0.3">
      <c r="A55" s="3">
        <v>39203</v>
      </c>
      <c r="B55" s="60">
        <v>318949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61">
        <v>301</v>
      </c>
      <c r="I55" s="192">
        <f t="shared" si="0"/>
        <v>291372.04262095783</v>
      </c>
      <c r="J55" s="36">
        <f t="shared" si="1"/>
        <v>-27576.957379042171</v>
      </c>
      <c r="K55" s="5">
        <f t="shared" si="2"/>
        <v>-8.6461965326877249E-2</v>
      </c>
    </row>
    <row r="56" spans="1:11" x14ac:dyDescent="0.3">
      <c r="A56" s="3">
        <v>39234</v>
      </c>
      <c r="B56" s="60">
        <v>318657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61">
        <v>301</v>
      </c>
      <c r="I56" s="192">
        <f t="shared" si="0"/>
        <v>294241.79172857583</v>
      </c>
      <c r="J56" s="36">
        <f t="shared" si="1"/>
        <v>-24415.20827142417</v>
      </c>
      <c r="K56" s="5">
        <f t="shared" si="2"/>
        <v>-7.6619086577179127E-2</v>
      </c>
    </row>
    <row r="57" spans="1:11" x14ac:dyDescent="0.3">
      <c r="A57" s="3">
        <v>39264</v>
      </c>
      <c r="B57" s="60">
        <v>318657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61">
        <v>301</v>
      </c>
      <c r="I57" s="192">
        <f t="shared" si="0"/>
        <v>283932.32528545725</v>
      </c>
      <c r="J57" s="36">
        <f t="shared" si="1"/>
        <v>-34724.674714542751</v>
      </c>
      <c r="K57" s="5">
        <f t="shared" si="2"/>
        <v>-0.10897195013617385</v>
      </c>
    </row>
    <row r="58" spans="1:11" x14ac:dyDescent="0.3">
      <c r="A58" s="3">
        <v>39295</v>
      </c>
      <c r="B58" s="60">
        <v>318433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61">
        <v>301</v>
      </c>
      <c r="I58" s="192">
        <f t="shared" si="0"/>
        <v>280519.72222125728</v>
      </c>
      <c r="J58" s="36">
        <f t="shared" si="1"/>
        <v>-37913.277778742719</v>
      </c>
      <c r="K58" s="5">
        <f t="shared" si="2"/>
        <v>-0.11906202491181102</v>
      </c>
    </row>
    <row r="59" spans="1:11" x14ac:dyDescent="0.3">
      <c r="A59" s="3">
        <v>39326</v>
      </c>
      <c r="B59" s="60">
        <v>317622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61">
        <v>301</v>
      </c>
      <c r="I59" s="192">
        <f t="shared" si="0"/>
        <v>282647.49488659948</v>
      </c>
      <c r="J59" s="36">
        <f t="shared" si="1"/>
        <v>-34974.505113400519</v>
      </c>
      <c r="K59" s="5">
        <f t="shared" si="2"/>
        <v>-0.1101136102455136</v>
      </c>
    </row>
    <row r="60" spans="1:11" x14ac:dyDescent="0.3">
      <c r="A60" s="3">
        <v>39356</v>
      </c>
      <c r="B60" s="60">
        <v>317550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61">
        <v>301</v>
      </c>
      <c r="I60" s="192">
        <f t="shared" si="0"/>
        <v>287924.32666723011</v>
      </c>
      <c r="J60" s="36">
        <f t="shared" si="1"/>
        <v>-29625.673332769889</v>
      </c>
      <c r="K60" s="5">
        <f t="shared" si="2"/>
        <v>-9.3294515297653563E-2</v>
      </c>
    </row>
    <row r="61" spans="1:11" x14ac:dyDescent="0.3">
      <c r="A61" s="3">
        <v>39387</v>
      </c>
      <c r="B61" s="60">
        <v>317300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61">
        <v>301</v>
      </c>
      <c r="I61" s="192">
        <f t="shared" si="0"/>
        <v>287296.10866941034</v>
      </c>
      <c r="J61" s="36">
        <f t="shared" si="1"/>
        <v>-30003.891330589657</v>
      </c>
      <c r="K61" s="5">
        <f t="shared" si="2"/>
        <v>-9.4560010496658228E-2</v>
      </c>
    </row>
    <row r="62" spans="1:11" x14ac:dyDescent="0.3">
      <c r="A62" s="3">
        <v>39417</v>
      </c>
      <c r="B62" s="60">
        <v>317352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61">
        <v>301</v>
      </c>
      <c r="I62" s="192">
        <f t="shared" si="0"/>
        <v>290560.21546095324</v>
      </c>
      <c r="J62" s="36">
        <f t="shared" si="1"/>
        <v>-26791.784539046756</v>
      </c>
      <c r="K62" s="5">
        <f t="shared" si="2"/>
        <v>-8.4422926400485127E-2</v>
      </c>
    </row>
    <row r="63" spans="1:11" x14ac:dyDescent="0.3">
      <c r="A63" s="3">
        <v>39448</v>
      </c>
      <c r="B63" s="61">
        <v>315539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61">
        <v>301</v>
      </c>
      <c r="I63" s="192">
        <f t="shared" si="0"/>
        <v>280969.43257441709</v>
      </c>
      <c r="J63" s="36">
        <f t="shared" si="1"/>
        <v>-34569.567425582907</v>
      </c>
      <c r="K63" s="5">
        <f t="shared" si="2"/>
        <v>-0.10955719396202342</v>
      </c>
    </row>
    <row r="64" spans="1:11" x14ac:dyDescent="0.3">
      <c r="A64" s="3">
        <v>39479</v>
      </c>
      <c r="B64" s="61">
        <v>313200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61">
        <v>301</v>
      </c>
      <c r="I64" s="192">
        <f t="shared" si="0"/>
        <v>282825.47436869645</v>
      </c>
      <c r="J64" s="36">
        <f t="shared" si="1"/>
        <v>-30374.52563130355</v>
      </c>
      <c r="K64" s="5">
        <f t="shared" si="2"/>
        <v>-9.6981244033536237E-2</v>
      </c>
    </row>
    <row r="65" spans="1:17" x14ac:dyDescent="0.3">
      <c r="A65" s="3">
        <v>39508</v>
      </c>
      <c r="B65" s="61">
        <v>315180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61">
        <v>301</v>
      </c>
      <c r="I65" s="192">
        <f t="shared" si="0"/>
        <v>276988.68152320688</v>
      </c>
      <c r="J65" s="36">
        <f t="shared" si="1"/>
        <v>-38191.318476793123</v>
      </c>
      <c r="K65" s="5">
        <f t="shared" si="2"/>
        <v>-0.12117303914205572</v>
      </c>
    </row>
    <row r="66" spans="1:17" x14ac:dyDescent="0.3">
      <c r="A66" s="3">
        <v>39539</v>
      </c>
      <c r="B66" s="61">
        <v>315180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301</v>
      </c>
      <c r="I66" s="192">
        <f t="shared" si="0"/>
        <v>264758.93881856377</v>
      </c>
      <c r="J66" s="36">
        <f t="shared" si="1"/>
        <v>-50421.061181436235</v>
      </c>
      <c r="K66" s="5">
        <f t="shared" si="2"/>
        <v>-0.15997544635267541</v>
      </c>
    </row>
    <row r="67" spans="1:17" x14ac:dyDescent="0.3">
      <c r="A67" s="3">
        <v>39569</v>
      </c>
      <c r="B67" s="61">
        <v>288406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301</v>
      </c>
      <c r="I67" s="192">
        <f t="shared" si="0"/>
        <v>264125.80848923279</v>
      </c>
      <c r="J67" s="36">
        <f t="shared" si="1"/>
        <v>-24280.19151076721</v>
      </c>
      <c r="K67" s="5">
        <f t="shared" si="2"/>
        <v>-8.4187539478260548E-2</v>
      </c>
    </row>
    <row r="68" spans="1:17" x14ac:dyDescent="0.3">
      <c r="A68" s="3">
        <v>39600</v>
      </c>
      <c r="B68" s="61">
        <v>288406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301</v>
      </c>
      <c r="I68" s="192">
        <f t="shared" ref="I68:I131" si="3">$N$18+C68*$N$19+D68*$N$20+E68*$N$21+F68*$N$22+G68*$N$23</f>
        <v>267742.3162090538</v>
      </c>
      <c r="J68" s="36">
        <f t="shared" ref="J68:J131" si="4">I68-B68</f>
        <v>-20663.683790946205</v>
      </c>
      <c r="K68" s="5">
        <f t="shared" ref="K68:K131" si="5">J68/B68</f>
        <v>-7.1647898417322123E-2</v>
      </c>
    </row>
    <row r="69" spans="1:17" x14ac:dyDescent="0.3">
      <c r="A69" s="3">
        <v>39630</v>
      </c>
      <c r="B69" s="61">
        <v>287542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301</v>
      </c>
      <c r="I69" s="192">
        <f t="shared" si="3"/>
        <v>275267.63032670796</v>
      </c>
      <c r="J69" s="36">
        <f t="shared" si="4"/>
        <v>-12274.369673292036</v>
      </c>
      <c r="K69" s="5">
        <f t="shared" si="5"/>
        <v>-4.2687223686598955E-2</v>
      </c>
    </row>
    <row r="70" spans="1:17" x14ac:dyDescent="0.3">
      <c r="A70" s="3">
        <v>39661</v>
      </c>
      <c r="B70" s="61">
        <v>288406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301</v>
      </c>
      <c r="I70" s="192">
        <f t="shared" si="3"/>
        <v>277539.13934165932</v>
      </c>
      <c r="J70" s="36">
        <f t="shared" si="4"/>
        <v>-10866.86065834068</v>
      </c>
      <c r="K70" s="5">
        <f t="shared" si="5"/>
        <v>-3.7679038086380588E-2</v>
      </c>
    </row>
    <row r="71" spans="1:17" x14ac:dyDescent="0.3">
      <c r="A71" s="3">
        <v>39692</v>
      </c>
      <c r="B71" s="61">
        <v>244903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300</v>
      </c>
      <c r="I71" s="192">
        <f t="shared" si="3"/>
        <v>275022.70491361321</v>
      </c>
      <c r="J71" s="36">
        <f t="shared" si="4"/>
        <v>30119.704913613212</v>
      </c>
      <c r="K71" s="5">
        <f t="shared" si="5"/>
        <v>0.12298626359666158</v>
      </c>
    </row>
    <row r="72" spans="1:17" x14ac:dyDescent="0.3">
      <c r="A72" s="3">
        <v>39722</v>
      </c>
      <c r="B72" s="61">
        <v>243233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61">
        <v>300</v>
      </c>
      <c r="I72" s="192">
        <f t="shared" si="3"/>
        <v>252973.38711420519</v>
      </c>
      <c r="J72" s="36">
        <f t="shared" si="4"/>
        <v>9740.3871142051939</v>
      </c>
      <c r="K72" s="5">
        <f t="shared" si="5"/>
        <v>4.0045500052234666E-2</v>
      </c>
    </row>
    <row r="73" spans="1:17" x14ac:dyDescent="0.3">
      <c r="A73" s="3">
        <v>39753</v>
      </c>
      <c r="B73" s="61">
        <v>236648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61">
        <v>301</v>
      </c>
      <c r="I73" s="192">
        <f t="shared" si="3"/>
        <v>253191.25162441478</v>
      </c>
      <c r="J73" s="36">
        <f t="shared" si="4"/>
        <v>16543.251624414785</v>
      </c>
      <c r="K73" s="5">
        <f t="shared" si="5"/>
        <v>6.9906576959935365E-2</v>
      </c>
    </row>
    <row r="74" spans="1:17" x14ac:dyDescent="0.3">
      <c r="A74" s="3">
        <v>39783</v>
      </c>
      <c r="B74" s="61">
        <v>236230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61">
        <v>301</v>
      </c>
      <c r="I74" s="192">
        <f t="shared" si="3"/>
        <v>255957.73058278038</v>
      </c>
      <c r="J74" s="36">
        <f t="shared" si="4"/>
        <v>19727.730582780379</v>
      </c>
      <c r="K74" s="5">
        <f t="shared" si="5"/>
        <v>8.351069120255844E-2</v>
      </c>
    </row>
    <row r="75" spans="1:17" s="14" customFormat="1" x14ac:dyDescent="0.3">
      <c r="A75" s="3">
        <v>39814</v>
      </c>
      <c r="B75" s="61">
        <v>236230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61">
        <v>302</v>
      </c>
      <c r="I75" s="192">
        <f t="shared" si="3"/>
        <v>248772.58083047403</v>
      </c>
      <c r="J75" s="36">
        <f t="shared" si="4"/>
        <v>12542.580830474035</v>
      </c>
      <c r="K75" s="5">
        <f t="shared" si="5"/>
        <v>5.3094784026051028E-2</v>
      </c>
      <c r="L75" s="11"/>
      <c r="M75" s="11"/>
      <c r="N75" s="11"/>
      <c r="O75" s="11"/>
      <c r="P75" s="11"/>
      <c r="Q75" s="11"/>
    </row>
    <row r="76" spans="1:17" x14ac:dyDescent="0.3">
      <c r="A76" s="3">
        <v>39845</v>
      </c>
      <c r="B76" s="61">
        <v>236526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61">
        <v>302</v>
      </c>
      <c r="I76" s="192">
        <f t="shared" si="3"/>
        <v>251073.99060036227</v>
      </c>
      <c r="J76" s="36">
        <f t="shared" si="4"/>
        <v>14547.990600362275</v>
      </c>
      <c r="K76" s="5">
        <f t="shared" si="5"/>
        <v>6.1506940464736537E-2</v>
      </c>
    </row>
    <row r="77" spans="1:17" x14ac:dyDescent="0.3">
      <c r="A77" s="3">
        <v>39873</v>
      </c>
      <c r="B77" s="61">
        <v>236526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61">
        <v>302</v>
      </c>
      <c r="I77" s="192">
        <f t="shared" si="3"/>
        <v>246170.09760888564</v>
      </c>
      <c r="J77" s="36">
        <f t="shared" si="4"/>
        <v>9644.0976088856405</v>
      </c>
      <c r="K77" s="5">
        <f t="shared" si="5"/>
        <v>4.0773942859920857E-2</v>
      </c>
    </row>
    <row r="78" spans="1:17" x14ac:dyDescent="0.3">
      <c r="A78" s="3">
        <v>39904</v>
      </c>
      <c r="B78" s="61">
        <v>237710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61">
        <v>302</v>
      </c>
      <c r="I78" s="192">
        <f t="shared" si="3"/>
        <v>238462.27421602604</v>
      </c>
      <c r="J78" s="36">
        <f t="shared" si="4"/>
        <v>752.27421602603863</v>
      </c>
      <c r="K78" s="5">
        <f t="shared" si="5"/>
        <v>3.1646721468429543E-3</v>
      </c>
    </row>
    <row r="79" spans="1:17" x14ac:dyDescent="0.3">
      <c r="A79" s="3">
        <v>39934</v>
      </c>
      <c r="B79" s="61">
        <v>209493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61">
        <v>302</v>
      </c>
      <c r="I79" s="192">
        <f t="shared" si="3"/>
        <v>238693.65705521256</v>
      </c>
      <c r="J79" s="36">
        <f t="shared" si="4"/>
        <v>29200.657055212563</v>
      </c>
      <c r="K79" s="5">
        <f t="shared" si="5"/>
        <v>0.13938726857323425</v>
      </c>
    </row>
    <row r="80" spans="1:17" x14ac:dyDescent="0.3">
      <c r="A80" s="3">
        <v>39965</v>
      </c>
      <c r="B80" s="61">
        <v>238292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61">
        <v>302</v>
      </c>
      <c r="I80" s="192">
        <f t="shared" si="3"/>
        <v>241974.94667204894</v>
      </c>
      <c r="J80" s="36">
        <f t="shared" si="4"/>
        <v>3682.9466720489436</v>
      </c>
      <c r="K80" s="5">
        <f t="shared" si="5"/>
        <v>1.5455603511863359E-2</v>
      </c>
    </row>
    <row r="81" spans="1:17" x14ac:dyDescent="0.3">
      <c r="A81" s="3">
        <v>39995</v>
      </c>
      <c r="B81" s="61">
        <v>237932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61">
        <v>303</v>
      </c>
      <c r="I81" s="192">
        <f t="shared" si="3"/>
        <v>229006.44100376361</v>
      </c>
      <c r="J81" s="36">
        <f t="shared" si="4"/>
        <v>-8925.5589962363883</v>
      </c>
      <c r="K81" s="5">
        <f t="shared" si="5"/>
        <v>-3.7513066742751663E-2</v>
      </c>
    </row>
    <row r="82" spans="1:17" x14ac:dyDescent="0.3">
      <c r="A82" s="3">
        <v>40026</v>
      </c>
      <c r="B82" s="61">
        <v>237846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61">
        <v>303</v>
      </c>
      <c r="I82" s="192">
        <f t="shared" si="3"/>
        <v>225148.81274623328</v>
      </c>
      <c r="J82" s="36">
        <f t="shared" si="4"/>
        <v>-12697.187253766722</v>
      </c>
      <c r="K82" s="5">
        <f t="shared" si="5"/>
        <v>-5.3384068909154335E-2</v>
      </c>
    </row>
    <row r="83" spans="1:17" x14ac:dyDescent="0.3">
      <c r="A83" s="3">
        <v>40057</v>
      </c>
      <c r="B83" s="61">
        <v>238562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61">
        <v>303</v>
      </c>
      <c r="I83" s="192">
        <f t="shared" si="3"/>
        <v>226565.27208294935</v>
      </c>
      <c r="J83" s="36">
        <f t="shared" si="4"/>
        <v>-11996.727917050652</v>
      </c>
      <c r="K83" s="5">
        <f t="shared" si="5"/>
        <v>-5.0287673296881531E-2</v>
      </c>
    </row>
    <row r="84" spans="1:17" x14ac:dyDescent="0.3">
      <c r="A84" s="3">
        <v>40087</v>
      </c>
      <c r="B84" s="61">
        <v>238528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61">
        <v>304</v>
      </c>
      <c r="I84" s="192">
        <f t="shared" si="3"/>
        <v>216310.48399808299</v>
      </c>
      <c r="J84" s="36">
        <f t="shared" si="4"/>
        <v>-22217.516001917014</v>
      </c>
      <c r="K84" s="5">
        <f t="shared" si="5"/>
        <v>-9.3144268186196227E-2</v>
      </c>
    </row>
    <row r="85" spans="1:17" x14ac:dyDescent="0.3">
      <c r="A85" s="3">
        <v>40118</v>
      </c>
      <c r="B85" s="61">
        <v>238905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61">
        <v>304</v>
      </c>
      <c r="I85" s="192">
        <f t="shared" si="3"/>
        <v>216564.05791298818</v>
      </c>
      <c r="J85" s="36">
        <f t="shared" si="4"/>
        <v>-22340.942087011819</v>
      </c>
      <c r="K85" s="5">
        <f t="shared" si="5"/>
        <v>-9.3513915937346731E-2</v>
      </c>
    </row>
    <row r="86" spans="1:17" s="31" customFormat="1" x14ac:dyDescent="0.3">
      <c r="A86" s="3">
        <v>40148</v>
      </c>
      <c r="B86" s="61">
        <v>238905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61">
        <v>304</v>
      </c>
      <c r="I86" s="192">
        <f t="shared" si="3"/>
        <v>218399.7885167074</v>
      </c>
      <c r="J86" s="36">
        <f t="shared" si="4"/>
        <v>-20505.211483292602</v>
      </c>
      <c r="K86" s="5">
        <f t="shared" si="5"/>
        <v>-8.5829980466263167E-2</v>
      </c>
      <c r="L86" s="27"/>
      <c r="M86" s="27"/>
      <c r="N86" s="27"/>
      <c r="O86" s="27"/>
      <c r="P86" s="27"/>
      <c r="Q86" s="27"/>
    </row>
    <row r="87" spans="1:17" x14ac:dyDescent="0.3">
      <c r="A87" s="3">
        <v>40179</v>
      </c>
      <c r="B87" s="59">
        <v>238905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308</v>
      </c>
      <c r="I87" s="192">
        <f t="shared" si="3"/>
        <v>212508.24074740586</v>
      </c>
      <c r="J87" s="36">
        <f t="shared" si="4"/>
        <v>-26396.759252594144</v>
      </c>
      <c r="K87" s="5">
        <f t="shared" si="5"/>
        <v>-0.11049061029528115</v>
      </c>
    </row>
    <row r="88" spans="1:17" x14ac:dyDescent="0.3">
      <c r="A88" s="3">
        <v>40210</v>
      </c>
      <c r="B88" s="59">
        <v>252955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308</v>
      </c>
      <c r="I88" s="192">
        <f t="shared" si="3"/>
        <v>214965.73517330227</v>
      </c>
      <c r="J88" s="36">
        <f t="shared" si="4"/>
        <v>-37989.264826697734</v>
      </c>
      <c r="K88" s="5">
        <f t="shared" si="5"/>
        <v>-0.15018190914074731</v>
      </c>
    </row>
    <row r="89" spans="1:17" x14ac:dyDescent="0.3">
      <c r="A89" s="3">
        <v>40238</v>
      </c>
      <c r="B89" s="59">
        <v>240843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306</v>
      </c>
      <c r="I89" s="192">
        <f t="shared" si="3"/>
        <v>210175.30593545505</v>
      </c>
      <c r="J89" s="36">
        <f t="shared" si="4"/>
        <v>-30667.69406454495</v>
      </c>
      <c r="K89" s="5">
        <f t="shared" si="5"/>
        <v>-0.12733479513436119</v>
      </c>
    </row>
    <row r="90" spans="1:17" x14ac:dyDescent="0.3">
      <c r="A90" s="3">
        <v>40269</v>
      </c>
      <c r="B90" s="59">
        <v>232500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306</v>
      </c>
      <c r="I90" s="192">
        <f t="shared" si="3"/>
        <v>218968.32316066764</v>
      </c>
      <c r="J90" s="36">
        <f t="shared" si="4"/>
        <v>-13531.676839332358</v>
      </c>
      <c r="K90" s="5">
        <f t="shared" si="5"/>
        <v>-5.8200760599278957E-2</v>
      </c>
    </row>
    <row r="91" spans="1:17" x14ac:dyDescent="0.3">
      <c r="A91" s="3">
        <v>40299</v>
      </c>
      <c r="B91" s="59">
        <v>246046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306</v>
      </c>
      <c r="I91" s="192">
        <f t="shared" si="3"/>
        <v>217349.16922958128</v>
      </c>
      <c r="J91" s="36">
        <f t="shared" si="4"/>
        <v>-28696.830770418717</v>
      </c>
      <c r="K91" s="5">
        <f t="shared" si="5"/>
        <v>-0.11663197438860505</v>
      </c>
    </row>
    <row r="92" spans="1:17" x14ac:dyDescent="0.3">
      <c r="A92" s="3">
        <v>40330</v>
      </c>
      <c r="B92" s="59">
        <v>232443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306</v>
      </c>
      <c r="I92" s="192">
        <f t="shared" si="3"/>
        <v>220789.34920656512</v>
      </c>
      <c r="J92" s="36">
        <f t="shared" si="4"/>
        <v>-11653.650793434877</v>
      </c>
      <c r="K92" s="5">
        <f t="shared" si="5"/>
        <v>-5.0135520507973472E-2</v>
      </c>
    </row>
    <row r="93" spans="1:17" x14ac:dyDescent="0.3">
      <c r="A93" s="3">
        <v>40360</v>
      </c>
      <c r="B93" s="59">
        <v>232567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61">
        <v>306</v>
      </c>
      <c r="I93" s="192">
        <f t="shared" si="3"/>
        <v>210904.63926708576</v>
      </c>
      <c r="J93" s="36">
        <f t="shared" si="4"/>
        <v>-21662.36073291424</v>
      </c>
      <c r="K93" s="5">
        <f t="shared" si="5"/>
        <v>-9.3144602342181998E-2</v>
      </c>
    </row>
    <row r="94" spans="1:17" x14ac:dyDescent="0.3">
      <c r="A94" s="3">
        <v>40391</v>
      </c>
      <c r="B94" s="59">
        <v>231873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61">
        <v>306</v>
      </c>
      <c r="I94" s="192">
        <f t="shared" si="3"/>
        <v>212931.45606429299</v>
      </c>
      <c r="J94" s="36">
        <f t="shared" si="4"/>
        <v>-18941.543935707014</v>
      </c>
      <c r="K94" s="5">
        <f t="shared" si="5"/>
        <v>-8.1689303781410566E-2</v>
      </c>
    </row>
    <row r="95" spans="1:17" x14ac:dyDescent="0.3">
      <c r="A95" s="3">
        <v>40422</v>
      </c>
      <c r="B95" s="59">
        <v>231868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61">
        <v>306</v>
      </c>
      <c r="I95" s="192">
        <f t="shared" si="3"/>
        <v>214886.40947695795</v>
      </c>
      <c r="J95" s="36">
        <f t="shared" si="4"/>
        <v>-16981.590523042047</v>
      </c>
      <c r="K95" s="5">
        <f t="shared" si="5"/>
        <v>-7.3238180874644399E-2</v>
      </c>
    </row>
    <row r="96" spans="1:17" x14ac:dyDescent="0.3">
      <c r="A96" s="3">
        <v>40452</v>
      </c>
      <c r="B96" s="59">
        <v>230332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307</v>
      </c>
      <c r="I96" s="192">
        <f t="shared" si="3"/>
        <v>229202.51492693994</v>
      </c>
      <c r="J96" s="36">
        <f t="shared" si="4"/>
        <v>-1129.4850730600592</v>
      </c>
      <c r="K96" s="5">
        <f t="shared" si="5"/>
        <v>-4.9037262432491324E-3</v>
      </c>
    </row>
    <row r="97" spans="1:11" x14ac:dyDescent="0.3">
      <c r="A97" s="3">
        <v>40483</v>
      </c>
      <c r="B97" s="59">
        <v>230599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309</v>
      </c>
      <c r="I97" s="192">
        <f t="shared" si="3"/>
        <v>228984.37912497917</v>
      </c>
      <c r="J97" s="36">
        <f t="shared" si="4"/>
        <v>-1614.6208750208316</v>
      </c>
      <c r="K97" s="5">
        <f t="shared" si="5"/>
        <v>-7.0018554938262164E-3</v>
      </c>
    </row>
    <row r="98" spans="1:11" x14ac:dyDescent="0.3">
      <c r="A98" s="3">
        <v>40513</v>
      </c>
      <c r="B98" s="59">
        <v>230570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309</v>
      </c>
      <c r="I98" s="192">
        <f t="shared" si="3"/>
        <v>231005.56824985938</v>
      </c>
      <c r="J98" s="36">
        <f t="shared" si="4"/>
        <v>435.56824985938147</v>
      </c>
      <c r="K98" s="5">
        <f t="shared" si="5"/>
        <v>1.8890933333017368E-3</v>
      </c>
    </row>
    <row r="99" spans="1:11" x14ac:dyDescent="0.3">
      <c r="A99" s="3">
        <v>40544</v>
      </c>
      <c r="B99" s="105">
        <v>231111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61">
        <v>309</v>
      </c>
      <c r="I99" s="192">
        <f t="shared" si="3"/>
        <v>239287.77424174425</v>
      </c>
      <c r="J99" s="36">
        <f t="shared" si="4"/>
        <v>8176.7742417442496</v>
      </c>
      <c r="K99" s="5">
        <f t="shared" si="5"/>
        <v>3.5380290171148278E-2</v>
      </c>
    </row>
    <row r="100" spans="1:11" x14ac:dyDescent="0.3">
      <c r="A100" s="3">
        <v>40575</v>
      </c>
      <c r="B100" s="105">
        <v>231111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61">
        <v>309</v>
      </c>
      <c r="I100" s="192">
        <f t="shared" si="3"/>
        <v>241806.32023050726</v>
      </c>
      <c r="J100" s="36">
        <f t="shared" si="4"/>
        <v>10695.320230507263</v>
      </c>
      <c r="K100" s="5">
        <f t="shared" si="5"/>
        <v>4.6277850169430548E-2</v>
      </c>
    </row>
    <row r="101" spans="1:11" x14ac:dyDescent="0.3">
      <c r="A101" s="3">
        <v>40603</v>
      </c>
      <c r="B101" s="105">
        <v>231111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61">
        <v>310</v>
      </c>
      <c r="I101" s="192">
        <f t="shared" si="3"/>
        <v>236449.14818265263</v>
      </c>
      <c r="J101" s="36">
        <f t="shared" si="4"/>
        <v>5338.1481826526287</v>
      </c>
      <c r="K101" s="5">
        <f t="shared" si="5"/>
        <v>2.3097767664250635E-2</v>
      </c>
    </row>
    <row r="102" spans="1:11" x14ac:dyDescent="0.3">
      <c r="A102" s="3">
        <v>40634</v>
      </c>
      <c r="B102" s="105">
        <v>231060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61">
        <v>310</v>
      </c>
      <c r="I102" s="192">
        <f t="shared" si="3"/>
        <v>232822.99611215465</v>
      </c>
      <c r="J102" s="36">
        <f t="shared" si="4"/>
        <v>1762.9961121546512</v>
      </c>
      <c r="K102" s="5">
        <f t="shared" si="5"/>
        <v>7.6300359740095695E-3</v>
      </c>
    </row>
    <row r="103" spans="1:11" x14ac:dyDescent="0.3">
      <c r="A103" s="3">
        <v>40664</v>
      </c>
      <c r="B103" s="105">
        <v>231231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61">
        <v>310</v>
      </c>
      <c r="I103" s="192">
        <f t="shared" si="3"/>
        <v>233130.43723645623</v>
      </c>
      <c r="J103" s="36">
        <f t="shared" si="4"/>
        <v>1899.4372364562296</v>
      </c>
      <c r="K103" s="5">
        <f t="shared" si="5"/>
        <v>8.2144575617293086E-3</v>
      </c>
    </row>
    <row r="104" spans="1:11" x14ac:dyDescent="0.3">
      <c r="A104" s="3">
        <v>40695</v>
      </c>
      <c r="B104" s="105">
        <v>231231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61">
        <v>297</v>
      </c>
      <c r="I104" s="192">
        <f t="shared" si="3"/>
        <v>235939.28295433137</v>
      </c>
      <c r="J104" s="36">
        <f t="shared" si="4"/>
        <v>4708.282954331371</v>
      </c>
      <c r="K104" s="5">
        <f t="shared" si="5"/>
        <v>2.0361815476001795E-2</v>
      </c>
    </row>
    <row r="105" spans="1:11" x14ac:dyDescent="0.3">
      <c r="A105" s="3">
        <v>40725</v>
      </c>
      <c r="B105" s="105">
        <v>231231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61">
        <v>296</v>
      </c>
      <c r="I105" s="192">
        <f t="shared" si="3"/>
        <v>260287.36180771061</v>
      </c>
      <c r="J105" s="36">
        <f t="shared" si="4"/>
        <v>29056.361807710608</v>
      </c>
      <c r="K105" s="5">
        <f t="shared" si="5"/>
        <v>0.12565945659410116</v>
      </c>
    </row>
    <row r="106" spans="1:11" x14ac:dyDescent="0.3">
      <c r="A106" s="3">
        <v>40756</v>
      </c>
      <c r="B106" s="105">
        <v>229875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61">
        <v>296</v>
      </c>
      <c r="I106" s="192">
        <f t="shared" si="3"/>
        <v>264786.42744975555</v>
      </c>
      <c r="J106" s="36">
        <f t="shared" si="4"/>
        <v>34911.427449755545</v>
      </c>
      <c r="K106" s="5">
        <f t="shared" si="5"/>
        <v>0.15187135377816441</v>
      </c>
    </row>
    <row r="107" spans="1:11" x14ac:dyDescent="0.3">
      <c r="A107" s="3">
        <v>40787</v>
      </c>
      <c r="B107" s="105">
        <v>229977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61">
        <v>295</v>
      </c>
      <c r="I107" s="192">
        <f t="shared" si="3"/>
        <v>264542.82305678161</v>
      </c>
      <c r="J107" s="36">
        <f t="shared" si="4"/>
        <v>34565.823056781606</v>
      </c>
      <c r="K107" s="5">
        <f t="shared" si="5"/>
        <v>0.1503012173251308</v>
      </c>
    </row>
    <row r="108" spans="1:11" x14ac:dyDescent="0.3">
      <c r="A108" s="3">
        <v>40817</v>
      </c>
      <c r="B108" s="105">
        <v>229977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295</v>
      </c>
      <c r="I108" s="192">
        <f t="shared" si="3"/>
        <v>263697.87159102596</v>
      </c>
      <c r="J108" s="36">
        <f t="shared" si="4"/>
        <v>33720.871591025963</v>
      </c>
      <c r="K108" s="5">
        <f t="shared" si="5"/>
        <v>0.14662714789316306</v>
      </c>
    </row>
    <row r="109" spans="1:11" x14ac:dyDescent="0.3">
      <c r="A109" s="3">
        <v>40848</v>
      </c>
      <c r="B109" s="105">
        <v>231136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295</v>
      </c>
      <c r="I109" s="192">
        <f t="shared" si="3"/>
        <v>263577.64867290802</v>
      </c>
      <c r="J109" s="36">
        <f t="shared" si="4"/>
        <v>32441.648672908021</v>
      </c>
      <c r="K109" s="5">
        <f t="shared" si="5"/>
        <v>0.14035740288361839</v>
      </c>
    </row>
    <row r="110" spans="1:11" x14ac:dyDescent="0.3">
      <c r="A110" s="3">
        <v>40878</v>
      </c>
      <c r="B110" s="105">
        <v>229977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296</v>
      </c>
      <c r="I110" s="192">
        <f t="shared" si="3"/>
        <v>265932.89351913403</v>
      </c>
      <c r="J110" s="36">
        <f t="shared" si="4"/>
        <v>35955.893519134028</v>
      </c>
      <c r="K110" s="5">
        <f t="shared" si="5"/>
        <v>0.15634560638296016</v>
      </c>
    </row>
    <row r="111" spans="1:11" x14ac:dyDescent="0.3">
      <c r="A111" s="3">
        <v>40909</v>
      </c>
      <c r="B111" s="105">
        <v>230082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61">
        <v>297</v>
      </c>
      <c r="I111" s="192">
        <f t="shared" si="3"/>
        <v>256429.65626991616</v>
      </c>
      <c r="J111" s="36">
        <f t="shared" si="4"/>
        <v>26347.656269916159</v>
      </c>
      <c r="K111" s="5">
        <f t="shared" si="5"/>
        <v>0.1145142004586024</v>
      </c>
    </row>
    <row r="112" spans="1:11" x14ac:dyDescent="0.3">
      <c r="A112" s="3">
        <v>40940</v>
      </c>
      <c r="B112" s="105">
        <v>230313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61">
        <v>297</v>
      </c>
      <c r="I112" s="192">
        <f t="shared" si="3"/>
        <v>258053.01097553386</v>
      </c>
      <c r="J112" s="36">
        <f t="shared" si="4"/>
        <v>27740.010975533864</v>
      </c>
      <c r="K112" s="5">
        <f t="shared" si="5"/>
        <v>0.12044483366346607</v>
      </c>
    </row>
    <row r="113" spans="1:11" x14ac:dyDescent="0.3">
      <c r="A113" s="3">
        <v>40969</v>
      </c>
      <c r="B113" s="105">
        <v>230313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61">
        <v>297</v>
      </c>
      <c r="I113" s="192">
        <f t="shared" si="3"/>
        <v>253651.50581555101</v>
      </c>
      <c r="J113" s="36">
        <f t="shared" si="4"/>
        <v>23338.505815551005</v>
      </c>
      <c r="K113" s="5">
        <f t="shared" si="5"/>
        <v>0.10133386224638212</v>
      </c>
    </row>
    <row r="114" spans="1:11" x14ac:dyDescent="0.3">
      <c r="A114" s="3">
        <v>41000</v>
      </c>
      <c r="B114" s="105">
        <v>229486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297</v>
      </c>
      <c r="I114" s="192">
        <f t="shared" si="3"/>
        <v>245564.12600826574</v>
      </c>
      <c r="J114" s="36">
        <f t="shared" si="4"/>
        <v>16078.126008265739</v>
      </c>
      <c r="K114" s="5">
        <f t="shared" si="5"/>
        <v>7.0061467837975913E-2</v>
      </c>
    </row>
    <row r="115" spans="1:11" x14ac:dyDescent="0.3">
      <c r="A115" s="3">
        <v>41030</v>
      </c>
      <c r="B115" s="105">
        <v>229819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297</v>
      </c>
      <c r="I115" s="192">
        <f t="shared" si="3"/>
        <v>244655.68851694875</v>
      </c>
      <c r="J115" s="36">
        <f t="shared" si="4"/>
        <v>14836.68851694875</v>
      </c>
      <c r="K115" s="5">
        <f t="shared" si="5"/>
        <v>6.4558145831931868E-2</v>
      </c>
    </row>
    <row r="116" spans="1:11" x14ac:dyDescent="0.3">
      <c r="A116" s="3">
        <v>41061</v>
      </c>
      <c r="B116" s="105">
        <v>207283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297</v>
      </c>
      <c r="I116" s="192">
        <f t="shared" si="3"/>
        <v>246551.73601433093</v>
      </c>
      <c r="J116" s="36">
        <f t="shared" si="4"/>
        <v>39268.736014330934</v>
      </c>
      <c r="K116" s="5">
        <f t="shared" si="5"/>
        <v>0.18944503897729642</v>
      </c>
    </row>
    <row r="117" spans="1:11" x14ac:dyDescent="0.3">
      <c r="A117" s="3">
        <v>41091</v>
      </c>
      <c r="B117" s="105">
        <v>252595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61">
        <v>297</v>
      </c>
      <c r="I117" s="192">
        <f t="shared" si="3"/>
        <v>230299.15087273074</v>
      </c>
      <c r="J117" s="36">
        <f t="shared" si="4"/>
        <v>-22295.849127269263</v>
      </c>
      <c r="K117" s="5">
        <f t="shared" si="5"/>
        <v>-8.8267183148000805E-2</v>
      </c>
    </row>
    <row r="118" spans="1:11" x14ac:dyDescent="0.3">
      <c r="A118" s="3">
        <v>41122</v>
      </c>
      <c r="B118" s="105">
        <v>230561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61">
        <v>296</v>
      </c>
      <c r="I118" s="192">
        <f t="shared" si="3"/>
        <v>234182.52814273213</v>
      </c>
      <c r="J118" s="36">
        <f t="shared" si="4"/>
        <v>3621.5281427321315</v>
      </c>
      <c r="K118" s="5">
        <f t="shared" si="5"/>
        <v>1.5707461985037068E-2</v>
      </c>
    </row>
    <row r="119" spans="1:11" x14ac:dyDescent="0.3">
      <c r="A119" s="3">
        <v>41153</v>
      </c>
      <c r="B119" s="105">
        <v>229887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61">
        <v>296</v>
      </c>
      <c r="I119" s="192">
        <f t="shared" si="3"/>
        <v>236160.47760504711</v>
      </c>
      <c r="J119" s="36">
        <f t="shared" si="4"/>
        <v>6273.4776050471119</v>
      </c>
      <c r="K119" s="5">
        <f t="shared" si="5"/>
        <v>2.7289396986550401E-2</v>
      </c>
    </row>
    <row r="120" spans="1:11" x14ac:dyDescent="0.3">
      <c r="A120" s="3">
        <v>41183</v>
      </c>
      <c r="B120" s="105">
        <v>229885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61">
        <v>296</v>
      </c>
      <c r="I120" s="192">
        <f t="shared" si="3"/>
        <v>231119.51958796667</v>
      </c>
      <c r="J120" s="36">
        <f t="shared" si="4"/>
        <v>1234.5195879666717</v>
      </c>
      <c r="K120" s="5">
        <f t="shared" si="5"/>
        <v>5.3701615501954092E-3</v>
      </c>
    </row>
    <row r="121" spans="1:11" x14ac:dyDescent="0.3">
      <c r="A121" s="3">
        <v>41214</v>
      </c>
      <c r="B121" s="105">
        <v>209602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61">
        <v>296</v>
      </c>
      <c r="I121" s="192">
        <f t="shared" si="3"/>
        <v>230570.20785536134</v>
      </c>
      <c r="J121" s="36">
        <f t="shared" si="4"/>
        <v>20968.207855361339</v>
      </c>
      <c r="K121" s="5">
        <f t="shared" si="5"/>
        <v>0.10003820505224825</v>
      </c>
    </row>
    <row r="122" spans="1:11" x14ac:dyDescent="0.3">
      <c r="A122" s="3">
        <v>41244</v>
      </c>
      <c r="B122" s="105">
        <v>235875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61">
        <v>295</v>
      </c>
      <c r="I122" s="192">
        <f t="shared" si="3"/>
        <v>233837.19443760542</v>
      </c>
      <c r="J122" s="36">
        <f t="shared" si="4"/>
        <v>-2037.8055623945838</v>
      </c>
      <c r="K122" s="5">
        <f t="shared" si="5"/>
        <v>-8.6393452565748114E-3</v>
      </c>
    </row>
    <row r="123" spans="1:11" x14ac:dyDescent="0.3">
      <c r="A123" s="3">
        <v>41275</v>
      </c>
      <c r="B123" s="105">
        <v>228723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61">
        <v>295</v>
      </c>
      <c r="I123" s="192">
        <f t="shared" si="3"/>
        <v>240125.79333581007</v>
      </c>
      <c r="J123" s="36">
        <f t="shared" si="4"/>
        <v>11402.793335810071</v>
      </c>
      <c r="K123" s="5">
        <f t="shared" si="5"/>
        <v>4.9854161303454707E-2</v>
      </c>
    </row>
    <row r="124" spans="1:11" x14ac:dyDescent="0.3">
      <c r="A124" s="3">
        <v>41306</v>
      </c>
      <c r="B124" s="105">
        <v>229299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61">
        <v>295</v>
      </c>
      <c r="I124" s="192">
        <f t="shared" si="3"/>
        <v>241937.06272834438</v>
      </c>
      <c r="J124" s="36">
        <f t="shared" si="4"/>
        <v>12638.062728344376</v>
      </c>
      <c r="K124" s="5">
        <f t="shared" si="5"/>
        <v>5.5116083054633364E-2</v>
      </c>
    </row>
    <row r="125" spans="1:11" x14ac:dyDescent="0.3">
      <c r="A125" s="3">
        <v>41334</v>
      </c>
      <c r="B125" s="105">
        <v>228445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61">
        <v>295</v>
      </c>
      <c r="I125" s="192">
        <f t="shared" si="3"/>
        <v>236534.38998740984</v>
      </c>
      <c r="J125" s="36">
        <f t="shared" si="4"/>
        <v>8089.3899874098424</v>
      </c>
      <c r="K125" s="5">
        <f t="shared" si="5"/>
        <v>3.5410667720500964E-2</v>
      </c>
    </row>
    <row r="126" spans="1:11" x14ac:dyDescent="0.3">
      <c r="A126" s="3">
        <v>41365</v>
      </c>
      <c r="B126" s="105">
        <v>239530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61">
        <v>295</v>
      </c>
      <c r="I126" s="192">
        <f t="shared" si="3"/>
        <v>263480.8877053457</v>
      </c>
      <c r="J126" s="36">
        <f t="shared" si="4"/>
        <v>23950.887705345696</v>
      </c>
      <c r="K126" s="5">
        <f t="shared" si="5"/>
        <v>9.9991181502716561E-2</v>
      </c>
    </row>
    <row r="127" spans="1:11" x14ac:dyDescent="0.3">
      <c r="A127" s="3">
        <v>41395</v>
      </c>
      <c r="B127" s="105">
        <v>228536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61">
        <v>295</v>
      </c>
      <c r="I127" s="192">
        <f t="shared" si="3"/>
        <v>264003.82172602159</v>
      </c>
      <c r="J127" s="36">
        <f t="shared" si="4"/>
        <v>35467.82172602159</v>
      </c>
      <c r="K127" s="5">
        <f t="shared" si="5"/>
        <v>0.15519577539653093</v>
      </c>
    </row>
    <row r="128" spans="1:11" x14ac:dyDescent="0.3">
      <c r="A128" s="3">
        <v>41426</v>
      </c>
      <c r="B128" s="105">
        <v>228542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61">
        <v>295</v>
      </c>
      <c r="I128" s="192">
        <f t="shared" si="3"/>
        <v>266944.21821039094</v>
      </c>
      <c r="J128" s="36">
        <f t="shared" si="4"/>
        <v>38402.218210390944</v>
      </c>
      <c r="K128" s="5">
        <f t="shared" si="5"/>
        <v>0.16803133870531869</v>
      </c>
    </row>
    <row r="129" spans="1:11" x14ac:dyDescent="0.3">
      <c r="A129" s="3">
        <v>41456</v>
      </c>
      <c r="B129" s="105">
        <v>228399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61">
        <v>295</v>
      </c>
      <c r="I129" s="192">
        <f t="shared" si="3"/>
        <v>282482.03752038791</v>
      </c>
      <c r="J129" s="36">
        <f t="shared" si="4"/>
        <v>54083.037520387908</v>
      </c>
      <c r="K129" s="5">
        <f t="shared" si="5"/>
        <v>0.23679191905563468</v>
      </c>
    </row>
    <row r="130" spans="1:11" x14ac:dyDescent="0.3">
      <c r="A130" s="3">
        <v>41487</v>
      </c>
      <c r="B130" s="105">
        <v>228399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61">
        <v>295</v>
      </c>
      <c r="I130" s="192">
        <f t="shared" si="3"/>
        <v>286322.96299185103</v>
      </c>
      <c r="J130" s="36">
        <f t="shared" si="4"/>
        <v>57923.962991851033</v>
      </c>
      <c r="K130" s="5">
        <f t="shared" si="5"/>
        <v>0.25360865411779837</v>
      </c>
    </row>
    <row r="131" spans="1:11" x14ac:dyDescent="0.3">
      <c r="A131" s="3">
        <v>41518</v>
      </c>
      <c r="B131" s="105">
        <v>228559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61">
        <v>296</v>
      </c>
      <c r="I131" s="192">
        <f t="shared" si="3"/>
        <v>285571.19985527766</v>
      </c>
      <c r="J131" s="36">
        <f t="shared" si="4"/>
        <v>57012.199855277664</v>
      </c>
      <c r="K131" s="5">
        <f t="shared" si="5"/>
        <v>0.24944193777220613</v>
      </c>
    </row>
    <row r="132" spans="1:11" x14ac:dyDescent="0.3">
      <c r="A132" s="3">
        <v>41548</v>
      </c>
      <c r="B132" s="105">
        <v>228026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61">
        <v>296</v>
      </c>
      <c r="I132" s="192">
        <f t="shared" ref="I132:I195" si="6">$N$18+C132*$N$19+D132*$N$20+E132*$N$21+F132*$N$22+G132*$N$23</f>
        <v>259881.83333384237</v>
      </c>
      <c r="J132" s="36">
        <f t="shared" ref="J132:J133" si="7">I132-B132</f>
        <v>31855.833333842369</v>
      </c>
      <c r="K132" s="5">
        <f t="shared" ref="K132:K133" si="8">J132/B132</f>
        <v>0.13970263625131507</v>
      </c>
    </row>
    <row r="133" spans="1:11" x14ac:dyDescent="0.3">
      <c r="A133" s="3">
        <v>41579</v>
      </c>
      <c r="B133" s="105">
        <v>227979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61">
        <v>295</v>
      </c>
      <c r="I133" s="192">
        <f t="shared" si="6"/>
        <v>259332.98119685528</v>
      </c>
      <c r="J133" s="36">
        <f t="shared" si="7"/>
        <v>31353.981196855282</v>
      </c>
      <c r="K133" s="5">
        <f t="shared" si="8"/>
        <v>0.13753012863840652</v>
      </c>
    </row>
    <row r="134" spans="1:11" x14ac:dyDescent="0.3">
      <c r="A134" s="3">
        <v>41609</v>
      </c>
      <c r="B134" s="105">
        <v>227979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61">
        <v>295</v>
      </c>
      <c r="I134" s="192">
        <f t="shared" ca="1" si="6"/>
        <v>262651.8040117221</v>
      </c>
      <c r="J134" s="36">
        <f t="shared" ref="J134" ca="1" si="9">I134-B134</f>
        <v>34672.804011722095</v>
      </c>
      <c r="K134" s="5">
        <f t="shared" ref="K134" ca="1" si="10">J134/B134</f>
        <v>0.15208770988434064</v>
      </c>
    </row>
    <row r="135" spans="1:11" x14ac:dyDescent="0.3">
      <c r="A135" s="3">
        <v>41640</v>
      </c>
      <c r="B135" s="6">
        <v>227979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1">
        <v>295</v>
      </c>
      <c r="I135" s="192">
        <f t="shared" si="6"/>
        <v>259123.84443241206</v>
      </c>
      <c r="J135" s="36"/>
      <c r="K135" s="5"/>
    </row>
    <row r="136" spans="1:11" x14ac:dyDescent="0.3">
      <c r="A136" s="3">
        <v>41671</v>
      </c>
      <c r="B136" s="6">
        <v>227979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1">
        <v>295</v>
      </c>
      <c r="I136" s="192">
        <f t="shared" si="6"/>
        <v>261376.00978130879</v>
      </c>
      <c r="J136" s="36"/>
      <c r="K136" s="5"/>
    </row>
    <row r="137" spans="1:11" x14ac:dyDescent="0.3">
      <c r="A137" s="3">
        <v>41699</v>
      </c>
      <c r="B137" s="6">
        <v>228084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1">
        <v>295</v>
      </c>
      <c r="I137" s="192">
        <f t="shared" si="6"/>
        <v>255664.62347719949</v>
      </c>
      <c r="J137" s="36"/>
      <c r="K137" s="5"/>
    </row>
    <row r="138" spans="1:11" x14ac:dyDescent="0.3">
      <c r="A138" s="3">
        <v>41730</v>
      </c>
      <c r="B138" s="6">
        <v>228063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1">
        <v>295</v>
      </c>
      <c r="I138" s="192">
        <f t="shared" si="6"/>
        <v>276114.31342922978</v>
      </c>
      <c r="J138" s="36"/>
      <c r="K138" s="5"/>
    </row>
    <row r="139" spans="1:11" x14ac:dyDescent="0.3">
      <c r="A139" s="3">
        <v>41760</v>
      </c>
      <c r="B139" s="6">
        <v>228049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1">
        <v>294</v>
      </c>
      <c r="I139" s="192">
        <f t="shared" si="6"/>
        <v>276635.37684230367</v>
      </c>
      <c r="J139" s="36"/>
      <c r="K139" s="5"/>
    </row>
    <row r="140" spans="1:11" x14ac:dyDescent="0.3">
      <c r="A140" s="3">
        <v>41791</v>
      </c>
      <c r="B140" s="6">
        <v>227711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1">
        <v>294</v>
      </c>
      <c r="I140" s="192">
        <f t="shared" si="6"/>
        <v>279109.27401825564</v>
      </c>
      <c r="J140" s="36"/>
      <c r="K140" s="5"/>
    </row>
    <row r="141" spans="1:11" x14ac:dyDescent="0.3">
      <c r="A141" s="3">
        <v>41821</v>
      </c>
      <c r="B141" s="6">
        <v>227593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1">
        <v>295</v>
      </c>
      <c r="I141" s="192">
        <f t="shared" si="6"/>
        <v>261254.57391206746</v>
      </c>
      <c r="J141" s="36"/>
      <c r="K141" s="5"/>
    </row>
    <row r="142" spans="1:11" x14ac:dyDescent="0.3">
      <c r="A142" s="3">
        <v>41852</v>
      </c>
      <c r="B142" s="6">
        <v>227669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1">
        <v>295</v>
      </c>
      <c r="I142" s="192">
        <f t="shared" si="6"/>
        <v>260983.58309437137</v>
      </c>
      <c r="J142" s="36"/>
      <c r="K142" s="5"/>
    </row>
    <row r="143" spans="1:11" x14ac:dyDescent="0.3">
      <c r="A143" s="3">
        <v>41883</v>
      </c>
      <c r="B143" s="6">
        <v>226353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1">
        <v>295</v>
      </c>
      <c r="I143" s="192">
        <f t="shared" si="6"/>
        <v>259853.3681582771</v>
      </c>
      <c r="J143" s="36"/>
      <c r="K143" s="5"/>
    </row>
    <row r="144" spans="1:11" x14ac:dyDescent="0.3">
      <c r="A144" s="3">
        <v>41913</v>
      </c>
      <c r="B144" s="6">
        <v>226216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1">
        <v>295</v>
      </c>
      <c r="I144" s="192">
        <f t="shared" si="6"/>
        <v>272756.10457762994</v>
      </c>
      <c r="J144" s="36"/>
      <c r="K144" s="5"/>
    </row>
    <row r="145" spans="1:11" x14ac:dyDescent="0.3">
      <c r="A145" s="3">
        <v>41944</v>
      </c>
      <c r="B145" s="6">
        <v>226299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1">
        <v>295</v>
      </c>
      <c r="I145" s="192">
        <f t="shared" si="6"/>
        <v>272289.51943742041</v>
      </c>
      <c r="J145" s="36"/>
      <c r="K145" s="5"/>
    </row>
    <row r="146" spans="1:11" x14ac:dyDescent="0.3">
      <c r="A146" s="3">
        <v>41974</v>
      </c>
      <c r="B146" s="6">
        <v>209224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1">
        <v>296</v>
      </c>
      <c r="I146" s="192">
        <f t="shared" si="6"/>
        <v>274857.86879553954</v>
      </c>
      <c r="J146" s="36"/>
      <c r="K146" s="5"/>
    </row>
    <row r="147" spans="1:11" x14ac:dyDescent="0.3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1"/>
      <c r="I147" s="192">
        <f t="shared" ca="1" si="6"/>
        <v>263352.05501143984</v>
      </c>
      <c r="J147" s="36"/>
      <c r="K147" s="5"/>
    </row>
    <row r="148" spans="1:11" x14ac:dyDescent="0.3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1"/>
      <c r="I148" s="192">
        <f t="shared" ca="1" si="6"/>
        <v>265540.53975933284</v>
      </c>
      <c r="J148" s="36"/>
      <c r="K148" s="5"/>
    </row>
    <row r="149" spans="1:11" x14ac:dyDescent="0.3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1"/>
      <c r="I149" s="192">
        <f t="shared" ca="1" si="6"/>
        <v>259818.94239552252</v>
      </c>
      <c r="J149" s="36"/>
      <c r="K149" s="5"/>
    </row>
    <row r="150" spans="1:11" x14ac:dyDescent="0.3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2">
        <f t="shared" ca="1" si="6"/>
        <v>263747.5801857874</v>
      </c>
      <c r="J150" s="36"/>
      <c r="K150" s="5"/>
    </row>
    <row r="151" spans="1:11" x14ac:dyDescent="0.3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2">
        <f t="shared" ca="1" si="6"/>
        <v>264061.14836423314</v>
      </c>
      <c r="J151" s="36"/>
      <c r="K151" s="5"/>
    </row>
    <row r="152" spans="1:11" x14ac:dyDescent="0.3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2">
        <f t="shared" ca="1" si="6"/>
        <v>265216.48227555869</v>
      </c>
      <c r="J152" s="36"/>
      <c r="K152" s="5"/>
    </row>
    <row r="153" spans="1:11" x14ac:dyDescent="0.3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1"/>
      <c r="I153" s="192">
        <f t="shared" ca="1" si="6"/>
        <v>263172.44517750735</v>
      </c>
      <c r="J153" s="36"/>
      <c r="K153" s="5"/>
    </row>
    <row r="154" spans="1:11" x14ac:dyDescent="0.3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1"/>
      <c r="I154" s="192">
        <f t="shared" ca="1" si="6"/>
        <v>262797.63088269322</v>
      </c>
      <c r="J154" s="36"/>
      <c r="K154" s="5"/>
    </row>
    <row r="155" spans="1:11" x14ac:dyDescent="0.3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1"/>
      <c r="I155" s="192">
        <f t="shared" ca="1" si="6"/>
        <v>262828.28957585798</v>
      </c>
      <c r="J155" s="36"/>
      <c r="K155" s="5"/>
    </row>
    <row r="156" spans="1:11" x14ac:dyDescent="0.3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1"/>
      <c r="I156" s="192">
        <f t="shared" ca="1" si="6"/>
        <v>254824.7872642045</v>
      </c>
      <c r="J156" s="36"/>
      <c r="K156" s="5"/>
    </row>
    <row r="157" spans="1:11" x14ac:dyDescent="0.3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1"/>
      <c r="I157" s="192">
        <f t="shared" ca="1" si="6"/>
        <v>254525.01814633413</v>
      </c>
      <c r="J157" s="36"/>
      <c r="K157" s="5"/>
    </row>
    <row r="158" spans="1:11" x14ac:dyDescent="0.3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1"/>
      <c r="I158" s="192">
        <f t="shared" ca="1" si="6"/>
        <v>257207.74720420514</v>
      </c>
      <c r="J158" s="36"/>
      <c r="K158" s="5"/>
    </row>
    <row r="159" spans="1:11" x14ac:dyDescent="0.3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1"/>
      <c r="I159" s="192">
        <f t="shared" ca="1" si="6"/>
        <v>268480.75636254647</v>
      </c>
      <c r="J159" s="36"/>
      <c r="K159" s="5"/>
    </row>
    <row r="160" spans="1:11" x14ac:dyDescent="0.3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1"/>
      <c r="I160" s="192">
        <f t="shared" ca="1" si="6"/>
        <v>270072.00338108116</v>
      </c>
      <c r="J160" s="36"/>
      <c r="K160" s="5"/>
    </row>
    <row r="161" spans="1:11" x14ac:dyDescent="0.3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1"/>
      <c r="I161" s="192">
        <f t="shared" ca="1" si="6"/>
        <v>264946.51969310921</v>
      </c>
      <c r="J161" s="36"/>
      <c r="K161" s="5"/>
    </row>
    <row r="162" spans="1:11" x14ac:dyDescent="0.3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1"/>
      <c r="I162" s="192">
        <f t="shared" ca="1" si="6"/>
        <v>268358.74588205101</v>
      </c>
      <c r="J162" s="36"/>
      <c r="K162" s="5"/>
    </row>
    <row r="163" spans="1:11" x14ac:dyDescent="0.3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1"/>
      <c r="I163" s="192">
        <f t="shared" ca="1" si="6"/>
        <v>268668.41960398399</v>
      </c>
      <c r="J163" s="36"/>
      <c r="K163" s="5"/>
    </row>
    <row r="164" spans="1:11" x14ac:dyDescent="0.3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1"/>
      <c r="I164" s="192">
        <f t="shared" ca="1" si="6"/>
        <v>269781.6688009302</v>
      </c>
      <c r="J164" s="36"/>
      <c r="K164" s="5"/>
    </row>
    <row r="165" spans="1:11" x14ac:dyDescent="0.3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1"/>
      <c r="I165" s="192">
        <f t="shared" ca="1" si="6"/>
        <v>269190.0046564237</v>
      </c>
      <c r="J165" s="36"/>
      <c r="K165" s="5"/>
    </row>
    <row r="166" spans="1:11" x14ac:dyDescent="0.3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1"/>
      <c r="I166" s="192">
        <f t="shared" ca="1" si="6"/>
        <v>268811.68082365836</v>
      </c>
      <c r="J166" s="36"/>
      <c r="K166" s="5"/>
    </row>
    <row r="167" spans="1:11" x14ac:dyDescent="0.3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1"/>
      <c r="I167" s="192">
        <f t="shared" ca="1" si="6"/>
        <v>268880.15204065252</v>
      </c>
      <c r="J167" s="36"/>
      <c r="K167" s="5"/>
    </row>
    <row r="168" spans="1:11" x14ac:dyDescent="0.3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1"/>
      <c r="I168" s="192">
        <f t="shared" ca="1" si="6"/>
        <v>271582.15267018462</v>
      </c>
      <c r="J168" s="36"/>
      <c r="K168" s="5"/>
    </row>
    <row r="169" spans="1:11" x14ac:dyDescent="0.3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1"/>
      <c r="I169" s="192">
        <f t="shared" ca="1" si="6"/>
        <v>271285.20503478916</v>
      </c>
      <c r="J169" s="36"/>
      <c r="K169" s="5"/>
    </row>
    <row r="170" spans="1:11" x14ac:dyDescent="0.3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1"/>
      <c r="I170" s="192">
        <f t="shared" ca="1" si="6"/>
        <v>273969.67405766965</v>
      </c>
      <c r="J170" s="36"/>
      <c r="K170" s="5"/>
    </row>
    <row r="171" spans="1:11" x14ac:dyDescent="0.3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1"/>
      <c r="I171" s="192">
        <f t="shared" ca="1" si="6"/>
        <v>275692.78280255728</v>
      </c>
      <c r="J171" s="36"/>
      <c r="K171" s="5"/>
    </row>
    <row r="172" spans="1:11" x14ac:dyDescent="0.3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1"/>
      <c r="I172" s="192">
        <f t="shared" ca="1" si="6"/>
        <v>277879.33010844316</v>
      </c>
      <c r="J172" s="36"/>
      <c r="K172" s="5"/>
    </row>
    <row r="173" spans="1:11" x14ac:dyDescent="0.3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1"/>
      <c r="I173" s="192">
        <f t="shared" ca="1" si="6"/>
        <v>272157.42207960004</v>
      </c>
      <c r="J173" s="36"/>
      <c r="K173" s="5"/>
    </row>
    <row r="174" spans="1:11" x14ac:dyDescent="0.3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1"/>
      <c r="I174" s="192">
        <f t="shared" ca="1" si="6"/>
        <v>275851.93324546743</v>
      </c>
      <c r="J174" s="36"/>
      <c r="K174" s="5"/>
    </row>
    <row r="175" spans="1:11" x14ac:dyDescent="0.3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1"/>
      <c r="I175" s="192">
        <f t="shared" ca="1" si="6"/>
        <v>276157.71251088765</v>
      </c>
      <c r="J175" s="36"/>
      <c r="K175" s="5"/>
    </row>
    <row r="176" spans="1:11" x14ac:dyDescent="0.3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1"/>
      <c r="I176" s="192">
        <f t="shared" ca="1" si="6"/>
        <v>277228.87699345447</v>
      </c>
      <c r="J176" s="36"/>
      <c r="K176" s="5"/>
    </row>
    <row r="177" spans="1:11" x14ac:dyDescent="0.3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1"/>
      <c r="I177" s="192">
        <f t="shared" ca="1" si="6"/>
        <v>276511.34703877527</v>
      </c>
      <c r="J177" s="36"/>
      <c r="K177" s="5"/>
    </row>
    <row r="178" spans="1:11" x14ac:dyDescent="0.3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1"/>
      <c r="I178" s="192">
        <f t="shared" ca="1" si="6"/>
        <v>276129.51366805873</v>
      </c>
      <c r="J178" s="36"/>
      <c r="K178" s="5"/>
    </row>
    <row r="179" spans="1:11" x14ac:dyDescent="0.3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1"/>
      <c r="I179" s="192">
        <f t="shared" ca="1" si="6"/>
        <v>276235.79740888218</v>
      </c>
      <c r="J179" s="36"/>
      <c r="K179" s="5"/>
    </row>
    <row r="180" spans="1:11" x14ac:dyDescent="0.3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1"/>
      <c r="I180" s="192">
        <f t="shared" ca="1" si="6"/>
        <v>278454.78425437497</v>
      </c>
      <c r="J180" s="36"/>
      <c r="K180" s="5"/>
    </row>
    <row r="181" spans="1:11" x14ac:dyDescent="0.3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1"/>
      <c r="I181" s="192">
        <f t="shared" ca="1" si="6"/>
        <v>278160.65810145438</v>
      </c>
      <c r="J181" s="36"/>
      <c r="K181" s="5"/>
    </row>
    <row r="182" spans="1:11" x14ac:dyDescent="0.3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1"/>
      <c r="I182" s="192">
        <f t="shared" ca="1" si="6"/>
        <v>280846.86708934436</v>
      </c>
      <c r="J182" s="36"/>
      <c r="K182" s="5"/>
    </row>
    <row r="183" spans="1:11" x14ac:dyDescent="0.3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1"/>
      <c r="I183" s="192">
        <f t="shared" ca="1" si="6"/>
        <v>279262.05612506525</v>
      </c>
      <c r="J183" s="36"/>
      <c r="K183" s="5"/>
    </row>
    <row r="184" spans="1:11" x14ac:dyDescent="0.3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1"/>
      <c r="I184" s="192">
        <f t="shared" ca="1" si="6"/>
        <v>281447.63470994757</v>
      </c>
      <c r="J184" s="36"/>
      <c r="K184" s="5"/>
    </row>
    <row r="185" spans="1:11" x14ac:dyDescent="0.3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1"/>
      <c r="I185" s="192">
        <f t="shared" ca="1" si="6"/>
        <v>275725.57134858804</v>
      </c>
      <c r="J185" s="36"/>
      <c r="K185" s="5"/>
    </row>
    <row r="186" spans="1:11" x14ac:dyDescent="0.3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1"/>
      <c r="I186" s="192">
        <f t="shared" ca="1" si="6"/>
        <v>279078.57457524713</v>
      </c>
      <c r="J186" s="36"/>
      <c r="K186" s="5"/>
    </row>
    <row r="187" spans="1:11" x14ac:dyDescent="0.3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1"/>
      <c r="I187" s="192">
        <f t="shared" ca="1" si="6"/>
        <v>279380.45938415459</v>
      </c>
      <c r="J187" s="36"/>
      <c r="K187" s="5"/>
    </row>
    <row r="188" spans="1:11" x14ac:dyDescent="0.3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1"/>
      <c r="I188" s="192">
        <f t="shared" ca="1" si="6"/>
        <v>280409.53915234213</v>
      </c>
      <c r="J188" s="36"/>
      <c r="K188" s="5"/>
    </row>
    <row r="189" spans="1:11" x14ac:dyDescent="0.3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1"/>
      <c r="I189" s="192">
        <f t="shared" ca="1" si="6"/>
        <v>279902.60232468345</v>
      </c>
      <c r="J189" s="36"/>
      <c r="K189" s="5"/>
    </row>
    <row r="190" spans="1:11" x14ac:dyDescent="0.3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1"/>
      <c r="I190" s="192">
        <f t="shared" ca="1" si="6"/>
        <v>279517.25941601582</v>
      </c>
      <c r="J190" s="36"/>
      <c r="K190" s="5"/>
    </row>
    <row r="191" spans="1:11" x14ac:dyDescent="0.3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1"/>
      <c r="I191" s="192">
        <f t="shared" ca="1" si="6"/>
        <v>279661.35568066855</v>
      </c>
      <c r="J191" s="36"/>
      <c r="K191" s="5"/>
    </row>
    <row r="192" spans="1:11" x14ac:dyDescent="0.3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1"/>
      <c r="I192" s="192">
        <f t="shared" ca="1" si="6"/>
        <v>282696.71644494776</v>
      </c>
      <c r="J192" s="36"/>
      <c r="K192" s="5"/>
    </row>
    <row r="193" spans="1:11" x14ac:dyDescent="0.3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1"/>
      <c r="I193" s="192">
        <f t="shared" ca="1" si="6"/>
        <v>282405.41177450202</v>
      </c>
      <c r="J193" s="36"/>
      <c r="K193" s="5"/>
    </row>
    <row r="194" spans="1:11" x14ac:dyDescent="0.3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1"/>
      <c r="I194" s="192">
        <f t="shared" ca="1" si="6"/>
        <v>285093.36072740145</v>
      </c>
      <c r="J194" s="36"/>
      <c r="K194" s="5"/>
    </row>
    <row r="195" spans="1:11" x14ac:dyDescent="0.3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1"/>
      <c r="I195" s="192">
        <f t="shared" ca="1" si="6"/>
        <v>286280.49477855954</v>
      </c>
      <c r="J195" s="36"/>
      <c r="K195" s="5"/>
    </row>
    <row r="196" spans="1:11" x14ac:dyDescent="0.3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1"/>
      <c r="I196" s="192">
        <f t="shared" ref="I196:I206" ca="1" si="11">$N$18+C196*$N$19+D196*$N$20+E196*$N$21+F196*$N$22+G196*$N$23</f>
        <v>288465.10464243835</v>
      </c>
      <c r="J196" s="36"/>
      <c r="K196" s="5"/>
    </row>
    <row r="197" spans="1:11" x14ac:dyDescent="0.3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1"/>
      <c r="I197" s="192">
        <f t="shared" ca="1" si="11"/>
        <v>282742.88594856235</v>
      </c>
      <c r="J197" s="36"/>
      <c r="K197" s="5"/>
    </row>
    <row r="198" spans="1:11" x14ac:dyDescent="0.3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2">
        <f t="shared" ca="1" si="11"/>
        <v>287447.83575233369</v>
      </c>
      <c r="J198" s="36"/>
      <c r="K198" s="5"/>
    </row>
    <row r="199" spans="1:11" x14ac:dyDescent="0.3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2">
        <f t="shared" ca="1" si="11"/>
        <v>287745.82610472839</v>
      </c>
      <c r="J199" s="36"/>
      <c r="K199" s="5"/>
    </row>
    <row r="200" spans="1:11" x14ac:dyDescent="0.3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2">
        <f t="shared" ca="1" si="11"/>
        <v>288732.82115853659</v>
      </c>
      <c r="J200" s="36"/>
      <c r="K200" s="5"/>
    </row>
    <row r="201" spans="1:11" x14ac:dyDescent="0.3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1"/>
      <c r="I201" s="192">
        <f t="shared" ca="1" si="11"/>
        <v>289567.65377937304</v>
      </c>
      <c r="J201" s="36"/>
      <c r="K201" s="5"/>
    </row>
    <row r="202" spans="1:11" x14ac:dyDescent="0.3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1"/>
      <c r="I202" s="192">
        <f t="shared" ca="1" si="11"/>
        <v>289178.80133275408</v>
      </c>
      <c r="J202" s="36"/>
      <c r="K202" s="5"/>
    </row>
    <row r="203" spans="1:11" x14ac:dyDescent="0.3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1"/>
      <c r="I203" s="192">
        <f t="shared" ca="1" si="11"/>
        <v>289360.71012123622</v>
      </c>
      <c r="J203" s="36"/>
      <c r="K203" s="5"/>
    </row>
    <row r="204" spans="1:11" x14ac:dyDescent="0.3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2">
        <f t="shared" ca="1" si="11"/>
        <v>293777.18286450952</v>
      </c>
      <c r="J204" s="36"/>
      <c r="K204" s="5"/>
    </row>
    <row r="205" spans="1:11" x14ac:dyDescent="0.3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2">
        <f t="shared" ca="1" si="11"/>
        <v>293488.69967653864</v>
      </c>
      <c r="J205" s="36"/>
      <c r="K205" s="5"/>
    </row>
    <row r="206" spans="1:11" x14ac:dyDescent="0.3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2">
        <f t="shared" ca="1" si="11"/>
        <v>296178.38859444764</v>
      </c>
      <c r="J206" s="36"/>
      <c r="K206" s="5"/>
    </row>
    <row r="207" spans="1:11" x14ac:dyDescent="0.3">
      <c r="A207" s="3"/>
      <c r="E207" s="33"/>
      <c r="F207" s="10"/>
      <c r="G207" s="10"/>
      <c r="H207" s="17"/>
    </row>
    <row r="208" spans="1:11" x14ac:dyDescent="0.3">
      <c r="A208" s="3"/>
      <c r="C208" s="18"/>
      <c r="D208" s="63" t="s">
        <v>60</v>
      </c>
      <c r="I208" s="47">
        <f ca="1">SUM(I3:I206)</f>
        <v>54862219.62096864</v>
      </c>
    </row>
    <row r="209" spans="1:11" x14ac:dyDescent="0.3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3">
      <c r="A210" s="16">
        <v>2003</v>
      </c>
      <c r="B210" s="6">
        <f>SUM(B3:B14)</f>
        <v>3600000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3652495.716393102</v>
      </c>
      <c r="J210" s="36">
        <f>I210-B210</f>
        <v>52495.71639310196</v>
      </c>
      <c r="K210" s="5">
        <f>J210/B210</f>
        <v>1.4582143442528322E-2</v>
      </c>
    </row>
    <row r="211" spans="1:11" x14ac:dyDescent="0.3">
      <c r="A211">
        <v>2004</v>
      </c>
      <c r="B211" s="6">
        <f>SUM(B15:B26)</f>
        <v>3600000</v>
      </c>
      <c r="C211" s="107">
        <f>+B211-B210</f>
        <v>0</v>
      </c>
      <c r="D211" s="109">
        <f>+C211/B210</f>
        <v>0</v>
      </c>
      <c r="E211" s="109">
        <f>RATE(1,0,-B$210,B211)</f>
        <v>-7.7878937866484453E-17</v>
      </c>
      <c r="F211" s="179"/>
      <c r="G211" s="179"/>
      <c r="H211"/>
      <c r="I211" s="6">
        <f>SUM(I15:I26)</f>
        <v>3612616.2633835333</v>
      </c>
      <c r="J211" s="36">
        <f t="shared" ref="J211:J226" si="12">I211-B211</f>
        <v>12616.26338353334</v>
      </c>
      <c r="K211" s="5">
        <f t="shared" ref="K211:K226" si="13">J211/B211</f>
        <v>3.5045176065370389E-3</v>
      </c>
    </row>
    <row r="212" spans="1:11" x14ac:dyDescent="0.3">
      <c r="A212" s="16">
        <v>2005</v>
      </c>
      <c r="B212" s="6">
        <f>SUM(B27:B38)</f>
        <v>3600000</v>
      </c>
      <c r="C212" s="107">
        <f t="shared" ref="C212:C226" si="14">+B212-B211</f>
        <v>0</v>
      </c>
      <c r="D212" s="109">
        <f t="shared" ref="D212:D226" si="15">+C212/B211</f>
        <v>0</v>
      </c>
      <c r="E212" s="109">
        <f>RATE(2,0,-B$210,B212)</f>
        <v>-7.6316599293886114E-17</v>
      </c>
      <c r="F212" s="179"/>
      <c r="G212" s="179"/>
      <c r="H212"/>
      <c r="I212" s="6">
        <f>SUM(I27:I38)</f>
        <v>3358525.2664402453</v>
      </c>
      <c r="J212" s="36">
        <f t="shared" si="12"/>
        <v>-241474.73355975468</v>
      </c>
      <c r="K212" s="5">
        <f t="shared" si="13"/>
        <v>-6.7076314877709639E-2</v>
      </c>
    </row>
    <row r="213" spans="1:11" x14ac:dyDescent="0.3">
      <c r="A213">
        <v>2006</v>
      </c>
      <c r="B213" s="6">
        <f>SUM(B39:B50)</f>
        <v>3705188</v>
      </c>
      <c r="C213" s="107">
        <f t="shared" si="14"/>
        <v>105188</v>
      </c>
      <c r="D213" s="109">
        <f t="shared" si="15"/>
        <v>2.9218888888888888E-2</v>
      </c>
      <c r="E213" s="109">
        <f>RATE(3,0,-B$210,B213)</f>
        <v>9.6462797194698212E-3</v>
      </c>
      <c r="F213" s="179"/>
      <c r="G213" s="179"/>
      <c r="H213"/>
      <c r="I213" s="6">
        <f>SUM(I39:I50)</f>
        <v>3349372.2692354415</v>
      </c>
      <c r="J213" s="36">
        <f t="shared" si="12"/>
        <v>-355815.73076455854</v>
      </c>
      <c r="K213" s="5">
        <f t="shared" si="13"/>
        <v>-9.6031761617644915E-2</v>
      </c>
    </row>
    <row r="214" spans="1:11" x14ac:dyDescent="0.3">
      <c r="A214" s="16">
        <v>2007</v>
      </c>
      <c r="B214" s="6">
        <f>SUM(B51:B62)</f>
        <v>3818865</v>
      </c>
      <c r="C214" s="107">
        <f t="shared" si="14"/>
        <v>113677</v>
      </c>
      <c r="D214" s="109">
        <f t="shared" si="15"/>
        <v>3.0680494485030178E-2</v>
      </c>
      <c r="E214" s="109">
        <f>RATE(1,0,-B$213,B214)</f>
        <v>3.0680494485030036E-2</v>
      </c>
      <c r="F214" s="179"/>
      <c r="G214" s="179"/>
      <c r="H214"/>
      <c r="I214" s="6">
        <f>SUM(I51:I62)</f>
        <v>3449437.2551378659</v>
      </c>
      <c r="J214" s="36">
        <f t="shared" si="12"/>
        <v>-369427.7448621341</v>
      </c>
      <c r="K214" s="5">
        <f t="shared" si="13"/>
        <v>-9.673757644277399E-2</v>
      </c>
    </row>
    <row r="215" spans="1:11" x14ac:dyDescent="0.3">
      <c r="A215">
        <v>2008</v>
      </c>
      <c r="B215" s="6">
        <f>SUM(B63:B74)</f>
        <v>3372873</v>
      </c>
      <c r="C215" s="107">
        <f t="shared" si="14"/>
        <v>-445992</v>
      </c>
      <c r="D215" s="109">
        <f t="shared" si="15"/>
        <v>-0.11678653212407351</v>
      </c>
      <c r="E215" s="109">
        <f>RATE(2,0,-B$213,B215)</f>
        <v>-4.5897859867088039E-2</v>
      </c>
      <c r="F215" s="179"/>
      <c r="G215" s="179"/>
      <c r="H215"/>
      <c r="I215" s="6">
        <f>SUM(I63:I74)</f>
        <v>3227362.4958865517</v>
      </c>
      <c r="J215" s="36">
        <f t="shared" si="12"/>
        <v>-145510.50411344832</v>
      </c>
      <c r="K215" s="5">
        <f t="shared" si="13"/>
        <v>-4.3141412117636307E-2</v>
      </c>
    </row>
    <row r="216" spans="1:11" x14ac:dyDescent="0.3">
      <c r="A216" s="16">
        <v>2009</v>
      </c>
      <c r="B216" s="6">
        <f>SUM(B75:B86)</f>
        <v>2825455</v>
      </c>
      <c r="C216" s="107">
        <f t="shared" si="14"/>
        <v>-547418</v>
      </c>
      <c r="D216" s="109">
        <f t="shared" si="15"/>
        <v>-0.16230021112564866</v>
      </c>
      <c r="E216" s="109">
        <f>RATE(3,0,-B$213,B216)</f>
        <v>-8.6393076677496503E-2</v>
      </c>
      <c r="F216" s="179"/>
      <c r="G216" s="179"/>
      <c r="H216"/>
      <c r="I216" s="6">
        <f>SUM(I75:I86)</f>
        <v>2797142.403243734</v>
      </c>
      <c r="J216" s="36">
        <f t="shared" si="12"/>
        <v>-28312.596756265964</v>
      </c>
      <c r="K216" s="5">
        <f t="shared" si="13"/>
        <v>-1.0020544215450596E-2</v>
      </c>
    </row>
    <row r="217" spans="1:11" x14ac:dyDescent="0.3">
      <c r="A217">
        <v>2010</v>
      </c>
      <c r="B217" s="6">
        <f>SUM(B87:B98)</f>
        <v>2831501</v>
      </c>
      <c r="C217" s="107">
        <f t="shared" si="14"/>
        <v>6046</v>
      </c>
      <c r="D217" s="109">
        <f t="shared" si="15"/>
        <v>2.1398323455868169E-3</v>
      </c>
      <c r="E217" s="109">
        <f>RATE(4,0,-B$213,B217)</f>
        <v>-6.5021514379645193E-2</v>
      </c>
      <c r="F217" s="179"/>
      <c r="G217" s="179"/>
      <c r="H217"/>
      <c r="I217" s="6">
        <f>SUM(I87:I98)</f>
        <v>2622671.0905630924</v>
      </c>
      <c r="J217" s="36">
        <f t="shared" si="12"/>
        <v>-208829.90943690762</v>
      </c>
      <c r="K217" s="5">
        <f t="shared" si="13"/>
        <v>-7.3752370010431792E-2</v>
      </c>
    </row>
    <row r="218" spans="1:11" x14ac:dyDescent="0.3">
      <c r="A218">
        <v>2011</v>
      </c>
      <c r="B218" s="6">
        <f>SUM(B99:B110)</f>
        <v>2769028</v>
      </c>
      <c r="C218" s="107">
        <f t="shared" si="14"/>
        <v>-62473</v>
      </c>
      <c r="D218" s="109">
        <f t="shared" si="15"/>
        <v>-2.2063562753465389E-2</v>
      </c>
      <c r="E218" s="109">
        <f>RATE(5,0,-B$213,B218)</f>
        <v>-5.6583604122049977E-2</v>
      </c>
      <c r="F218" s="179"/>
      <c r="G218" s="179"/>
      <c r="H218"/>
      <c r="I218" s="6">
        <f>SUM(I99:I110)</f>
        <v>3002260.9850551616</v>
      </c>
      <c r="J218" s="36">
        <f t="shared" si="12"/>
        <v>233232.98505516164</v>
      </c>
      <c r="K218" s="5">
        <f t="shared" si="13"/>
        <v>8.4229189829485879E-2</v>
      </c>
    </row>
    <row r="219" spans="1:11" x14ac:dyDescent="0.3">
      <c r="A219">
        <v>2012</v>
      </c>
      <c r="B219" s="6">
        <f>SUM(B111:B122)</f>
        <v>2745701</v>
      </c>
      <c r="C219" s="107">
        <f t="shared" si="14"/>
        <v>-23327</v>
      </c>
      <c r="D219" s="109">
        <f t="shared" si="15"/>
        <v>-8.4242557316141255E-3</v>
      </c>
      <c r="E219" s="109">
        <f>RATE(6,0,-B$213,B219)</f>
        <v>-4.8722629781163249E-2</v>
      </c>
      <c r="F219" s="179"/>
      <c r="G219" s="179"/>
      <c r="H219"/>
      <c r="I219" s="6">
        <f>SUM(I111:I122)</f>
        <v>2901074.8021019897</v>
      </c>
      <c r="J219" s="36">
        <f t="shared" si="12"/>
        <v>155373.80210198974</v>
      </c>
      <c r="K219" s="5">
        <f t="shared" si="13"/>
        <v>5.6588026919897595E-2</v>
      </c>
    </row>
    <row r="220" spans="1:11" x14ac:dyDescent="0.3">
      <c r="A220">
        <v>2013</v>
      </c>
      <c r="B220" s="6">
        <f>SUM(B123:B134)</f>
        <v>2752416</v>
      </c>
      <c r="C220" s="107">
        <f t="shared" si="14"/>
        <v>6715</v>
      </c>
      <c r="D220" s="109">
        <f t="shared" si="15"/>
        <v>2.4456413862980709E-3</v>
      </c>
      <c r="E220" s="109">
        <f>RATE(7,0,-B$213,B220)</f>
        <v>-4.1575980403681982E-2</v>
      </c>
      <c r="F220" s="179"/>
      <c r="G220" s="179"/>
      <c r="H220"/>
      <c r="I220" s="6">
        <f ca="1">SUM(I123:I134)</f>
        <v>3149268.9926032592</v>
      </c>
      <c r="J220" s="36">
        <f t="shared" ca="1" si="12"/>
        <v>396852.99260325916</v>
      </c>
      <c r="K220" s="5">
        <f t="shared" ca="1" si="13"/>
        <v>0.14418350736344329</v>
      </c>
    </row>
    <row r="221" spans="1:11" x14ac:dyDescent="0.3">
      <c r="A221">
        <v>2014</v>
      </c>
      <c r="B221" s="6">
        <f>SUM(B135:B146)</f>
        <v>2711219</v>
      </c>
      <c r="C221" s="107">
        <f t="shared" ref="C221" si="16">+B221-B220</f>
        <v>-41197</v>
      </c>
      <c r="D221" s="109">
        <f t="shared" ref="D221" si="17">+C221/B220</f>
        <v>-1.4967577575482775E-2</v>
      </c>
      <c r="E221" s="109">
        <f>RATE(8,0,-B$213,B221)</f>
        <v>-3.8289641514172183E-2</v>
      </c>
      <c r="F221" s="103"/>
      <c r="G221" s="179"/>
      <c r="H221"/>
      <c r="I221" s="6">
        <f>SUM(I135:I146)</f>
        <v>3210018.459956015</v>
      </c>
      <c r="J221" s="36">
        <f t="shared" si="12"/>
        <v>498799.45995601499</v>
      </c>
      <c r="K221" s="5">
        <f t="shared" si="13"/>
        <v>0.18397608601740215</v>
      </c>
    </row>
    <row r="222" spans="1:11" x14ac:dyDescent="0.3">
      <c r="A222">
        <v>2015</v>
      </c>
      <c r="B222" s="6">
        <f ca="1">+I222</f>
        <v>3137092.6662426768</v>
      </c>
      <c r="C222" s="107">
        <f t="shared" ca="1" si="14"/>
        <v>425873.66624267679</v>
      </c>
      <c r="D222" s="109">
        <f t="shared" ca="1" si="15"/>
        <v>0.15707829808019078</v>
      </c>
      <c r="E222" s="109">
        <f ca="1">RATE(9,0,-B$213,B222)</f>
        <v>-1.8323111630430485E-2</v>
      </c>
      <c r="F222" s="103"/>
      <c r="G222" s="179"/>
      <c r="H222"/>
      <c r="I222" s="6">
        <f ca="1">SUM(I147:I158)</f>
        <v>3137092.6662426768</v>
      </c>
      <c r="J222" s="36">
        <f t="shared" ca="1" si="12"/>
        <v>0</v>
      </c>
      <c r="K222" s="5">
        <f t="shared" ca="1" si="13"/>
        <v>0</v>
      </c>
    </row>
    <row r="223" spans="1:11" x14ac:dyDescent="0.3">
      <c r="A223">
        <v>2016</v>
      </c>
      <c r="B223" s="6">
        <f ca="1">+I223</f>
        <v>3234026.9830070799</v>
      </c>
      <c r="C223" s="107">
        <f t="shared" ca="1" si="14"/>
        <v>96934.316764403135</v>
      </c>
      <c r="D223" s="109">
        <f t="shared" ca="1" si="15"/>
        <v>3.0899411358639339E-2</v>
      </c>
      <c r="E223" s="109">
        <f ca="1">RATE(10,0,-B$213,B223)</f>
        <v>-1.3508519362074561E-2</v>
      </c>
      <c r="F223" s="103"/>
      <c r="G223" s="179"/>
      <c r="H223"/>
      <c r="I223" s="6">
        <f ca="1">SUM(I159:I170)</f>
        <v>3234026.9830070799</v>
      </c>
      <c r="J223" s="36">
        <f t="shared" ca="1" si="12"/>
        <v>0</v>
      </c>
      <c r="K223" s="5">
        <f t="shared" ca="1" si="13"/>
        <v>0</v>
      </c>
    </row>
    <row r="224" spans="1:11" x14ac:dyDescent="0.3">
      <c r="A224">
        <v>2017</v>
      </c>
      <c r="B224" s="6">
        <f ca="1">+I224</f>
        <v>3321307.0253012995</v>
      </c>
      <c r="C224" s="107">
        <f t="shared" ca="1" si="14"/>
        <v>87280.042294219602</v>
      </c>
      <c r="D224" s="109">
        <f t="shared" ca="1" si="15"/>
        <v>2.6988037747620899E-2</v>
      </c>
      <c r="E224" s="109">
        <f ca="1">RATE(11,0,-B$213,B224)</f>
        <v>-9.893966900433768E-3</v>
      </c>
      <c r="F224" s="103"/>
      <c r="G224" s="179"/>
      <c r="H224"/>
      <c r="I224" s="6">
        <f ca="1">SUM(I171:I182)</f>
        <v>3321307.0253012995</v>
      </c>
      <c r="J224" s="36">
        <f t="shared" ca="1" si="12"/>
        <v>0</v>
      </c>
      <c r="K224" s="5">
        <f t="shared" ca="1" si="13"/>
        <v>0</v>
      </c>
    </row>
    <row r="225" spans="1:11" x14ac:dyDescent="0.3">
      <c r="A225">
        <v>2018</v>
      </c>
      <c r="B225" s="6">
        <f ca="1">+I225</f>
        <v>3364580.5416635638</v>
      </c>
      <c r="C225" s="107">
        <f t="shared" ca="1" si="14"/>
        <v>43273.516362264287</v>
      </c>
      <c r="D225" s="109">
        <f t="shared" ca="1" si="15"/>
        <v>1.3029062363886288E-2</v>
      </c>
      <c r="E225" s="109">
        <f ca="1">RATE(12,0,-B$213,B225)</f>
        <v>-8.0036900100659697E-3</v>
      </c>
      <c r="F225" s="103"/>
      <c r="G225" s="179"/>
      <c r="H225"/>
      <c r="I225" s="6">
        <f ca="1">SUM(I183:I194)</f>
        <v>3364580.5416635638</v>
      </c>
      <c r="J225" s="36">
        <f t="shared" ca="1" si="12"/>
        <v>0</v>
      </c>
      <c r="K225" s="5">
        <f t="shared" ca="1" si="13"/>
        <v>0</v>
      </c>
    </row>
    <row r="226" spans="1:11" x14ac:dyDescent="0.3">
      <c r="A226">
        <v>2019</v>
      </c>
      <c r="B226" s="6">
        <f ca="1">+I226</f>
        <v>3472966.4047540184</v>
      </c>
      <c r="C226" s="107">
        <f t="shared" ca="1" si="14"/>
        <v>108385.8630904546</v>
      </c>
      <c r="D226" s="109">
        <f t="shared" ca="1" si="15"/>
        <v>3.2213781702745303E-2</v>
      </c>
      <c r="E226" s="109">
        <f ca="1">RATE(13,0,-B$213,B226)</f>
        <v>-4.9664645322585231E-3</v>
      </c>
      <c r="F226" s="103"/>
      <c r="G226" s="179"/>
      <c r="H226"/>
      <c r="I226" s="6">
        <f ca="1">SUM(I195:I206)</f>
        <v>3472966.4047540184</v>
      </c>
      <c r="J226" s="36">
        <f t="shared" ca="1" si="12"/>
        <v>0</v>
      </c>
      <c r="K226" s="5">
        <f t="shared" ca="1" si="13"/>
        <v>0</v>
      </c>
    </row>
    <row r="227" spans="1:11" x14ac:dyDescent="0.3">
      <c r="C227" s="101"/>
      <c r="D227" s="179"/>
      <c r="F227" s="179"/>
      <c r="G227" s="179"/>
      <c r="H227"/>
      <c r="J227" s="179"/>
      <c r="K227" s="179"/>
    </row>
    <row r="228" spans="1:11" x14ac:dyDescent="0.3">
      <c r="A228" t="s">
        <v>9</v>
      </c>
      <c r="B228" s="6">
        <f ca="1">SUM(B210:B226)</f>
        <v>54862219.62096864</v>
      </c>
      <c r="C228" s="101"/>
      <c r="D228" s="179"/>
      <c r="F228" s="179"/>
      <c r="G228" s="179"/>
      <c r="H228"/>
      <c r="I228" s="6">
        <f ca="1">SUM(I210:I226)</f>
        <v>54862219.620968632</v>
      </c>
      <c r="J228" s="183">
        <f ca="1">I228-B228</f>
        <v>0</v>
      </c>
      <c r="K228" s="179"/>
    </row>
    <row r="229" spans="1:11" x14ac:dyDescent="0.3">
      <c r="C229" s="179"/>
      <c r="D229" s="179"/>
      <c r="F229" s="179"/>
      <c r="G229" s="179"/>
      <c r="H229"/>
      <c r="I229" s="179"/>
      <c r="J229" s="62"/>
      <c r="K229" s="179"/>
    </row>
    <row r="230" spans="1:11" x14ac:dyDescent="0.3">
      <c r="C230" s="179"/>
      <c r="D230" s="179"/>
      <c r="F230" s="179"/>
      <c r="G230" s="179"/>
      <c r="H230"/>
      <c r="I230" s="6">
        <f ca="1">SUM(I210:I226)</f>
        <v>54862219.620968632</v>
      </c>
      <c r="J230" s="183">
        <f ca="1">I208-I230</f>
        <v>0</v>
      </c>
      <c r="K230" s="179"/>
    </row>
    <row r="231" spans="1:11" x14ac:dyDescent="0.3">
      <c r="C231" s="179"/>
      <c r="D231" s="179"/>
      <c r="F231" s="179"/>
      <c r="G231" s="179"/>
      <c r="H231"/>
      <c r="I231" s="23"/>
      <c r="J231" s="184" t="s">
        <v>69</v>
      </c>
      <c r="K231" s="18"/>
    </row>
    <row r="232" spans="1:11" x14ac:dyDescent="0.3">
      <c r="I232" s="11"/>
      <c r="J232" s="11"/>
      <c r="K232" s="11"/>
    </row>
    <row r="244" spans="9:11" x14ac:dyDescent="0.3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114"/>
  <sheetViews>
    <sheetView tabSelected="1" workbookViewId="0">
      <pane xSplit="1" ySplit="2" topLeftCell="B4" activePane="bottomRight" state="frozen"/>
      <selection pane="topRight"/>
      <selection pane="bottomLeft"/>
      <selection pane="bottomRight" activeCell="A34" sqref="A34"/>
    </sheetView>
  </sheetViews>
  <sheetFormatPr defaultRowHeight="12.45" x14ac:dyDescent="0.3"/>
  <cols>
    <col min="1" max="1" width="26.84375" customWidth="1"/>
    <col min="2" max="2" width="22.84375" style="1" customWidth="1"/>
    <col min="3" max="5" width="18" style="1" customWidth="1"/>
    <col min="6" max="6" width="15.69140625" style="1" customWidth="1"/>
    <col min="7" max="7" width="15.84375" style="6" customWidth="1"/>
    <col min="8" max="8" width="15" style="6" customWidth="1"/>
    <col min="9" max="10" width="14.15234375" style="6" bestFit="1" customWidth="1"/>
    <col min="11" max="12" width="14.15234375" style="6" customWidth="1"/>
    <col min="13" max="14" width="14.69140625" style="6" customWidth="1"/>
    <col min="15" max="15" width="12.53515625" style="6" customWidth="1"/>
    <col min="16" max="16" width="12.69140625" style="6" bestFit="1" customWidth="1"/>
    <col min="17" max="17" width="11.15234375" style="6" bestFit="1" customWidth="1"/>
    <col min="18" max="18" width="11.69140625" style="6" bestFit="1" customWidth="1"/>
    <col min="19" max="19" width="10.69140625" style="6" bestFit="1" customWidth="1"/>
    <col min="20" max="20" width="9.15234375" style="6"/>
    <col min="21" max="21" width="11.15234375" style="6" bestFit="1" customWidth="1"/>
  </cols>
  <sheetData>
    <row r="2" spans="1:21" ht="42" customHeight="1" x14ac:dyDescent="0.3">
      <c r="B2" s="2" t="s">
        <v>6</v>
      </c>
      <c r="C2" s="2" t="s">
        <v>7</v>
      </c>
      <c r="D2" s="2" t="s">
        <v>41</v>
      </c>
      <c r="E2" s="2" t="s">
        <v>8</v>
      </c>
      <c r="F2" s="2" t="s">
        <v>1</v>
      </c>
      <c r="G2" s="7" t="s">
        <v>2</v>
      </c>
      <c r="H2" s="45" t="s">
        <v>71</v>
      </c>
      <c r="I2" s="65" t="s">
        <v>72</v>
      </c>
      <c r="J2" s="65" t="s">
        <v>73</v>
      </c>
      <c r="K2" s="65" t="s">
        <v>74</v>
      </c>
      <c r="L2" s="65" t="s">
        <v>77</v>
      </c>
      <c r="M2" s="65" t="s">
        <v>75</v>
      </c>
      <c r="N2" s="65" t="s">
        <v>78</v>
      </c>
      <c r="O2" s="46" t="s">
        <v>76</v>
      </c>
    </row>
    <row r="4" spans="1:21" x14ac:dyDescent="0.3">
      <c r="A4" s="18"/>
      <c r="B4" s="64" t="s">
        <v>70</v>
      </c>
    </row>
    <row r="5" spans="1:21" x14ac:dyDescent="0.3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3">
      <c r="A7">
        <f>'Purchased Power Model '!A210</f>
        <v>2003</v>
      </c>
      <c r="B7" s="6">
        <f>'Purchased Power Model '!B210</f>
        <v>1232724170</v>
      </c>
      <c r="C7" s="6">
        <f>'Purchased Power Model '!H210</f>
        <v>1206627694.1608171</v>
      </c>
      <c r="D7" s="36">
        <f t="shared" ref="D7" si="0">C7-B7</f>
        <v>-26096475.839182854</v>
      </c>
      <c r="E7" s="5">
        <f t="shared" ref="E7" si="1">D7/B7</f>
        <v>-2.1169760822636302E-2</v>
      </c>
      <c r="F7" s="50">
        <f t="shared" ref="F7:F17" si="2">1 +(B7-G7)/G7</f>
        <v>1.0843424198345466</v>
      </c>
      <c r="G7" s="54">
        <f t="shared" ref="G7:G14" si="3">SUM(H7:O7)</f>
        <v>1136840307.5</v>
      </c>
      <c r="H7" s="38">
        <f>Residential!B210-N7</f>
        <v>457616904</v>
      </c>
      <c r="I7" s="38">
        <f>'GS &lt; 50 kW'!B210-O7</f>
        <v>121224653</v>
      </c>
      <c r="J7" s="38">
        <f>'GS &gt; 50 kW'!B210</f>
        <v>281244125.5</v>
      </c>
      <c r="K7" s="38">
        <f>'Large User'!B210</f>
        <v>169257212.5</v>
      </c>
      <c r="L7" s="38">
        <f>'I2'!B210</f>
        <v>96172091</v>
      </c>
      <c r="M7" s="38">
        <f>Streetlights!B210</f>
        <v>8359780.5</v>
      </c>
      <c r="N7" s="38">
        <v>45541</v>
      </c>
      <c r="O7" s="38">
        <v>2920000</v>
      </c>
      <c r="P7" s="6">
        <f t="shared" ref="P7:P17" si="4">SUM(H7:O7)</f>
        <v>1136840307.5</v>
      </c>
    </row>
    <row r="8" spans="1:21" x14ac:dyDescent="0.3">
      <c r="A8">
        <f>'Purchased Power Model '!A211</f>
        <v>2004</v>
      </c>
      <c r="B8" s="6">
        <f>'Purchased Power Model '!B211</f>
        <v>1178441190</v>
      </c>
      <c r="C8" s="6">
        <f>'Purchased Power Model '!H211</f>
        <v>1193979451.6981936</v>
      </c>
      <c r="D8" s="36">
        <f t="shared" ref="D8:D23" si="5">C8-B8</f>
        <v>15538261.69819355</v>
      </c>
      <c r="E8" s="5">
        <f t="shared" ref="E8:E17" si="6">D8/B8</f>
        <v>1.3185436685383977E-2</v>
      </c>
      <c r="F8" s="50">
        <f t="shared" si="2"/>
        <v>1.0444391156043955</v>
      </c>
      <c r="G8" s="54">
        <f t="shared" si="3"/>
        <v>1128300513.0634735</v>
      </c>
      <c r="H8" s="38">
        <f>Residential!B211-N8</f>
        <v>448138859</v>
      </c>
      <c r="I8" s="38">
        <f>'GS &lt; 50 kW'!B211-O8</f>
        <v>129998490</v>
      </c>
      <c r="J8" s="38">
        <f>'GS &gt; 50 kW'!B211</f>
        <v>360631980</v>
      </c>
      <c r="K8" s="38">
        <f>'Large User'!B211</f>
        <v>112144196</v>
      </c>
      <c r="L8" s="38">
        <f>'I2'!B211</f>
        <v>65676068</v>
      </c>
      <c r="M8" s="38">
        <f>Streetlights!B211</f>
        <v>8743099.0634733941</v>
      </c>
      <c r="N8" s="38">
        <v>27821</v>
      </c>
      <c r="O8" s="38">
        <v>2940000</v>
      </c>
      <c r="P8" s="6">
        <f t="shared" si="4"/>
        <v>1128300513.0634735</v>
      </c>
    </row>
    <row r="9" spans="1:21" x14ac:dyDescent="0.3">
      <c r="A9">
        <f>'Purchased Power Model '!A212</f>
        <v>2005</v>
      </c>
      <c r="B9" s="6">
        <f>'Purchased Power Model '!B212</f>
        <v>1174501350</v>
      </c>
      <c r="C9" s="6">
        <f>'Purchased Power Model '!H212</f>
        <v>1203979720.1338103</v>
      </c>
      <c r="D9" s="36">
        <f t="shared" si="5"/>
        <v>29478370.133810282</v>
      </c>
      <c r="E9" s="5">
        <f t="shared" si="6"/>
        <v>2.5098626011634879E-2</v>
      </c>
      <c r="F9" s="50">
        <f t="shared" si="2"/>
        <v>1.0431377878987043</v>
      </c>
      <c r="G9" s="54">
        <f t="shared" si="3"/>
        <v>1125931170</v>
      </c>
      <c r="H9" s="38">
        <f>Residential!B212-N9</f>
        <v>485961504</v>
      </c>
      <c r="I9" s="38">
        <f>'GS &lt; 50 kW'!B212-O9</f>
        <v>135909028</v>
      </c>
      <c r="J9" s="38">
        <f>'GS &gt; 50 kW'!B212</f>
        <v>361962669</v>
      </c>
      <c r="K9" s="38">
        <f>'Large User'!B212</f>
        <v>62904833</v>
      </c>
      <c r="L9" s="38">
        <f>'I2'!B212</f>
        <v>67016961</v>
      </c>
      <c r="M9" s="38">
        <f>Streetlights!B212</f>
        <v>9182978</v>
      </c>
      <c r="N9" s="38">
        <v>43197</v>
      </c>
      <c r="O9" s="38">
        <v>2950000</v>
      </c>
      <c r="P9" s="6">
        <f t="shared" si="4"/>
        <v>1125931170</v>
      </c>
    </row>
    <row r="10" spans="1:21" x14ac:dyDescent="0.3">
      <c r="A10">
        <f>'Purchased Power Model '!A213</f>
        <v>2006</v>
      </c>
      <c r="B10" s="6">
        <f>'Purchased Power Model '!B213</f>
        <v>1151360440</v>
      </c>
      <c r="C10" s="6">
        <f>'Purchased Power Model '!H213</f>
        <v>1167569771.1626649</v>
      </c>
      <c r="D10" s="36">
        <f t="shared" si="5"/>
        <v>16209331.16266489</v>
      </c>
      <c r="E10" s="5">
        <f t="shared" si="6"/>
        <v>1.4078415932603078E-2</v>
      </c>
      <c r="F10" s="50">
        <f t="shared" si="2"/>
        <v>1.0363623127129424</v>
      </c>
      <c r="G10" s="54">
        <f t="shared" si="3"/>
        <v>1110963247</v>
      </c>
      <c r="H10" s="38">
        <f>Residential!B213-N10</f>
        <v>466401366</v>
      </c>
      <c r="I10" s="38">
        <f>'GS &lt; 50 kW'!B213</f>
        <v>134155770</v>
      </c>
      <c r="J10" s="38">
        <f>'GS &gt; 50 kW'!B213</f>
        <v>357086593</v>
      </c>
      <c r="K10" s="38">
        <f>'Large User'!B213</f>
        <v>59654446</v>
      </c>
      <c r="L10" s="38">
        <f>'I2'!B213</f>
        <v>80518764</v>
      </c>
      <c r="M10" s="38">
        <f>Streetlights!B213</f>
        <v>9398525</v>
      </c>
      <c r="N10" s="38">
        <v>42595</v>
      </c>
      <c r="O10" s="38">
        <f>USL!B213</f>
        <v>3705188</v>
      </c>
      <c r="P10" s="6">
        <f t="shared" si="4"/>
        <v>1110963247</v>
      </c>
    </row>
    <row r="11" spans="1:21" x14ac:dyDescent="0.3">
      <c r="A11">
        <f>'Purchased Power Model '!A214</f>
        <v>2007</v>
      </c>
      <c r="B11" s="6">
        <f>'Purchased Power Model '!B214</f>
        <v>1191153590</v>
      </c>
      <c r="C11" s="6">
        <f>'Purchased Power Model '!H214</f>
        <v>1143276288.5600548</v>
      </c>
      <c r="D11" s="36">
        <f t="shared" si="5"/>
        <v>-47877301.439945221</v>
      </c>
      <c r="E11" s="5">
        <f t="shared" si="6"/>
        <v>-4.0194062161156917E-2</v>
      </c>
      <c r="F11" s="50">
        <f t="shared" si="2"/>
        <v>1.0414361864542629</v>
      </c>
      <c r="G11" s="54">
        <f t="shared" si="3"/>
        <v>1143760516</v>
      </c>
      <c r="H11" s="38">
        <f>Residential!B214-N11</f>
        <v>473023155</v>
      </c>
      <c r="I11" s="38">
        <f>'GS &lt; 50 kW'!B214</f>
        <v>132346004</v>
      </c>
      <c r="J11" s="38">
        <f>'GS &gt; 50 kW'!B214</f>
        <v>359144720</v>
      </c>
      <c r="K11" s="38">
        <f>'Large User'!B214</f>
        <v>61811846</v>
      </c>
      <c r="L11" s="38">
        <f>'I2'!B214</f>
        <v>103869997</v>
      </c>
      <c r="M11" s="38">
        <f>Streetlights!B214</f>
        <v>9704521</v>
      </c>
      <c r="N11" s="38">
        <v>41408</v>
      </c>
      <c r="O11" s="38">
        <f>USL!B214</f>
        <v>3818865</v>
      </c>
      <c r="P11" s="6">
        <f t="shared" si="4"/>
        <v>1143760516</v>
      </c>
    </row>
    <row r="12" spans="1:21" x14ac:dyDescent="0.3">
      <c r="A12">
        <f>'Purchased Power Model '!A215</f>
        <v>2008</v>
      </c>
      <c r="B12" s="6">
        <f>'Purchased Power Model '!B215</f>
        <v>1158881926</v>
      </c>
      <c r="C12" s="6">
        <f>'Purchased Power Model '!H215</f>
        <v>1104122225.6612682</v>
      </c>
      <c r="D12" s="36">
        <f t="shared" si="5"/>
        <v>-54759700.338731766</v>
      </c>
      <c r="E12" s="5">
        <f t="shared" si="6"/>
        <v>-4.7252182565087106E-2</v>
      </c>
      <c r="F12" s="50">
        <f t="shared" si="2"/>
        <v>1.0372616891134989</v>
      </c>
      <c r="G12" s="54">
        <f t="shared" si="3"/>
        <v>1117251257</v>
      </c>
      <c r="H12" s="38">
        <f>Residential!B215-N12</f>
        <v>470718851</v>
      </c>
      <c r="I12" s="38">
        <f>'GS &lt; 50 kW'!B215</f>
        <v>131868017</v>
      </c>
      <c r="J12" s="38">
        <f>'GS &gt; 50 kW'!B215</f>
        <v>352632150</v>
      </c>
      <c r="K12" s="38">
        <f>'Large User'!B215</f>
        <v>46461021</v>
      </c>
      <c r="L12" s="38">
        <f>'I2'!B215</f>
        <v>102433272</v>
      </c>
      <c r="M12" s="38">
        <f>Streetlights!B215</f>
        <v>9725840</v>
      </c>
      <c r="N12" s="38">
        <v>39233</v>
      </c>
      <c r="O12" s="38">
        <f>USL!B215</f>
        <v>3372873</v>
      </c>
      <c r="P12" s="6">
        <f t="shared" si="4"/>
        <v>1117251257</v>
      </c>
    </row>
    <row r="13" spans="1:21" x14ac:dyDescent="0.3">
      <c r="A13">
        <f>'Purchased Power Model '!A216</f>
        <v>2009</v>
      </c>
      <c r="B13" s="6">
        <f>'Purchased Power Model '!B216</f>
        <v>1128390784.5107694</v>
      </c>
      <c r="C13" s="6">
        <f>'Purchased Power Model '!H216</f>
        <v>1123059224.0894532</v>
      </c>
      <c r="D13" s="36">
        <f t="shared" si="5"/>
        <v>-5331560.4213161469</v>
      </c>
      <c r="E13" s="5">
        <f t="shared" si="6"/>
        <v>-4.7249237538108078E-3</v>
      </c>
      <c r="F13" s="50">
        <f t="shared" si="2"/>
        <v>1.0422349455190318</v>
      </c>
      <c r="G13" s="54">
        <f t="shared" si="3"/>
        <v>1082664508</v>
      </c>
      <c r="H13" s="38">
        <f>Residential!B216-N13</f>
        <v>467977819</v>
      </c>
      <c r="I13" s="38">
        <f>'GS &lt; 50 kW'!B216</f>
        <v>128019505</v>
      </c>
      <c r="J13" s="38">
        <f>'GS &gt; 50 kW'!B216</f>
        <v>349784301</v>
      </c>
      <c r="K13" s="38">
        <f>'Large User'!B216</f>
        <v>36580289</v>
      </c>
      <c r="L13" s="38">
        <f>'I2'!B216</f>
        <v>87237589</v>
      </c>
      <c r="M13" s="38">
        <f>Streetlights!B216</f>
        <v>10202758</v>
      </c>
      <c r="N13" s="38">
        <v>36792</v>
      </c>
      <c r="O13" s="38">
        <f>USL!B216</f>
        <v>2825455</v>
      </c>
      <c r="P13" s="6">
        <f t="shared" si="4"/>
        <v>1082664508</v>
      </c>
    </row>
    <row r="14" spans="1:21" x14ac:dyDescent="0.3">
      <c r="A14">
        <f>'Purchased Power Model '!A217</f>
        <v>2010</v>
      </c>
      <c r="B14" s="6">
        <f>'Purchased Power Model '!B217</f>
        <v>1148489331.8146157</v>
      </c>
      <c r="C14" s="6">
        <f>'Purchased Power Model '!H217</f>
        <v>1129587697.9506867</v>
      </c>
      <c r="D14" s="36">
        <f t="shared" si="5"/>
        <v>-18901633.863929033</v>
      </c>
      <c r="E14" s="5">
        <f t="shared" si="6"/>
        <v>-1.645782275928015E-2</v>
      </c>
      <c r="F14" s="50">
        <f t="shared" si="2"/>
        <v>1.052753523421738</v>
      </c>
      <c r="G14" s="54">
        <f t="shared" si="3"/>
        <v>1090938483</v>
      </c>
      <c r="H14" s="38">
        <f>Residential!B217-N14</f>
        <v>476941035</v>
      </c>
      <c r="I14" s="38">
        <f>'GS &lt; 50 kW'!B217</f>
        <v>131282103</v>
      </c>
      <c r="J14" s="38">
        <f>'GS &gt; 50 kW'!B217</f>
        <v>355234224</v>
      </c>
      <c r="K14" s="38">
        <f>'Large User'!B217</f>
        <v>33402763</v>
      </c>
      <c r="L14" s="38">
        <f>'I2'!B217</f>
        <v>80783141</v>
      </c>
      <c r="M14" s="38">
        <f>Streetlights!B217</f>
        <v>10427904</v>
      </c>
      <c r="N14" s="38">
        <v>35812</v>
      </c>
      <c r="O14" s="38">
        <f>USL!B217</f>
        <v>2831501</v>
      </c>
      <c r="P14" s="6">
        <f t="shared" si="4"/>
        <v>1090938483</v>
      </c>
    </row>
    <row r="15" spans="1:21" x14ac:dyDescent="0.3">
      <c r="A15">
        <f>'Purchased Power Model '!A218</f>
        <v>2011</v>
      </c>
      <c r="B15" s="6">
        <f>'Purchased Power Model '!B218</f>
        <v>1148632387.3953846</v>
      </c>
      <c r="C15" s="6">
        <f>'Purchased Power Model '!H218</f>
        <v>1161830633.4946833</v>
      </c>
      <c r="D15" s="36">
        <f t="shared" si="5"/>
        <v>13198246.099298716</v>
      </c>
      <c r="E15" s="5">
        <f t="shared" si="6"/>
        <v>1.1490400448507977E-2</v>
      </c>
      <c r="F15" s="50">
        <f t="shared" si="2"/>
        <v>1.0343204804658166</v>
      </c>
      <c r="G15" s="54">
        <f t="shared" ref="G15:G17" si="7">SUM(H15:O15)</f>
        <v>1110518847</v>
      </c>
      <c r="H15" s="38">
        <f>Residential!B218-N15</f>
        <v>484582022</v>
      </c>
      <c r="I15" s="38">
        <f>'GS &lt; 50 kW'!B218</f>
        <v>135695878</v>
      </c>
      <c r="J15" s="38">
        <f>'GS &gt; 50 kW'!B218</f>
        <v>359534375</v>
      </c>
      <c r="K15" s="38">
        <f>'Large User'!B218</f>
        <v>37740699</v>
      </c>
      <c r="L15" s="38">
        <f>'I2'!B218</f>
        <v>79908016</v>
      </c>
      <c r="M15" s="38">
        <f>Streetlights!B218</f>
        <v>10253017</v>
      </c>
      <c r="N15" s="38">
        <v>35812</v>
      </c>
      <c r="O15" s="38">
        <f>USL!B218</f>
        <v>2769028</v>
      </c>
      <c r="P15" s="6">
        <f t="shared" si="4"/>
        <v>1110518847</v>
      </c>
    </row>
    <row r="16" spans="1:21" x14ac:dyDescent="0.3">
      <c r="A16">
        <f>'Purchased Power Model '!A219</f>
        <v>2012</v>
      </c>
      <c r="B16" s="6">
        <f>'Purchased Power Model '!B219</f>
        <v>1136211952.670979</v>
      </c>
      <c r="C16" s="6">
        <f>'Purchased Power Model '!H219</f>
        <v>1150989222.1932878</v>
      </c>
      <c r="D16" s="36">
        <f t="shared" si="5"/>
        <v>14777269.522308826</v>
      </c>
      <c r="E16" s="5">
        <f t="shared" si="6"/>
        <v>1.3005733206353608E-2</v>
      </c>
      <c r="F16" s="50">
        <f t="shared" si="2"/>
        <v>1.0581384050896951</v>
      </c>
      <c r="G16" s="54">
        <f t="shared" si="7"/>
        <v>1073783871</v>
      </c>
      <c r="H16" s="38">
        <f>Residential!B219-N16</f>
        <v>473288468</v>
      </c>
      <c r="I16" s="38">
        <f>'GS &lt; 50 kW'!B219</f>
        <v>131590801</v>
      </c>
      <c r="J16" s="38">
        <f>'GS &gt; 50 kW'!B219</f>
        <v>338342507</v>
      </c>
      <c r="K16" s="38">
        <f>'Large User'!B219</f>
        <v>40812737</v>
      </c>
      <c r="L16" s="38">
        <f>'I2'!B219</f>
        <v>76828137</v>
      </c>
      <c r="M16" s="38">
        <f>Streetlights!B219</f>
        <v>10139708</v>
      </c>
      <c r="N16" s="38">
        <v>35812</v>
      </c>
      <c r="O16" s="38">
        <f>USL!B219</f>
        <v>2745701</v>
      </c>
      <c r="P16" s="6">
        <f t="shared" si="4"/>
        <v>1073783871</v>
      </c>
    </row>
    <row r="17" spans="1:17" x14ac:dyDescent="0.3">
      <c r="A17">
        <f>'Purchased Power Model '!A220</f>
        <v>2013</v>
      </c>
      <c r="B17" s="6">
        <f>'Purchased Power Model '!B220</f>
        <v>1130407041.6666667</v>
      </c>
      <c r="C17" s="6">
        <f ca="1">'Purchased Power Model '!H220</f>
        <v>1157767974.9881625</v>
      </c>
      <c r="D17" s="36">
        <f t="shared" ca="1" si="5"/>
        <v>27360933.321495771</v>
      </c>
      <c r="E17" s="5">
        <f t="shared" ca="1" si="6"/>
        <v>2.4204496533527377E-2</v>
      </c>
      <c r="F17" s="50">
        <f t="shared" si="2"/>
        <v>1.0484582752843845</v>
      </c>
      <c r="G17" s="54">
        <f t="shared" si="7"/>
        <v>1078161209</v>
      </c>
      <c r="H17" s="38">
        <f>Residential!B220-N17</f>
        <v>475282449</v>
      </c>
      <c r="I17" s="38">
        <f>'GS &lt; 50 kW'!B220</f>
        <v>132382128</v>
      </c>
      <c r="J17" s="38">
        <f>'GS &gt; 50 kW'!B220</f>
        <v>337123668</v>
      </c>
      <c r="K17" s="38">
        <f>'Large User'!B220</f>
        <v>42326219</v>
      </c>
      <c r="L17" s="38">
        <f>'I2'!B220</f>
        <v>79176233</v>
      </c>
      <c r="M17" s="38">
        <f>Streetlights!B220</f>
        <v>9082284</v>
      </c>
      <c r="N17" s="38">
        <v>35812</v>
      </c>
      <c r="O17" s="38">
        <f>USL!B220</f>
        <v>2752416</v>
      </c>
      <c r="P17" s="6">
        <f t="shared" si="4"/>
        <v>1078161209</v>
      </c>
    </row>
    <row r="18" spans="1:17" x14ac:dyDescent="0.3">
      <c r="A18">
        <f>'Purchased Power Model '!A221</f>
        <v>2014</v>
      </c>
      <c r="B18" s="6">
        <f>'Purchased Power Model '!B221</f>
        <v>1134970142.7733078</v>
      </c>
      <c r="C18" s="27">
        <f>'Purchased Power Model '!H221</f>
        <v>1171374402.7386408</v>
      </c>
      <c r="D18" s="36">
        <f t="shared" si="5"/>
        <v>36404259.965332985</v>
      </c>
      <c r="E18" s="5">
        <f t="shared" ref="E18" si="8">D18/B18</f>
        <v>3.2075081619661737E-2</v>
      </c>
      <c r="F18" s="50">
        <f t="shared" ref="F18" si="9">1 +(B18-G18)/G18</f>
        <v>1.0396904271675524</v>
      </c>
      <c r="G18" s="54">
        <f t="shared" ref="G18" si="10">SUM(H18:O18)</f>
        <v>1091642390</v>
      </c>
      <c r="H18" s="38">
        <f>Residential!B221-N18</f>
        <v>485503507</v>
      </c>
      <c r="I18" s="38">
        <f>'GS &lt; 50 kW'!B221</f>
        <v>133729082</v>
      </c>
      <c r="J18" s="38">
        <f>'GS &gt; 50 kW'!B221</f>
        <v>336406114</v>
      </c>
      <c r="K18" s="38">
        <f>'Large User'!B221</f>
        <v>42700435</v>
      </c>
      <c r="L18" s="38">
        <f>'I2'!B221</f>
        <v>81400346</v>
      </c>
      <c r="M18" s="38">
        <f>Streetlights!B221</f>
        <v>9155875</v>
      </c>
      <c r="N18" s="38">
        <v>35812</v>
      </c>
      <c r="O18" s="38">
        <f>USL!B221</f>
        <v>2711219</v>
      </c>
      <c r="P18" s="6">
        <f t="shared" ref="P18" si="11">SUM(H18:O18)</f>
        <v>1091642390</v>
      </c>
      <c r="Q18" s="6">
        <f>+P18-G18</f>
        <v>0</v>
      </c>
    </row>
    <row r="19" spans="1:17" x14ac:dyDescent="0.3">
      <c r="A19">
        <f>'Purchased Power Model '!A222</f>
        <v>2015</v>
      </c>
      <c r="B19" s="6">
        <f ca="1">'Purchased Power Model '!B222</f>
        <v>1155140188.5772896</v>
      </c>
      <c r="C19" s="403">
        <f ca="1">'Purchased Power Model '!H222</f>
        <v>1155140188.5772896</v>
      </c>
      <c r="D19" s="36">
        <f t="shared" ca="1" si="5"/>
        <v>0</v>
      </c>
      <c r="E19" s="5"/>
      <c r="F19" s="182"/>
      <c r="G19" s="21">
        <f t="shared" ref="G19:G23" ca="1" si="12">C19/$F$25</f>
        <v>1101602316.0187771</v>
      </c>
      <c r="H19" s="6">
        <f t="shared" ref="H19:O23" ca="1" si="13">+H73</f>
        <v>492350099.72870588</v>
      </c>
      <c r="I19" s="6">
        <f t="shared" ca="1" si="13"/>
        <v>134576529.59971598</v>
      </c>
      <c r="J19" s="6">
        <f t="shared" ca="1" si="13"/>
        <v>337701419.28615123</v>
      </c>
      <c r="K19" s="6">
        <f t="shared" ca="1" si="13"/>
        <v>43077959.531164952</v>
      </c>
      <c r="L19" s="6">
        <f t="shared" ca="1" si="13"/>
        <v>81811404.622764692</v>
      </c>
      <c r="M19" s="6">
        <f t="shared" ca="1" si="13"/>
        <v>9336096.1189408582</v>
      </c>
      <c r="N19" s="6">
        <f t="shared" ca="1" si="13"/>
        <v>34649.788587785748</v>
      </c>
      <c r="O19" s="6">
        <f t="shared" ca="1" si="13"/>
        <v>2714157.3427455146</v>
      </c>
      <c r="P19" s="6">
        <f t="shared" ref="P19:P23" ca="1" si="14">SUM(H19:O19)</f>
        <v>1101602316.0187769</v>
      </c>
      <c r="Q19" s="6">
        <f t="shared" ref="Q19:Q23" ca="1" si="15">+P19-G19</f>
        <v>0</v>
      </c>
    </row>
    <row r="20" spans="1:17" x14ac:dyDescent="0.3">
      <c r="A20">
        <f>'Purchased Power Model '!A223</f>
        <v>2016</v>
      </c>
      <c r="B20" s="6">
        <f ca="1">'Purchased Power Model '!B223</f>
        <v>1164535979.6181116</v>
      </c>
      <c r="C20" s="403">
        <f ca="1">'Purchased Power Model '!H223</f>
        <v>1164535979.6181116</v>
      </c>
      <c r="D20" s="36">
        <f t="shared" ca="1" si="5"/>
        <v>0</v>
      </c>
      <c r="E20" s="5"/>
      <c r="F20" s="182"/>
      <c r="G20" s="21">
        <f t="shared" ca="1" si="12"/>
        <v>1110562635.531291</v>
      </c>
      <c r="H20" s="6">
        <f t="shared" ca="1" si="13"/>
        <v>498749081.10270017</v>
      </c>
      <c r="I20" s="6">
        <f t="shared" ca="1" si="13"/>
        <v>135281747.78557763</v>
      </c>
      <c r="J20" s="6">
        <f t="shared" ca="1" si="13"/>
        <v>338655233.62965429</v>
      </c>
      <c r="K20" s="6">
        <f t="shared" ca="1" si="13"/>
        <v>43458821.844992571</v>
      </c>
      <c r="L20" s="6">
        <f t="shared" ca="1" si="13"/>
        <v>82147262.354926825</v>
      </c>
      <c r="M20" s="6">
        <f t="shared" ca="1" si="13"/>
        <v>9519864.6488841902</v>
      </c>
      <c r="N20" s="6">
        <f t="shared" ca="1" si="13"/>
        <v>33525.294571044557</v>
      </c>
      <c r="O20" s="6">
        <f t="shared" ca="1" si="13"/>
        <v>2717098.8699840889</v>
      </c>
      <c r="P20" s="6">
        <f t="shared" ca="1" si="14"/>
        <v>1110562635.531291</v>
      </c>
      <c r="Q20" s="6">
        <f t="shared" ca="1" si="15"/>
        <v>0</v>
      </c>
    </row>
    <row r="21" spans="1:17" x14ac:dyDescent="0.3">
      <c r="A21">
        <f>'Purchased Power Model '!A224</f>
        <v>2017</v>
      </c>
      <c r="B21" s="6">
        <f ca="1">'Purchased Power Model '!B224</f>
        <v>1167582687.2429476</v>
      </c>
      <c r="C21" s="403">
        <f ca="1">'Purchased Power Model '!H224</f>
        <v>1167582687.2429476</v>
      </c>
      <c r="D21" s="36">
        <f t="shared" ca="1" si="5"/>
        <v>0</v>
      </c>
      <c r="E21" s="5"/>
      <c r="F21" s="182"/>
      <c r="G21" s="21">
        <f t="shared" ca="1" si="12"/>
        <v>1113468135.8410716</v>
      </c>
      <c r="H21" s="6">
        <f t="shared" ca="1" si="13"/>
        <v>502218257.76489985</v>
      </c>
      <c r="I21" s="6">
        <f t="shared" ca="1" si="13"/>
        <v>135179674.56938407</v>
      </c>
      <c r="J21" s="6">
        <f t="shared" ca="1" si="13"/>
        <v>337708879.84970886</v>
      </c>
      <c r="K21" s="6">
        <f t="shared" ca="1" si="13"/>
        <v>43843051.451599903</v>
      </c>
      <c r="L21" s="6">
        <f t="shared" ca="1" si="13"/>
        <v>82058540.91055204</v>
      </c>
      <c r="M21" s="6">
        <f t="shared" ca="1" si="13"/>
        <v>9707250.415857574</v>
      </c>
      <c r="N21" s="6">
        <f t="shared" ca="1" si="13"/>
        <v>32437.293902321435</v>
      </c>
      <c r="O21" s="6">
        <f t="shared" ca="1" si="13"/>
        <v>2720043.5851669875</v>
      </c>
      <c r="P21" s="6">
        <f t="shared" ca="1" si="14"/>
        <v>1113468135.8410718</v>
      </c>
      <c r="Q21" s="6">
        <f t="shared" ca="1" si="15"/>
        <v>0</v>
      </c>
    </row>
    <row r="22" spans="1:17" x14ac:dyDescent="0.3">
      <c r="A22">
        <f>'Purchased Power Model '!A225</f>
        <v>2018</v>
      </c>
      <c r="B22" s="6">
        <f ca="1">'Purchased Power Model '!B225</f>
        <v>1170520918.3295219</v>
      </c>
      <c r="C22" s="403">
        <f ca="1">'Purchased Power Model '!H225</f>
        <v>1170520918.3295219</v>
      </c>
      <c r="D22" s="36">
        <f t="shared" ca="1" si="5"/>
        <v>0</v>
      </c>
      <c r="E22" s="5"/>
      <c r="F22" s="182"/>
      <c r="G22" s="21">
        <f t="shared" ca="1" si="12"/>
        <v>1116270187.2301373</v>
      </c>
      <c r="H22" s="6">
        <f t="shared" ca="1" si="13"/>
        <v>505643896.60431212</v>
      </c>
      <c r="I22" s="6">
        <f t="shared" ca="1" si="13"/>
        <v>135059603.81185836</v>
      </c>
      <c r="J22" s="6">
        <f t="shared" ca="1" si="13"/>
        <v>336722871.31391472</v>
      </c>
      <c r="K22" s="6">
        <f t="shared" ca="1" si="13"/>
        <v>44230678.122009844</v>
      </c>
      <c r="L22" s="6">
        <f t="shared" ca="1" si="13"/>
        <v>81960436.663714439</v>
      </c>
      <c r="M22" s="6">
        <f t="shared" ca="1" si="13"/>
        <v>9898324.6203202773</v>
      </c>
      <c r="N22" s="6">
        <f t="shared" ca="1" si="13"/>
        <v>31384.602258329876</v>
      </c>
      <c r="O22" s="6">
        <f t="shared" ca="1" si="13"/>
        <v>2722991.4917492145</v>
      </c>
      <c r="P22" s="6">
        <f t="shared" ca="1" si="14"/>
        <v>1116270187.2301376</v>
      </c>
      <c r="Q22" s="6">
        <f t="shared" ca="1" si="15"/>
        <v>0</v>
      </c>
    </row>
    <row r="23" spans="1:17" x14ac:dyDescent="0.3">
      <c r="A23">
        <f>'Purchased Power Model '!A226</f>
        <v>2019</v>
      </c>
      <c r="B23" s="6">
        <f ca="1">'Purchased Power Model '!B226</f>
        <v>1177836560.5808876</v>
      </c>
      <c r="C23" s="403">
        <f ca="1">'Purchased Power Model '!H226</f>
        <v>1177836560.5808876</v>
      </c>
      <c r="D23" s="36">
        <f t="shared" ca="1" si="5"/>
        <v>0</v>
      </c>
      <c r="E23" s="5"/>
      <c r="F23" s="182"/>
      <c r="G23" s="21">
        <f t="shared" ca="1" si="12"/>
        <v>1123246767.6720271</v>
      </c>
      <c r="H23" s="6">
        <f t="shared" ca="1" si="13"/>
        <v>511139103.17152613</v>
      </c>
      <c r="I23" s="6">
        <f t="shared" ca="1" si="13"/>
        <v>135482003.73581976</v>
      </c>
      <c r="J23" s="6">
        <f t="shared" ca="1" si="13"/>
        <v>337007261.90194863</v>
      </c>
      <c r="K23" s="6">
        <f t="shared" ca="1" si="13"/>
        <v>44621731.890457861</v>
      </c>
      <c r="L23" s="6">
        <f t="shared" ca="1" si="13"/>
        <v>82147198.441117555</v>
      </c>
      <c r="M23" s="6">
        <f t="shared" ca="1" si="13"/>
        <v>10093159.864217116</v>
      </c>
      <c r="N23" s="6">
        <f t="shared" ca="1" si="13"/>
        <v>30366.073750778327</v>
      </c>
      <c r="O23" s="6">
        <f t="shared" ca="1" si="13"/>
        <v>2725942.5931895184</v>
      </c>
      <c r="P23" s="6">
        <f t="shared" ca="1" si="14"/>
        <v>1123246767.6720271</v>
      </c>
      <c r="Q23" s="6">
        <f t="shared" ca="1" si="15"/>
        <v>0</v>
      </c>
    </row>
    <row r="25" spans="1:17" x14ac:dyDescent="0.3">
      <c r="A25" s="19" t="s">
        <v>12</v>
      </c>
      <c r="E25" s="406" t="s">
        <v>289</v>
      </c>
      <c r="F25" s="196">
        <v>1.0486</v>
      </c>
      <c r="G25" s="184" t="s">
        <v>204</v>
      </c>
      <c r="H25" s="184"/>
      <c r="I25" s="184"/>
      <c r="J25" s="184"/>
    </row>
    <row r="26" spans="1:17" x14ac:dyDescent="0.3">
      <c r="E26" t="s">
        <v>74</v>
      </c>
      <c r="F26" s="196">
        <v>1.0449999999999999</v>
      </c>
      <c r="G26" s="184" t="s">
        <v>205</v>
      </c>
      <c r="H26" s="184"/>
      <c r="I26" s="184"/>
      <c r="J26" s="184"/>
    </row>
    <row r="27" spans="1:17" x14ac:dyDescent="0.3">
      <c r="E27"/>
      <c r="G27" s="195" t="s">
        <v>104</v>
      </c>
      <c r="H27" s="184"/>
      <c r="I27" s="184"/>
      <c r="J27" s="184"/>
    </row>
    <row r="28" spans="1:17" x14ac:dyDescent="0.3">
      <c r="A28" s="22" t="s">
        <v>14</v>
      </c>
      <c r="B28" s="13"/>
    </row>
    <row r="30" spans="1:17" x14ac:dyDescent="0.3">
      <c r="A30">
        <f t="shared" ref="A30:A39" si="16">A7</f>
        <v>2003</v>
      </c>
      <c r="G30" s="27">
        <f>G7/'Rate Class Customer Model'!J3</f>
        <v>19614.052803202179</v>
      </c>
      <c r="H30" s="27">
        <f>H7/'Rate Class Customer Model'!B3</f>
        <v>10563.762370295133</v>
      </c>
      <c r="I30" s="27">
        <f>I7/'Rate Class Customer Model'!C3</f>
        <v>32861.114936297097</v>
      </c>
      <c r="J30" s="27">
        <f>J7/'Rate Class Customer Model'!D3</f>
        <v>503120.08139534883</v>
      </c>
      <c r="K30" s="27">
        <f>K7/'Rate Class Customer Model'!E3</f>
        <v>67702885</v>
      </c>
      <c r="L30" s="27">
        <f>L7/'Rate Class Customer Model'!F3</f>
        <v>19234418.199999999</v>
      </c>
      <c r="M30" s="27">
        <f>M7/'Rate Class Customer Model'!G3</f>
        <v>831.07470921562776</v>
      </c>
      <c r="N30" s="27">
        <f>N7/'Rate Class Customer Model'!H3</f>
        <v>1320.0289855072465</v>
      </c>
      <c r="O30" s="27">
        <f>O7/'Rate Class Customer Model'!I3</f>
        <v>10000</v>
      </c>
      <c r="P30" s="27">
        <f>P7/'Rate Class Customer Model'!J3</f>
        <v>19614.052803202179</v>
      </c>
    </row>
    <row r="31" spans="1:17" x14ac:dyDescent="0.3">
      <c r="A31">
        <f t="shared" si="16"/>
        <v>2004</v>
      </c>
      <c r="G31" s="27">
        <f>G8/'Rate Class Customer Model'!J4</f>
        <v>19211.491696196583</v>
      </c>
      <c r="H31" s="27">
        <f>H8/'Rate Class Customer Model'!B4</f>
        <v>10189.721552086768</v>
      </c>
      <c r="I31" s="27">
        <f>I8/'Rate Class Customer Model'!C4</f>
        <v>35846.819247208055</v>
      </c>
      <c r="J31" s="27">
        <f>J8/'Rate Class Customer Model'!D4</f>
        <v>680437.69811320759</v>
      </c>
      <c r="K31" s="27">
        <f>K8/'Rate Class Customer Model'!E4</f>
        <v>44857678.399999999</v>
      </c>
      <c r="L31" s="27">
        <f>L8/'Rate Class Customer Model'!F4</f>
        <v>10946011.333333334</v>
      </c>
      <c r="M31" s="27">
        <f>M8/'Rate Class Customer Model'!G4</f>
        <v>851.98782532385439</v>
      </c>
      <c r="N31" s="27">
        <f>N8/'Rate Class Customer Model'!H4</f>
        <v>927.36666666666667</v>
      </c>
      <c r="O31" s="27">
        <f>O8/'Rate Class Customer Model'!I4</f>
        <v>10000</v>
      </c>
      <c r="P31" s="27">
        <f>P8/'Rate Class Customer Model'!J4</f>
        <v>19211.491696196583</v>
      </c>
    </row>
    <row r="32" spans="1:17" x14ac:dyDescent="0.3">
      <c r="A32">
        <f t="shared" si="16"/>
        <v>2005</v>
      </c>
      <c r="G32" s="27">
        <f>G9/'Rate Class Customer Model'!J5</f>
        <v>18886.867624487331</v>
      </c>
      <c r="H32" s="27">
        <f>H9/'Rate Class Customer Model'!B5</f>
        <v>10896.364317185555</v>
      </c>
      <c r="I32" s="27">
        <f>I9/'Rate Class Customer Model'!C5</f>
        <v>37113.333697433096</v>
      </c>
      <c r="J32" s="27">
        <f>J9/'Rate Class Customer Model'!D5</f>
        <v>694079.90220517735</v>
      </c>
      <c r="K32" s="27">
        <f>K9/'Rate Class Customer Model'!E5</f>
        <v>31452416.5</v>
      </c>
      <c r="L32" s="27">
        <f>L9/'Rate Class Customer Model'!F5</f>
        <v>8935594.8000000007</v>
      </c>
      <c r="M32" s="27">
        <f>M9/'Rate Class Customer Model'!G5</f>
        <v>874.69428966042767</v>
      </c>
      <c r="N32" s="27">
        <f>N9/'Rate Class Customer Model'!H5</f>
        <v>1464.3050847457628</v>
      </c>
      <c r="O32" s="27">
        <f>O9/'Rate Class Customer Model'!I5</f>
        <v>10000</v>
      </c>
      <c r="P32" s="27">
        <f>P9/'Rate Class Customer Model'!J5</f>
        <v>18886.867624487331</v>
      </c>
    </row>
    <row r="33" spans="1:16" x14ac:dyDescent="0.3">
      <c r="A33">
        <f t="shared" si="16"/>
        <v>2006</v>
      </c>
      <c r="G33" s="27">
        <f>G10/'Rate Class Customer Model'!J6</f>
        <v>18250.65911536408</v>
      </c>
      <c r="H33" s="27">
        <f>H10/'Rate Class Customer Model'!B6</f>
        <v>10264.340456436101</v>
      </c>
      <c r="I33" s="27">
        <f>I10/'Rate Class Customer Model'!C6</f>
        <v>35865.731854030208</v>
      </c>
      <c r="J33" s="27">
        <f>J10/'Rate Class Customer Model'!D6</f>
        <v>680164.939047619</v>
      </c>
      <c r="K33" s="27">
        <f>K10/'Rate Class Customer Model'!E6</f>
        <v>29827223</v>
      </c>
      <c r="L33" s="27">
        <f>L10/'Rate Class Customer Model'!F6</f>
        <v>9472795.7647058815</v>
      </c>
      <c r="M33" s="27">
        <f>M10/'Rate Class Customer Model'!G6</f>
        <v>867.7430523497369</v>
      </c>
      <c r="N33" s="27">
        <f>N10/'Rate Class Customer Model'!H6</f>
        <v>1494.5614035087719</v>
      </c>
      <c r="O33" s="27">
        <f>O10/'Rate Class Customer Model'!I6</f>
        <v>12433.51677852349</v>
      </c>
      <c r="P33" s="27">
        <f>P10/'Rate Class Customer Model'!J6</f>
        <v>18250.65911536408</v>
      </c>
    </row>
    <row r="34" spans="1:16" x14ac:dyDescent="0.3">
      <c r="A34">
        <f t="shared" si="16"/>
        <v>2007</v>
      </c>
      <c r="G34" s="27">
        <f>G11/'Rate Class Customer Model'!J7</f>
        <v>18385.181334490684</v>
      </c>
      <c r="H34" s="27">
        <f>H11/'Rate Class Customer Model'!B7</f>
        <v>10212.071567357512</v>
      </c>
      <c r="I34" s="27">
        <f>I11/'Rate Class Customer Model'!C7</f>
        <v>35301.681515070683</v>
      </c>
      <c r="J34" s="27">
        <f>J11/'Rate Class Customer Model'!D7</f>
        <v>686701.18546845124</v>
      </c>
      <c r="K34" s="27">
        <f>K11/'Rate Class Customer Model'!E7</f>
        <v>30905923</v>
      </c>
      <c r="L34" s="27">
        <f>L11/'Rate Class Customer Model'!F7</f>
        <v>11541110.777777778</v>
      </c>
      <c r="M34" s="27">
        <f>M11/'Rate Class Customer Model'!G7</f>
        <v>860.29174238730548</v>
      </c>
      <c r="N34" s="27">
        <f>N11/'Rate Class Customer Model'!H7</f>
        <v>1562.566037735849</v>
      </c>
      <c r="O34" s="27">
        <f>O11/'Rate Class Customer Model'!I7</f>
        <v>12687.259136212624</v>
      </c>
      <c r="P34" s="27">
        <f>P11/'Rate Class Customer Model'!J7</f>
        <v>18385.181334490684</v>
      </c>
    </row>
    <row r="35" spans="1:16" x14ac:dyDescent="0.3">
      <c r="A35">
        <f t="shared" si="16"/>
        <v>2008</v>
      </c>
      <c r="G35" s="27">
        <f>G12/'Rate Class Customer Model'!J8</f>
        <v>17637.699516137945</v>
      </c>
      <c r="H35" s="27">
        <f>H12/'Rate Class Customer Model'!B8</f>
        <v>10003.056919725866</v>
      </c>
      <c r="I35" s="27">
        <f>I12/'Rate Class Customer Model'!C8</f>
        <v>34761.570317648606</v>
      </c>
      <c r="J35" s="27">
        <f>J12/'Rate Class Customer Model'!D8</f>
        <v>660978.72539831302</v>
      </c>
      <c r="K35" s="27">
        <f>K12/'Rate Class Customer Model'!E8</f>
        <v>18584408.399999999</v>
      </c>
      <c r="L35" s="27">
        <f>L12/'Rate Class Customer Model'!F8</f>
        <v>11381474.666666666</v>
      </c>
      <c r="M35" s="27">
        <f>M12/'Rate Class Customer Model'!G8</f>
        <v>836.88336273286586</v>
      </c>
      <c r="N35" s="27">
        <f>N12/'Rate Class Customer Model'!H8</f>
        <v>1508.9615384615386</v>
      </c>
      <c r="O35" s="27">
        <f>O12/'Rate Class Customer Model'!I8</f>
        <v>11205.558139534884</v>
      </c>
      <c r="P35" s="27">
        <f>P12/'Rate Class Customer Model'!J8</f>
        <v>17637.699516137945</v>
      </c>
    </row>
    <row r="36" spans="1:16" x14ac:dyDescent="0.3">
      <c r="A36">
        <f t="shared" si="16"/>
        <v>2009</v>
      </c>
      <c r="G36" s="27">
        <f>G13/'Rate Class Customer Model'!J9</f>
        <v>16882.867203093814</v>
      </c>
      <c r="H36" s="27">
        <f>H13/'Rate Class Customer Model'!B9</f>
        <v>9830.9504542828636</v>
      </c>
      <c r="I36" s="27">
        <f>I13/'Rate Class Customer Model'!C9</f>
        <v>33169.97149889882</v>
      </c>
      <c r="J36" s="27">
        <f>J13/'Rate Class Customer Model'!D9</f>
        <v>666255.81142857147</v>
      </c>
      <c r="K36" s="27">
        <f>K13/'Rate Class Customer Model'!E9</f>
        <v>18290144.5</v>
      </c>
      <c r="L36" s="27">
        <f>L13/'Rate Class Customer Model'!F9</f>
        <v>9182904.1052631587</v>
      </c>
      <c r="M36" s="27">
        <f>M13/'Rate Class Customer Model'!G9</f>
        <v>864.56724006440129</v>
      </c>
      <c r="N36" s="27">
        <f>N13/'Rate Class Customer Model'!H9</f>
        <v>1415.0769230769231</v>
      </c>
      <c r="O36" s="27">
        <f>O13/'Rate Class Customer Model'!I9</f>
        <v>9340.3471074380159</v>
      </c>
      <c r="P36" s="27">
        <f>P13/'Rate Class Customer Model'!J9</f>
        <v>16882.867203093814</v>
      </c>
    </row>
    <row r="37" spans="1:16" x14ac:dyDescent="0.3">
      <c r="A37">
        <f t="shared" si="16"/>
        <v>2010</v>
      </c>
      <c r="G37" s="27">
        <f>G14/'Rate Class Customer Model'!J10</f>
        <v>16811.083967701175</v>
      </c>
      <c r="H37" s="27">
        <f>H14/'Rate Class Customer Model'!B10</f>
        <v>9912.6258196593535</v>
      </c>
      <c r="I37" s="27">
        <f>I14/'Rate Class Customer Model'!C10</f>
        <v>33413.617459913461</v>
      </c>
      <c r="J37" s="27">
        <f>J14/'Rate Class Customer Model'!D10</f>
        <v>693139.94926829264</v>
      </c>
      <c r="K37" s="27">
        <f>K14/'Rate Class Customer Model'!E10</f>
        <v>33402763</v>
      </c>
      <c r="L37" s="27">
        <f>L14/'Rate Class Customer Model'!F10</f>
        <v>8078314.0999999996</v>
      </c>
      <c r="M37" s="27">
        <f>M14/'Rate Class Customer Model'!G10</f>
        <v>869.31799424784299</v>
      </c>
      <c r="N37" s="27">
        <f>N14/'Rate Class Customer Model'!H10</f>
        <v>1432.48</v>
      </c>
      <c r="O37" s="27">
        <f>O14/'Rate Class Customer Model'!I10</f>
        <v>9238.1761827079936</v>
      </c>
      <c r="P37" s="27">
        <f>P14/'Rate Class Customer Model'!J10</f>
        <v>16811.083967701175</v>
      </c>
    </row>
    <row r="38" spans="1:16" x14ac:dyDescent="0.3">
      <c r="A38">
        <f t="shared" si="16"/>
        <v>2011</v>
      </c>
      <c r="G38" s="27">
        <f>G15/'Rate Class Customer Model'!J11</f>
        <v>16948.146830574824</v>
      </c>
      <c r="H38" s="27">
        <f>H15/'Rate Class Customer Model'!B11</f>
        <v>9960.4736230871222</v>
      </c>
      <c r="I38" s="27">
        <f>I15/'Rate Class Customer Model'!C11</f>
        <v>34896.715442972869</v>
      </c>
      <c r="J38" s="27">
        <f>J15/'Rate Class Customer Model'!D11</f>
        <v>690748.07877041306</v>
      </c>
      <c r="K38" s="27">
        <f>K15/'Rate Class Customer Model'!E11</f>
        <v>37740699</v>
      </c>
      <c r="L38" s="27">
        <f>L15/'Rate Class Customer Model'!F11</f>
        <v>7990801.5999999996</v>
      </c>
      <c r="M38" s="27">
        <f>M15/'Rate Class Customer Model'!G11</f>
        <v>845.43533292104723</v>
      </c>
      <c r="N38" s="27">
        <f>N15/'Rate Class Customer Model'!H11</f>
        <v>1492.1666666666667</v>
      </c>
      <c r="O38" s="27">
        <f>O15/'Rate Class Customer Model'!I11</f>
        <v>9153.8115702479336</v>
      </c>
      <c r="P38" s="27">
        <f>P15/'Rate Class Customer Model'!J11</f>
        <v>16948.146830574824</v>
      </c>
    </row>
    <row r="39" spans="1:16" x14ac:dyDescent="0.3">
      <c r="A39">
        <f t="shared" si="16"/>
        <v>2012</v>
      </c>
      <c r="G39" s="27">
        <f>G16/'Rate Class Customer Model'!J12</f>
        <v>16287.46751710225</v>
      </c>
      <c r="H39" s="27">
        <f>H16/'Rate Class Customer Model'!B12</f>
        <v>9654.8105505803633</v>
      </c>
      <c r="I39" s="27">
        <f>I16/'Rate Class Customer Model'!C12</f>
        <v>34174.990520711595</v>
      </c>
      <c r="J39" s="27">
        <f>J16/'Rate Class Customer Model'!D12</f>
        <v>661471.17693059624</v>
      </c>
      <c r="K39" s="27">
        <f>K16/'Rate Class Customer Model'!E12</f>
        <v>40812737</v>
      </c>
      <c r="L39" s="27">
        <f>L16/'Rate Class Customer Model'!F12</f>
        <v>7316965.4285714282</v>
      </c>
      <c r="M39" s="27">
        <f>M16/'Rate Class Customer Model'!G12</f>
        <v>830.23892573487262</v>
      </c>
      <c r="N39" s="27">
        <f>N16/'Rate Class Customer Model'!H12</f>
        <v>1492.1666666666667</v>
      </c>
      <c r="O39" s="27">
        <f>O16/'Rate Class Customer Model'!I12</f>
        <v>9291.7123519458546</v>
      </c>
      <c r="P39" s="27">
        <f>P16/'Rate Class Customer Model'!J12</f>
        <v>16287.46751710225</v>
      </c>
    </row>
    <row r="40" spans="1:16" x14ac:dyDescent="0.3">
      <c r="A40">
        <f t="shared" ref="A40:A46" si="17">A17</f>
        <v>2013</v>
      </c>
      <c r="B40" s="182"/>
      <c r="C40" s="182"/>
      <c r="D40" s="182"/>
      <c r="E40" s="182"/>
      <c r="F40" s="182"/>
      <c r="G40" s="27">
        <f>G17/'Rate Class Customer Model'!J13</f>
        <v>16192.496831070528</v>
      </c>
      <c r="H40" s="27">
        <f>H17/'Rate Class Customer Model'!B13</f>
        <v>9598.5630705226595</v>
      </c>
      <c r="I40" s="27">
        <f>I17/'Rate Class Customer Model'!C13</f>
        <v>33905.014214368035</v>
      </c>
      <c r="J40" s="27">
        <f>J17/'Rate Class Customer Model'!D13</f>
        <v>674247.33600000001</v>
      </c>
      <c r="K40" s="27">
        <f>K17/'Rate Class Customer Model'!E13</f>
        <v>42326219</v>
      </c>
      <c r="L40" s="27">
        <f>L17/'Rate Class Customer Model'!F13</f>
        <v>7197839.3636363633</v>
      </c>
      <c r="M40" s="27">
        <f>M17/'Rate Class Customer Model'!G13</f>
        <v>736.45116561929865</v>
      </c>
      <c r="N40" s="27">
        <f>N17/'Rate Class Customer Model'!H13</f>
        <v>1492.1666666666667</v>
      </c>
      <c r="O40" s="27">
        <f>O17/'Rate Class Customer Model'!I13</f>
        <v>9330.2237288135602</v>
      </c>
      <c r="P40" s="27">
        <f>P17/'Rate Class Customer Model'!J13</f>
        <v>16192.496831070528</v>
      </c>
    </row>
    <row r="41" spans="1:16" x14ac:dyDescent="0.3">
      <c r="A41">
        <f t="shared" si="17"/>
        <v>2014</v>
      </c>
      <c r="B41" s="182"/>
      <c r="C41" s="182"/>
      <c r="D41" s="182"/>
      <c r="E41" s="182"/>
      <c r="F41" s="182"/>
      <c r="G41" s="27">
        <f>G18/'Rate Class Customer Model'!J14</f>
        <v>16183.628573758218</v>
      </c>
      <c r="H41" s="27">
        <f>H18/'Rate Class Customer Model'!B14</f>
        <v>9670.9029829191768</v>
      </c>
      <c r="I41" s="27">
        <f>I18/'Rate Class Customer Model'!C14</f>
        <v>33834.049841872235</v>
      </c>
      <c r="J41" s="27">
        <f>J18/'Rate Class Customer Model'!D14</f>
        <v>669464.90348258708</v>
      </c>
      <c r="K41" s="27">
        <f>K18/'Rate Class Customer Model'!E14</f>
        <v>42700435</v>
      </c>
      <c r="L41" s="27">
        <f>L18/'Rate Class Customer Model'!F14</f>
        <v>7400031.4545454541</v>
      </c>
      <c r="M41" s="27">
        <f>M18/'Rate Class Customer Model'!G14</f>
        <v>734.55613943599826</v>
      </c>
      <c r="N41" s="27">
        <f>N18/'Rate Class Customer Model'!H14</f>
        <v>1492.1666666666667</v>
      </c>
      <c r="O41" s="27">
        <f>O18/'Rate Class Customer Model'!I14</f>
        <v>9175.0219966159057</v>
      </c>
      <c r="P41" s="27">
        <f>P18/'Rate Class Customer Model'!J14</f>
        <v>16183.628573758218</v>
      </c>
    </row>
    <row r="42" spans="1:16" x14ac:dyDescent="0.3">
      <c r="A42">
        <f t="shared" si="17"/>
        <v>2015</v>
      </c>
      <c r="B42" s="182"/>
      <c r="C42" s="182"/>
      <c r="D42" s="182"/>
      <c r="E42" s="182"/>
      <c r="F42" s="182"/>
      <c r="G42" s="21">
        <f ca="1">G19/'Rate Class Customer Model'!J15</f>
        <v>16105.11240890414</v>
      </c>
      <c r="H42" s="21">
        <f t="shared" ref="H42:O46" si="18">+H41*H$61</f>
        <v>9620.4967571258403</v>
      </c>
      <c r="I42" s="21">
        <f t="shared" si="18"/>
        <v>33639.096336679446</v>
      </c>
      <c r="J42" s="21">
        <f t="shared" si="18"/>
        <v>668377.40361670626</v>
      </c>
      <c r="K42" s="21">
        <f t="shared" si="18"/>
        <v>43077959.531164952</v>
      </c>
      <c r="L42" s="21">
        <f t="shared" si="18"/>
        <v>7400031.4545454541</v>
      </c>
      <c r="M42" s="21">
        <f t="shared" si="18"/>
        <v>734.55613943599826</v>
      </c>
      <c r="N42" s="21">
        <f t="shared" si="18"/>
        <v>1492.1666666666667</v>
      </c>
      <c r="O42" s="21">
        <f t="shared" si="18"/>
        <v>9175.0219966159057</v>
      </c>
      <c r="P42" s="27">
        <f>+G66/'Rate Class Customer Model'!J15</f>
        <v>16018.954802436359</v>
      </c>
    </row>
    <row r="43" spans="1:16" x14ac:dyDescent="0.3">
      <c r="A43">
        <f t="shared" si="17"/>
        <v>2016</v>
      </c>
      <c r="B43" s="182"/>
      <c r="C43" s="182"/>
      <c r="D43" s="182"/>
      <c r="E43" s="182"/>
      <c r="F43" s="182"/>
      <c r="G43" s="21">
        <f ca="1">G20/'Rate Class Customer Model'!J16</f>
        <v>16011.058783888126</v>
      </c>
      <c r="H43" s="21">
        <f t="shared" si="18"/>
        <v>9570.3532562924393</v>
      </c>
      <c r="I43" s="21">
        <f t="shared" si="18"/>
        <v>33445.26616343671</v>
      </c>
      <c r="J43" s="21">
        <f t="shared" si="18"/>
        <v>667291.6703198452</v>
      </c>
      <c r="K43" s="21">
        <f t="shared" si="18"/>
        <v>43458821.844992571</v>
      </c>
      <c r="L43" s="21">
        <f t="shared" si="18"/>
        <v>7400031.4545454541</v>
      </c>
      <c r="M43" s="21">
        <f t="shared" si="18"/>
        <v>734.55613943599826</v>
      </c>
      <c r="N43" s="21">
        <f t="shared" si="18"/>
        <v>1492.1666666666667</v>
      </c>
      <c r="O43" s="21">
        <f t="shared" si="18"/>
        <v>9175.0219966159057</v>
      </c>
      <c r="P43" s="27">
        <f>+G67/'Rate Class Customer Model'!J16</f>
        <v>15856.12876163014</v>
      </c>
    </row>
    <row r="44" spans="1:16" x14ac:dyDescent="0.3">
      <c r="A44">
        <f t="shared" si="17"/>
        <v>2017</v>
      </c>
      <c r="B44" s="182"/>
      <c r="C44" s="182"/>
      <c r="D44" s="182"/>
      <c r="E44" s="182"/>
      <c r="F44" s="182"/>
      <c r="G44" s="21">
        <f ca="1">G21/'Rate Class Customer Model'!J17</f>
        <v>15830.241937961311</v>
      </c>
      <c r="H44" s="21">
        <f t="shared" si="18"/>
        <v>9520.4711110562912</v>
      </c>
      <c r="I44" s="21">
        <f t="shared" si="18"/>
        <v>33252.552849448555</v>
      </c>
      <c r="J44" s="21">
        <f t="shared" si="18"/>
        <v>666207.70072233351</v>
      </c>
      <c r="K44" s="21">
        <f t="shared" si="18"/>
        <v>43843051.451599903</v>
      </c>
      <c r="L44" s="21">
        <f t="shared" si="18"/>
        <v>7400031.4545454541</v>
      </c>
      <c r="M44" s="21">
        <f t="shared" si="18"/>
        <v>734.55613943599826</v>
      </c>
      <c r="N44" s="21">
        <f t="shared" si="18"/>
        <v>1492.1666666666667</v>
      </c>
      <c r="O44" s="21">
        <f t="shared" si="18"/>
        <v>9175.0219966159057</v>
      </c>
      <c r="P44" s="27">
        <f>+G68/'Rate Class Customer Model'!J17</f>
        <v>15695.129401439173</v>
      </c>
    </row>
    <row r="45" spans="1:16" x14ac:dyDescent="0.3">
      <c r="A45">
        <f t="shared" si="17"/>
        <v>2018</v>
      </c>
      <c r="B45" s="182"/>
      <c r="C45" s="182"/>
      <c r="D45" s="182"/>
      <c r="E45" s="182"/>
      <c r="F45" s="182"/>
      <c r="G45" s="21">
        <f ca="1">G22/'Rate Class Customer Model'!J18</f>
        <v>15649.719754415768</v>
      </c>
      <c r="H45" s="21">
        <f t="shared" si="18"/>
        <v>9470.8489591920425</v>
      </c>
      <c r="I45" s="21">
        <f t="shared" si="18"/>
        <v>33060.949959315505</v>
      </c>
      <c r="J45" s="21">
        <f t="shared" si="18"/>
        <v>665125.49195916252</v>
      </c>
      <c r="K45" s="21">
        <f t="shared" si="18"/>
        <v>44230678.122009844</v>
      </c>
      <c r="L45" s="21">
        <f t="shared" si="18"/>
        <v>7400031.4545454541</v>
      </c>
      <c r="M45" s="21">
        <f t="shared" si="18"/>
        <v>734.55613943599826</v>
      </c>
      <c r="N45" s="21">
        <f t="shared" si="18"/>
        <v>1492.1666666666667</v>
      </c>
      <c r="O45" s="21">
        <f t="shared" si="18"/>
        <v>9175.0219966159057</v>
      </c>
      <c r="P45" s="27">
        <f>+G69/'Rate Class Customer Model'!J18</f>
        <v>15535.93586902137</v>
      </c>
    </row>
    <row r="46" spans="1:16" x14ac:dyDescent="0.3">
      <c r="A46">
        <f t="shared" si="17"/>
        <v>2019</v>
      </c>
      <c r="B46" s="182"/>
      <c r="C46" s="182"/>
      <c r="D46" s="182"/>
      <c r="E46" s="182"/>
      <c r="F46" s="182"/>
      <c r="G46" s="21">
        <f ca="1">G23/'Rate Class Customer Model'!J19</f>
        <v>15528.683387319181</v>
      </c>
      <c r="H46" s="21">
        <f t="shared" si="18"/>
        <v>9421.4854455744626</v>
      </c>
      <c r="I46" s="21">
        <f t="shared" si="18"/>
        <v>32870.451094719188</v>
      </c>
      <c r="J46" s="21">
        <f t="shared" si="18"/>
        <v>664045.0411699774</v>
      </c>
      <c r="K46" s="21">
        <f t="shared" si="18"/>
        <v>44621731.890457861</v>
      </c>
      <c r="L46" s="21">
        <f t="shared" si="18"/>
        <v>7400031.4545454541</v>
      </c>
      <c r="M46" s="21">
        <f t="shared" si="18"/>
        <v>734.55613943599826</v>
      </c>
      <c r="N46" s="21">
        <f t="shared" si="18"/>
        <v>1492.1666666666667</v>
      </c>
      <c r="O46" s="21">
        <f t="shared" si="18"/>
        <v>9175.0219966159057</v>
      </c>
      <c r="P46" s="27">
        <f>+G70/'Rate Class Customer Model'!J19</f>
        <v>15378.527509197662</v>
      </c>
    </row>
    <row r="48" spans="1:16" x14ac:dyDescent="0.3">
      <c r="A48" s="37">
        <v>2003</v>
      </c>
      <c r="D48" s="6"/>
      <c r="G48" s="202"/>
      <c r="H48" s="202"/>
      <c r="I48" s="202"/>
      <c r="J48" s="202"/>
      <c r="K48" s="202"/>
      <c r="L48" s="202"/>
      <c r="M48" s="202"/>
      <c r="N48" s="202"/>
      <c r="O48" s="202"/>
    </row>
    <row r="49" spans="1:15" x14ac:dyDescent="0.3">
      <c r="A49" s="37">
        <v>2004</v>
      </c>
      <c r="D49" s="6"/>
      <c r="G49" s="25">
        <f t="shared" ref="G49" si="19">G31/G30</f>
        <v>0.97947588338602443</v>
      </c>
      <c r="H49" s="25">
        <f t="shared" ref="H49:H59" si="20">H31/H30</f>
        <v>0.96459208328463042</v>
      </c>
      <c r="I49" s="25">
        <f t="shared" ref="I49:N53" si="21">I31/I30</f>
        <v>1.0908582778368565</v>
      </c>
      <c r="J49" s="25">
        <f t="shared" si="21"/>
        <v>1.3524359755748323</v>
      </c>
      <c r="K49" s="25">
        <f t="shared" si="21"/>
        <v>0.66256671927643851</v>
      </c>
      <c r="L49" s="25">
        <f t="shared" si="21"/>
        <v>0.56908460757775015</v>
      </c>
      <c r="M49" s="25">
        <f>M31/M30</f>
        <v>1.0251639423944985</v>
      </c>
      <c r="N49" s="25">
        <f t="shared" si="21"/>
        <v>0.70253507828110928</v>
      </c>
      <c r="O49" s="25">
        <f t="shared" ref="O49" si="22">O31/O30</f>
        <v>1</v>
      </c>
    </row>
    <row r="50" spans="1:15" x14ac:dyDescent="0.3">
      <c r="A50" s="37">
        <v>2005</v>
      </c>
      <c r="D50" s="6"/>
      <c r="G50" s="25">
        <f t="shared" ref="G50:G59" si="23">G32/G31</f>
        <v>0.98310260978987285</v>
      </c>
      <c r="H50" s="25">
        <f t="shared" si="20"/>
        <v>1.0693485844030812</v>
      </c>
      <c r="I50" s="25">
        <f t="shared" si="21"/>
        <v>1.0353312923384042</v>
      </c>
      <c r="J50" s="25">
        <f t="shared" si="21"/>
        <v>1.0200491597243926</v>
      </c>
      <c r="K50" s="25">
        <f t="shared" si="21"/>
        <v>0.70116014965232798</v>
      </c>
      <c r="L50" s="25">
        <f t="shared" si="21"/>
        <v>0.81633341387002645</v>
      </c>
      <c r="M50" s="25">
        <f>M32/M31</f>
        <v>1.0266511605702138</v>
      </c>
      <c r="N50" s="25">
        <f t="shared" si="21"/>
        <v>1.5789925790723871</v>
      </c>
      <c r="O50" s="25">
        <f t="shared" ref="O50" si="24">O32/O31</f>
        <v>1</v>
      </c>
    </row>
    <row r="51" spans="1:15" x14ac:dyDescent="0.3">
      <c r="A51" s="37">
        <v>2006</v>
      </c>
      <c r="D51" s="6"/>
      <c r="G51" s="25">
        <f t="shared" si="23"/>
        <v>0.96631476845327224</v>
      </c>
      <c r="H51" s="25">
        <f t="shared" si="20"/>
        <v>0.94199681266597912</v>
      </c>
      <c r="I51" s="25">
        <f t="shared" si="21"/>
        <v>0.96638399951958032</v>
      </c>
      <c r="J51" s="25">
        <f t="shared" si="21"/>
        <v>0.97995192900219585</v>
      </c>
      <c r="K51" s="25">
        <f t="shared" si="21"/>
        <v>0.94832850124568335</v>
      </c>
      <c r="L51" s="25">
        <f t="shared" si="21"/>
        <v>1.060119217212701</v>
      </c>
      <c r="M51" s="25">
        <f>M33/M32</f>
        <v>0.9920529522224395</v>
      </c>
      <c r="N51" s="25">
        <f t="shared" si="21"/>
        <v>1.0206625785010248</v>
      </c>
      <c r="O51" s="25">
        <f t="shared" ref="O51" si="25">O33/O32</f>
        <v>1.243351677852349</v>
      </c>
    </row>
    <row r="52" spans="1:15" x14ac:dyDescent="0.3">
      <c r="A52" s="37">
        <v>2007</v>
      </c>
      <c r="D52" s="6"/>
      <c r="G52" s="25">
        <f t="shared" si="23"/>
        <v>1.0073708142964195</v>
      </c>
      <c r="H52" s="25">
        <f t="shared" si="20"/>
        <v>0.9949077206372462</v>
      </c>
      <c r="I52" s="25">
        <f t="shared" si="21"/>
        <v>0.98427327954005928</v>
      </c>
      <c r="J52" s="25">
        <f t="shared" si="21"/>
        <v>1.0096097961620669</v>
      </c>
      <c r="K52" s="25">
        <f t="shared" si="21"/>
        <v>1.0361649490467149</v>
      </c>
      <c r="L52" s="25">
        <f t="shared" si="21"/>
        <v>1.2183426165249025</v>
      </c>
      <c r="M52" s="25">
        <f>M34/M33</f>
        <v>0.99141299957141205</v>
      </c>
      <c r="N52" s="25">
        <f t="shared" si="21"/>
        <v>1.0455013986494117</v>
      </c>
      <c r="O52" s="25">
        <f t="shared" ref="O52" si="26">O34/O33</f>
        <v>1.0204079314170731</v>
      </c>
    </row>
    <row r="53" spans="1:15" x14ac:dyDescent="0.3">
      <c r="A53" s="37">
        <v>2008</v>
      </c>
      <c r="D53" s="6"/>
      <c r="G53" s="25">
        <f t="shared" si="23"/>
        <v>0.95934324471684929</v>
      </c>
      <c r="H53" s="25">
        <f t="shared" si="20"/>
        <v>0.97953259079188659</v>
      </c>
      <c r="I53" s="25">
        <f t="shared" si="21"/>
        <v>0.98470012831565834</v>
      </c>
      <c r="J53" s="25">
        <f t="shared" si="21"/>
        <v>0.96254198971188476</v>
      </c>
      <c r="K53" s="25">
        <f t="shared" si="21"/>
        <v>0.60132190195387458</v>
      </c>
      <c r="L53" s="25">
        <f t="shared" si="21"/>
        <v>0.98616804619720932</v>
      </c>
      <c r="M53" s="25">
        <f>M35/M34</f>
        <v>0.97279018442106457</v>
      </c>
      <c r="N53" s="25">
        <f t="shared" si="21"/>
        <v>0.96569457035429807</v>
      </c>
      <c r="O53" s="25">
        <f t="shared" ref="O53" si="27">O35/O34</f>
        <v>0.88321346787592647</v>
      </c>
    </row>
    <row r="54" spans="1:15" x14ac:dyDescent="0.3">
      <c r="A54" s="37">
        <v>2009</v>
      </c>
      <c r="D54" s="6"/>
      <c r="G54" s="25">
        <f t="shared" si="23"/>
        <v>0.95720347132836214</v>
      </c>
      <c r="H54" s="25">
        <f t="shared" si="20"/>
        <v>0.98279461300438953</v>
      </c>
      <c r="I54" s="25">
        <f t="shared" ref="I54:O54" si="28">I36/I35</f>
        <v>0.95421384004790699</v>
      </c>
      <c r="J54" s="25">
        <f t="shared" si="28"/>
        <v>1.0079837456600111</v>
      </c>
      <c r="K54" s="25">
        <f t="shared" si="28"/>
        <v>0.98416608731004862</v>
      </c>
      <c r="L54" s="25">
        <f t="shared" si="28"/>
        <v>0.80682902472712614</v>
      </c>
      <c r="M54" s="25">
        <f t="shared" si="28"/>
        <v>1.0330797319726048</v>
      </c>
      <c r="N54" s="25">
        <f>N36/N35</f>
        <v>0.93778196926057145</v>
      </c>
      <c r="O54" s="25">
        <f t="shared" si="28"/>
        <v>0.83354590562373465</v>
      </c>
    </row>
    <row r="55" spans="1:15" x14ac:dyDescent="0.3">
      <c r="A55" s="37">
        <v>2010</v>
      </c>
      <c r="D55" s="6"/>
      <c r="G55" s="25">
        <f t="shared" si="23"/>
        <v>0.99574816087047791</v>
      </c>
      <c r="H55" s="25">
        <f t="shared" si="20"/>
        <v>1.0083079826061891</v>
      </c>
      <c r="I55" s="25">
        <f t="shared" ref="I55:O55" si="29">I37/I36</f>
        <v>1.0073453774605363</v>
      </c>
      <c r="J55" s="25">
        <f t="shared" si="29"/>
        <v>1.0403510744350233</v>
      </c>
      <c r="K55" s="25">
        <f>K37/K36</f>
        <v>1.8262711374423533</v>
      </c>
      <c r="L55" s="25">
        <f>L37/L36</f>
        <v>0.87971234452616509</v>
      </c>
      <c r="M55" s="25">
        <f t="shared" si="29"/>
        <v>1.0054949504946402</v>
      </c>
      <c r="N55" s="25">
        <f>N37/N36</f>
        <v>1.0122983257229832</v>
      </c>
      <c r="O55" s="25">
        <f t="shared" si="29"/>
        <v>0.98906133534923335</v>
      </c>
    </row>
    <row r="56" spans="1:15" x14ac:dyDescent="0.3">
      <c r="A56" s="37">
        <v>2011</v>
      </c>
      <c r="B56" s="182"/>
      <c r="C56" s="182"/>
      <c r="D56" s="6"/>
      <c r="E56" s="182"/>
      <c r="F56" s="182"/>
      <c r="G56" s="25">
        <f t="shared" si="23"/>
        <v>1.0081531246371136</v>
      </c>
      <c r="H56" s="25">
        <f t="shared" si="20"/>
        <v>1.0048269554705549</v>
      </c>
      <c r="I56" s="25">
        <f t="shared" ref="I56:O59" si="30">I38/I37</f>
        <v>1.0443860346710048</v>
      </c>
      <c r="J56" s="25">
        <f t="shared" si="30"/>
        <v>0.99654922429387527</v>
      </c>
      <c r="K56" s="25">
        <f t="shared" si="30"/>
        <v>1.129867580116052</v>
      </c>
      <c r="L56" s="25">
        <f t="shared" si="30"/>
        <v>0.98916698473014308</v>
      </c>
      <c r="M56" s="25">
        <f t="shared" si="30"/>
        <v>0.97252712875515746</v>
      </c>
      <c r="N56" s="25">
        <f>N38/N37</f>
        <v>1.0416666666666667</v>
      </c>
      <c r="O56" s="25">
        <f t="shared" si="30"/>
        <v>0.99086782815227392</v>
      </c>
    </row>
    <row r="57" spans="1:15" x14ac:dyDescent="0.3">
      <c r="A57" s="37">
        <v>2012</v>
      </c>
      <c r="B57" s="182"/>
      <c r="C57" s="182"/>
      <c r="D57" s="6"/>
      <c r="E57" s="182"/>
      <c r="F57" s="182"/>
      <c r="G57" s="25">
        <f t="shared" si="23"/>
        <v>0.96101760740704145</v>
      </c>
      <c r="H57" s="25">
        <f t="shared" si="20"/>
        <v>0.96931239576818207</v>
      </c>
      <c r="I57" s="25">
        <f t="shared" si="30"/>
        <v>0.97931825637170078</v>
      </c>
      <c r="J57" s="25">
        <f t="shared" si="30"/>
        <v>0.95761565939939775</v>
      </c>
      <c r="K57" s="25">
        <f t="shared" si="30"/>
        <v>1.0813985453740536</v>
      </c>
      <c r="L57" s="25">
        <f t="shared" si="30"/>
        <v>0.91567351998470703</v>
      </c>
      <c r="M57" s="25">
        <f t="shared" si="30"/>
        <v>0.98202534647603412</v>
      </c>
      <c r="N57" s="25">
        <f t="shared" si="30"/>
        <v>1</v>
      </c>
      <c r="O57" s="25">
        <f t="shared" si="30"/>
        <v>1.0150648481935254</v>
      </c>
    </row>
    <row r="58" spans="1:15" x14ac:dyDescent="0.3">
      <c r="A58" s="37">
        <v>2013</v>
      </c>
      <c r="B58" s="182"/>
      <c r="C58" s="182"/>
      <c r="D58" s="6"/>
      <c r="E58" s="182"/>
      <c r="F58" s="182"/>
      <c r="G58" s="25">
        <f t="shared" si="23"/>
        <v>0.99416909437074852</v>
      </c>
      <c r="H58" s="25">
        <f t="shared" si="20"/>
        <v>0.99417414979164742</v>
      </c>
      <c r="I58" s="25">
        <f t="shared" si="30"/>
        <v>0.99210017904233383</v>
      </c>
      <c r="J58" s="25">
        <f t="shared" si="30"/>
        <v>1.019314763084143</v>
      </c>
      <c r="K58" s="25">
        <f t="shared" si="30"/>
        <v>1.0370835702589611</v>
      </c>
      <c r="L58" s="25">
        <f t="shared" si="30"/>
        <v>0.98371919806127561</v>
      </c>
      <c r="M58" s="25">
        <f t="shared" si="30"/>
        <v>0.88703521696172072</v>
      </c>
      <c r="N58" s="25">
        <f t="shared" si="30"/>
        <v>1</v>
      </c>
      <c r="O58" s="25">
        <f t="shared" si="30"/>
        <v>1.0041447017954275</v>
      </c>
    </row>
    <row r="59" spans="1:15" x14ac:dyDescent="0.3">
      <c r="A59" s="37">
        <v>2014</v>
      </c>
      <c r="B59" s="182"/>
      <c r="C59" s="182"/>
      <c r="D59" s="6"/>
      <c r="E59" s="182"/>
      <c r="F59" s="182"/>
      <c r="G59" s="25">
        <f t="shared" si="23"/>
        <v>0.99945232304783949</v>
      </c>
      <c r="H59" s="25">
        <f t="shared" si="20"/>
        <v>1.0075365356111139</v>
      </c>
      <c r="I59" s="25">
        <f t="shared" si="30"/>
        <v>0.99790696526339373</v>
      </c>
      <c r="J59" s="25">
        <f t="shared" si="30"/>
        <v>0.99290700569054535</v>
      </c>
      <c r="K59" s="25">
        <f t="shared" si="30"/>
        <v>1.0088412338460944</v>
      </c>
      <c r="L59" s="25">
        <f t="shared" si="30"/>
        <v>1.0280906645306047</v>
      </c>
      <c r="M59" s="25">
        <f t="shared" si="30"/>
        <v>0.99742681351898355</v>
      </c>
      <c r="N59" s="25">
        <f t="shared" si="30"/>
        <v>1</v>
      </c>
      <c r="O59" s="25">
        <f t="shared" si="30"/>
        <v>0.98336570089757214</v>
      </c>
    </row>
    <row r="60" spans="1:15" x14ac:dyDescent="0.3">
      <c r="A60" s="3"/>
      <c r="D60" s="6"/>
      <c r="E60" s="6"/>
      <c r="F60" s="6"/>
    </row>
    <row r="61" spans="1:15" x14ac:dyDescent="0.3">
      <c r="A61" t="s">
        <v>16</v>
      </c>
      <c r="D61" s="6"/>
      <c r="G61" s="99">
        <f t="shared" ref="G61" si="31">G63</f>
        <v>0.98299539091126076</v>
      </c>
      <c r="H61" s="99">
        <f>H63</f>
        <v>0.9947878470208662</v>
      </c>
      <c r="I61" s="99">
        <f t="shared" ref="I61" si="32">I63</f>
        <v>0.99423794945908262</v>
      </c>
      <c r="J61" s="99">
        <f>J63</f>
        <v>0.99837556851714915</v>
      </c>
      <c r="K61" s="99">
        <f>+K59</f>
        <v>1.0088412338460944</v>
      </c>
      <c r="L61" s="99">
        <v>1</v>
      </c>
      <c r="M61" s="99">
        <v>1</v>
      </c>
      <c r="N61" s="99">
        <v>1</v>
      </c>
      <c r="O61" s="99">
        <v>1</v>
      </c>
    </row>
    <row r="62" spans="1:15" x14ac:dyDescent="0.3">
      <c r="A62" s="3"/>
      <c r="D62" s="6"/>
      <c r="G62" s="13"/>
      <c r="H62" s="13"/>
      <c r="I62" s="13"/>
      <c r="M62" s="11"/>
      <c r="N62" s="11"/>
      <c r="O62" s="11"/>
    </row>
    <row r="63" spans="1:15" x14ac:dyDescent="0.3">
      <c r="A63" s="66" t="s">
        <v>103</v>
      </c>
      <c r="D63" s="6"/>
      <c r="G63" s="25">
        <f t="shared" ref="G63:M63" si="33">GEOMEAN(G50:G59)</f>
        <v>0.98299539091126076</v>
      </c>
      <c r="H63" s="25">
        <f t="shared" si="33"/>
        <v>0.9947878470208662</v>
      </c>
      <c r="I63" s="25">
        <f t="shared" si="33"/>
        <v>0.99423794945908262</v>
      </c>
      <c r="J63" s="25">
        <f t="shared" si="33"/>
        <v>0.99837556851714915</v>
      </c>
      <c r="K63" s="25">
        <f t="shared" si="33"/>
        <v>0.99508355864696041</v>
      </c>
      <c r="L63" s="25">
        <f t="shared" si="33"/>
        <v>0.96160733460507208</v>
      </c>
      <c r="M63" s="25">
        <f t="shared" si="33"/>
        <v>0.98527885019188122</v>
      </c>
      <c r="N63" s="25">
        <f>GEOMEAN(N51:N59)</f>
        <v>1.0020964631094547</v>
      </c>
      <c r="O63" s="25">
        <f>GEOMEAN(O50:O59)</f>
        <v>0.99142692999709625</v>
      </c>
    </row>
    <row r="64" spans="1:15" x14ac:dyDescent="0.3">
      <c r="D64" s="6"/>
      <c r="H64" s="25"/>
      <c r="I64" s="25"/>
      <c r="J64" s="25"/>
      <c r="K64" s="25"/>
      <c r="L64" s="25"/>
      <c r="M64" s="25"/>
      <c r="N64" s="25"/>
      <c r="O64" s="25"/>
    </row>
    <row r="65" spans="1:16" x14ac:dyDescent="0.3">
      <c r="A65" s="19" t="s">
        <v>44</v>
      </c>
    </row>
    <row r="66" spans="1:16" x14ac:dyDescent="0.3">
      <c r="A66">
        <v>2015</v>
      </c>
      <c r="G66" s="36">
        <f>SUM(H66:O66)</f>
        <v>1095709068.1843152</v>
      </c>
      <c r="H66" s="36">
        <f>+H42*'Rate Class Customer Model'!B15</f>
        <v>489491138.68914074</v>
      </c>
      <c r="I66" s="36">
        <f>I42*'Rate Class Customer Model'!C15</f>
        <v>133795075.39634021</v>
      </c>
      <c r="J66" s="36">
        <f>J42*'Rate Class Customer Model'!D15</f>
        <v>335859645.31739491</v>
      </c>
      <c r="K66" s="36">
        <f>K42*'Rate Class Customer Model'!E15</f>
        <v>43077959.531164952</v>
      </c>
      <c r="L66" s="36">
        <f>L42*'Rate Class Customer Model'!F15</f>
        <v>81400346</v>
      </c>
      <c r="M66" s="36">
        <f>M42*'Rate Class Customer Model'!G15</f>
        <v>9336096.1189408582</v>
      </c>
      <c r="N66" s="36">
        <f>N42*'Rate Class Customer Model'!H15</f>
        <v>34649.788587785748</v>
      </c>
      <c r="O66" s="36">
        <f>O42*'Rate Class Customer Model'!I15</f>
        <v>2714157.3427455146</v>
      </c>
      <c r="P66" s="36"/>
    </row>
    <row r="67" spans="1:16" x14ac:dyDescent="0.3">
      <c r="A67">
        <v>2016</v>
      </c>
      <c r="B67" s="182"/>
      <c r="C67" s="182"/>
      <c r="D67" s="182"/>
      <c r="E67" s="182"/>
      <c r="F67" s="182"/>
      <c r="G67" s="36">
        <f t="shared" ref="G67:G70" si="34">SUM(H67:O67)</f>
        <v>1099816344.7229097</v>
      </c>
      <c r="H67" s="36">
        <f>+H43*'Rate Class Customer Model'!B16</f>
        <v>493511522.36927426</v>
      </c>
      <c r="I67" s="36">
        <f>I43*'Rate Class Customer Model'!C16</f>
        <v>133861101.35948111</v>
      </c>
      <c r="J67" s="36">
        <f>J43*'Rate Class Customer Model'!D16</f>
        <v>335314064.33572221</v>
      </c>
      <c r="K67" s="36">
        <f>K43*'Rate Class Customer Model'!E16</f>
        <v>43458821.844992571</v>
      </c>
      <c r="L67" s="36">
        <f>L43*'Rate Class Customer Model'!F16</f>
        <v>81400346</v>
      </c>
      <c r="M67" s="36">
        <f>M43*'Rate Class Customer Model'!G16</f>
        <v>9519864.6488841902</v>
      </c>
      <c r="N67" s="36">
        <f>N43*'Rate Class Customer Model'!H16</f>
        <v>33525.294571044557</v>
      </c>
      <c r="O67" s="36">
        <f>O43*'Rate Class Customer Model'!I16</f>
        <v>2717098.8699840889</v>
      </c>
      <c r="P67" s="36"/>
    </row>
    <row r="68" spans="1:16" x14ac:dyDescent="0.3">
      <c r="A68">
        <v>2017</v>
      </c>
      <c r="B68" s="182"/>
      <c r="C68" s="182"/>
      <c r="D68" s="182"/>
      <c r="E68" s="182"/>
      <c r="F68" s="182"/>
      <c r="G68" s="36">
        <f t="shared" si="34"/>
        <v>1103964585.3104069</v>
      </c>
      <c r="H68" s="36">
        <f>+H44*'Rate Class Customer Model'!B17</f>
        <v>497564927.04541355</v>
      </c>
      <c r="I68" s="36">
        <f>I44*'Rate Class Customer Model'!C17</f>
        <v>133927159.90549397</v>
      </c>
      <c r="J68" s="36">
        <f>J44*'Rate Class Customer Model'!D17</f>
        <v>334769369.61297262</v>
      </c>
      <c r="K68" s="36">
        <f>K44*'Rate Class Customer Model'!E17</f>
        <v>43843051.451599903</v>
      </c>
      <c r="L68" s="36">
        <f>L44*'Rate Class Customer Model'!F17</f>
        <v>81400346</v>
      </c>
      <c r="M68" s="36">
        <f>M44*'Rate Class Customer Model'!G17</f>
        <v>9707250.415857574</v>
      </c>
      <c r="N68" s="36">
        <f>N44*'Rate Class Customer Model'!H17</f>
        <v>32437.293902321435</v>
      </c>
      <c r="O68" s="36">
        <f>O44*'Rate Class Customer Model'!I17</f>
        <v>2720043.5851669875</v>
      </c>
      <c r="P68" s="36"/>
    </row>
    <row r="69" spans="1:16" x14ac:dyDescent="0.3">
      <c r="A69">
        <v>2018</v>
      </c>
      <c r="B69" s="182"/>
      <c r="C69" s="182"/>
      <c r="D69" s="182"/>
      <c r="E69" s="182"/>
      <c r="F69" s="182"/>
      <c r="G69" s="36">
        <f t="shared" si="34"/>
        <v>1108154159.5282905</v>
      </c>
      <c r="H69" s="36">
        <f>+H45*'Rate Class Customer Model'!B18</f>
        <v>501651623.93201566</v>
      </c>
      <c r="I69" s="36">
        <f>I45*'Rate Class Customer Model'!C18</f>
        <v>133993251.05045794</v>
      </c>
      <c r="J69" s="36">
        <f>J45*'Rate Class Customer Model'!D18</f>
        <v>334225559.70947915</v>
      </c>
      <c r="K69" s="36">
        <f>K45*'Rate Class Customer Model'!E18</f>
        <v>44230678.122009844</v>
      </c>
      <c r="L69" s="36">
        <f>L45*'Rate Class Customer Model'!F18</f>
        <v>81400346</v>
      </c>
      <c r="M69" s="36">
        <f>M45*'Rate Class Customer Model'!G18</f>
        <v>9898324.6203202773</v>
      </c>
      <c r="N69" s="36">
        <f>N45*'Rate Class Customer Model'!H18</f>
        <v>31384.602258329876</v>
      </c>
      <c r="O69" s="36">
        <f>O45*'Rate Class Customer Model'!I18</f>
        <v>2722991.4917492145</v>
      </c>
      <c r="P69" s="36"/>
    </row>
    <row r="70" spans="1:16" x14ac:dyDescent="0.3">
      <c r="A70">
        <v>2019</v>
      </c>
      <c r="B70" s="182"/>
      <c r="C70" s="182"/>
      <c r="D70" s="182"/>
      <c r="E70" s="182"/>
      <c r="F70" s="182"/>
      <c r="G70" s="36">
        <f t="shared" si="34"/>
        <v>1112385440.8911178</v>
      </c>
      <c r="H70" s="36">
        <f>+H46*'Rate Class Customer Model'!B19</f>
        <v>505771886.47112894</v>
      </c>
      <c r="I70" s="36">
        <f>I46*'Rate Class Customer Model'!C19</f>
        <v>134059374.81046017</v>
      </c>
      <c r="J70" s="36">
        <f>J46*'Rate Class Customer Model'!D19</f>
        <v>333682633.18791366</v>
      </c>
      <c r="K70" s="36">
        <f>K46*'Rate Class Customer Model'!E19</f>
        <v>44621731.890457861</v>
      </c>
      <c r="L70" s="36">
        <f>L46*'Rate Class Customer Model'!F19</f>
        <v>81400346</v>
      </c>
      <c r="M70" s="36">
        <f>M46*'Rate Class Customer Model'!G19</f>
        <v>10093159.864217116</v>
      </c>
      <c r="N70" s="36">
        <f>N46*'Rate Class Customer Model'!H19</f>
        <v>30366.073750778327</v>
      </c>
      <c r="O70" s="36">
        <f>O46*'Rate Class Customer Model'!I19</f>
        <v>2725942.5931895184</v>
      </c>
      <c r="P70" s="36"/>
    </row>
    <row r="71" spans="1:16" x14ac:dyDescent="0.3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x14ac:dyDescent="0.3">
      <c r="A72" s="19" t="s">
        <v>43</v>
      </c>
      <c r="G72" s="36"/>
      <c r="H72" s="36"/>
      <c r="I72" s="36"/>
      <c r="J72" s="36"/>
      <c r="K72" s="36"/>
      <c r="L72" s="36"/>
      <c r="M72" s="36"/>
      <c r="N72" s="36"/>
      <c r="O72" s="36"/>
      <c r="P72" s="36" t="s">
        <v>15</v>
      </c>
    </row>
    <row r="73" spans="1:16" x14ac:dyDescent="0.3">
      <c r="A73">
        <v>2015</v>
      </c>
      <c r="G73" s="55">
        <f ca="1">G19</f>
        <v>1101602316.0187771</v>
      </c>
      <c r="H73" s="36">
        <f t="shared" ref="H73:O77" ca="1" si="35">H66+H87</f>
        <v>492350099.72870588</v>
      </c>
      <c r="I73" s="36">
        <f t="shared" ca="1" si="35"/>
        <v>134576529.59971598</v>
      </c>
      <c r="J73" s="36">
        <f t="shared" ca="1" si="35"/>
        <v>337701419.28615123</v>
      </c>
      <c r="K73" s="36">
        <f t="shared" ca="1" si="35"/>
        <v>43077959.531164952</v>
      </c>
      <c r="L73" s="36">
        <f t="shared" ca="1" si="35"/>
        <v>81811404.622764692</v>
      </c>
      <c r="M73" s="36">
        <f t="shared" ca="1" si="35"/>
        <v>9336096.1189408582</v>
      </c>
      <c r="N73" s="36">
        <f t="shared" ca="1" si="35"/>
        <v>34649.788587785748</v>
      </c>
      <c r="O73" s="36">
        <f t="shared" ca="1" si="35"/>
        <v>2714157.3427455146</v>
      </c>
      <c r="P73" s="36">
        <f t="shared" ref="P73:P77" ca="1" si="36">SUM(H73:O73)</f>
        <v>1101602316.0187769</v>
      </c>
    </row>
    <row r="74" spans="1:16" x14ac:dyDescent="0.3">
      <c r="A74">
        <v>2016</v>
      </c>
      <c r="B74" s="182"/>
      <c r="C74" s="182"/>
      <c r="D74" s="182"/>
      <c r="E74" s="182"/>
      <c r="F74" s="182"/>
      <c r="G74" s="55">
        <f ca="1">G20</f>
        <v>1110562635.531291</v>
      </c>
      <c r="H74" s="36">
        <f t="shared" ca="1" si="35"/>
        <v>498749081.10270017</v>
      </c>
      <c r="I74" s="36">
        <f t="shared" ca="1" si="35"/>
        <v>135281747.78557763</v>
      </c>
      <c r="J74" s="36">
        <f t="shared" ca="1" si="35"/>
        <v>338655233.62965429</v>
      </c>
      <c r="K74" s="36">
        <f t="shared" ca="1" si="35"/>
        <v>43458821.844992571</v>
      </c>
      <c r="L74" s="36">
        <f t="shared" ca="1" si="35"/>
        <v>82147262.354926825</v>
      </c>
      <c r="M74" s="36">
        <f t="shared" ca="1" si="35"/>
        <v>9519864.6488841902</v>
      </c>
      <c r="N74" s="36">
        <f t="shared" ca="1" si="35"/>
        <v>33525.294571044557</v>
      </c>
      <c r="O74" s="36">
        <f t="shared" ca="1" si="35"/>
        <v>2717098.8699840889</v>
      </c>
      <c r="P74" s="36">
        <f t="shared" ca="1" si="36"/>
        <v>1110562635.531291</v>
      </c>
    </row>
    <row r="75" spans="1:16" x14ac:dyDescent="0.3">
      <c r="A75">
        <v>2017</v>
      </c>
      <c r="B75" s="182"/>
      <c r="C75" s="182"/>
      <c r="D75" s="182"/>
      <c r="E75" s="182"/>
      <c r="F75" s="182"/>
      <c r="G75" s="55">
        <f ca="1">G21</f>
        <v>1113468135.8410716</v>
      </c>
      <c r="H75" s="36">
        <f t="shared" ca="1" si="35"/>
        <v>502218257.76489985</v>
      </c>
      <c r="I75" s="36">
        <f t="shared" ca="1" si="35"/>
        <v>135179674.56938407</v>
      </c>
      <c r="J75" s="36">
        <f t="shared" ca="1" si="35"/>
        <v>337708879.84970886</v>
      </c>
      <c r="K75" s="36">
        <f t="shared" ca="1" si="35"/>
        <v>43843051.451599903</v>
      </c>
      <c r="L75" s="36">
        <f t="shared" ca="1" si="35"/>
        <v>82058540.91055204</v>
      </c>
      <c r="M75" s="36">
        <f t="shared" ca="1" si="35"/>
        <v>9707250.415857574</v>
      </c>
      <c r="N75" s="36">
        <f t="shared" ca="1" si="35"/>
        <v>32437.293902321435</v>
      </c>
      <c r="O75" s="36">
        <f t="shared" ca="1" si="35"/>
        <v>2720043.5851669875</v>
      </c>
      <c r="P75" s="36">
        <f t="shared" ca="1" si="36"/>
        <v>1113468135.8410718</v>
      </c>
    </row>
    <row r="76" spans="1:16" x14ac:dyDescent="0.3">
      <c r="A76">
        <v>2018</v>
      </c>
      <c r="B76" s="182"/>
      <c r="C76" s="182"/>
      <c r="D76" s="182"/>
      <c r="E76" s="182"/>
      <c r="F76" s="182"/>
      <c r="G76" s="55">
        <f ca="1">G22</f>
        <v>1116270187.2301373</v>
      </c>
      <c r="H76" s="36">
        <f t="shared" ca="1" si="35"/>
        <v>505643896.60431212</v>
      </c>
      <c r="I76" s="36">
        <f t="shared" ca="1" si="35"/>
        <v>135059603.81185836</v>
      </c>
      <c r="J76" s="36">
        <f t="shared" ca="1" si="35"/>
        <v>336722871.31391472</v>
      </c>
      <c r="K76" s="36">
        <f t="shared" ca="1" si="35"/>
        <v>44230678.122009844</v>
      </c>
      <c r="L76" s="36">
        <f t="shared" ca="1" si="35"/>
        <v>81960436.663714439</v>
      </c>
      <c r="M76" s="36">
        <f t="shared" ca="1" si="35"/>
        <v>9898324.6203202773</v>
      </c>
      <c r="N76" s="36">
        <f t="shared" ca="1" si="35"/>
        <v>31384.602258329876</v>
      </c>
      <c r="O76" s="36">
        <f t="shared" ca="1" si="35"/>
        <v>2722991.4917492145</v>
      </c>
      <c r="P76" s="36">
        <f t="shared" ca="1" si="36"/>
        <v>1116270187.2301376</v>
      </c>
    </row>
    <row r="77" spans="1:16" x14ac:dyDescent="0.3">
      <c r="A77">
        <v>2019</v>
      </c>
      <c r="B77" s="182"/>
      <c r="C77" s="182"/>
      <c r="D77" s="182"/>
      <c r="E77" s="182"/>
      <c r="F77" s="182"/>
      <c r="G77" s="55">
        <f ca="1">G23</f>
        <v>1123246767.6720271</v>
      </c>
      <c r="H77" s="36">
        <f t="shared" ca="1" si="35"/>
        <v>511139103.17152613</v>
      </c>
      <c r="I77" s="36">
        <f t="shared" ca="1" si="35"/>
        <v>135482003.73581976</v>
      </c>
      <c r="J77" s="36">
        <f t="shared" ca="1" si="35"/>
        <v>337007261.90194863</v>
      </c>
      <c r="K77" s="36">
        <f t="shared" ca="1" si="35"/>
        <v>44621731.890457861</v>
      </c>
      <c r="L77" s="36">
        <f t="shared" ca="1" si="35"/>
        <v>82147198.441117555</v>
      </c>
      <c r="M77" s="36">
        <f t="shared" ca="1" si="35"/>
        <v>10093159.864217116</v>
      </c>
      <c r="N77" s="36">
        <f t="shared" ca="1" si="35"/>
        <v>30366.073750778327</v>
      </c>
      <c r="O77" s="36">
        <f t="shared" ca="1" si="35"/>
        <v>2725942.5931895184</v>
      </c>
      <c r="P77" s="36">
        <f t="shared" ca="1" si="36"/>
        <v>1123246767.6720271</v>
      </c>
    </row>
    <row r="78" spans="1:16" x14ac:dyDescent="0.3"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 x14ac:dyDescent="0.3">
      <c r="A79" s="49" t="s">
        <v>45</v>
      </c>
      <c r="G79" s="36"/>
      <c r="H79" s="56">
        <f>(100%+J79)/2</f>
        <v>0.94241011075586667</v>
      </c>
      <c r="I79" s="56">
        <f>H79</f>
        <v>0.94241011075586667</v>
      </c>
      <c r="J79" s="56">
        <v>0.88482022151173345</v>
      </c>
      <c r="K79" s="56">
        <v>0</v>
      </c>
      <c r="L79" s="56">
        <v>0.81480567631147327</v>
      </c>
      <c r="M79" s="56">
        <v>0</v>
      </c>
      <c r="N79" s="56">
        <v>0</v>
      </c>
      <c r="O79" s="56">
        <v>0</v>
      </c>
      <c r="P79" s="36" t="s">
        <v>15</v>
      </c>
    </row>
    <row r="80" spans="1:16" x14ac:dyDescent="0.3">
      <c r="A80">
        <v>2015</v>
      </c>
      <c r="G80" s="36">
        <f ca="1">G73-G66</f>
        <v>5893247.8344619274</v>
      </c>
      <c r="H80" s="36">
        <f t="shared" ref="H80:O84" si="37">H66*H$79</f>
        <v>461301398.22604841</v>
      </c>
      <c r="I80" s="36">
        <f t="shared" si="37"/>
        <v>126089831.8228545</v>
      </c>
      <c r="J80" s="36">
        <f t="shared" si="37"/>
        <v>297175405.76658958</v>
      </c>
      <c r="K80" s="36">
        <f t="shared" si="37"/>
        <v>0</v>
      </c>
      <c r="L80" s="36">
        <f t="shared" si="37"/>
        <v>66325463.974517927</v>
      </c>
      <c r="M80" s="36">
        <f t="shared" si="37"/>
        <v>0</v>
      </c>
      <c r="N80" s="36">
        <f t="shared" si="37"/>
        <v>0</v>
      </c>
      <c r="O80" s="36">
        <f t="shared" si="37"/>
        <v>0</v>
      </c>
      <c r="P80" s="36">
        <f t="shared" ref="P80:P84" si="38">SUM(H80:O80)</f>
        <v>950892099.79001033</v>
      </c>
    </row>
    <row r="81" spans="1:16" x14ac:dyDescent="0.3">
      <c r="A81">
        <v>2016</v>
      </c>
      <c r="B81" s="182"/>
      <c r="C81" s="182"/>
      <c r="D81" s="182"/>
      <c r="E81" s="182"/>
      <c r="F81" s="182"/>
      <c r="G81" s="36">
        <f ca="1">G74-G67</f>
        <v>10746290.808381319</v>
      </c>
      <c r="H81" s="36">
        <f t="shared" si="37"/>
        <v>465090248.45532411</v>
      </c>
      <c r="I81" s="36">
        <f t="shared" si="37"/>
        <v>126152055.35809089</v>
      </c>
      <c r="J81" s="36">
        <f t="shared" si="37"/>
        <v>296692664.68153334</v>
      </c>
      <c r="K81" s="36">
        <f t="shared" si="37"/>
        <v>0</v>
      </c>
      <c r="L81" s="36">
        <f t="shared" si="37"/>
        <v>66325463.974517927</v>
      </c>
      <c r="M81" s="36">
        <f t="shared" si="37"/>
        <v>0</v>
      </c>
      <c r="N81" s="36">
        <f t="shared" si="37"/>
        <v>0</v>
      </c>
      <c r="O81" s="36">
        <f t="shared" si="37"/>
        <v>0</v>
      </c>
      <c r="P81" s="36">
        <f t="shared" si="38"/>
        <v>954260432.46946633</v>
      </c>
    </row>
    <row r="82" spans="1:16" x14ac:dyDescent="0.3">
      <c r="A82">
        <v>2017</v>
      </c>
      <c r="B82" s="182"/>
      <c r="C82" s="182"/>
      <c r="D82" s="182"/>
      <c r="E82" s="182"/>
      <c r="F82" s="182"/>
      <c r="G82" s="36">
        <f ca="1">G75-G68</f>
        <v>9503550.5306646824</v>
      </c>
      <c r="H82" s="36">
        <f t="shared" si="37"/>
        <v>468910218.00510293</v>
      </c>
      <c r="I82" s="36">
        <f t="shared" si="37"/>
        <v>126214309.59975524</v>
      </c>
      <c r="J82" s="36">
        <f t="shared" si="37"/>
        <v>296210707.77629381</v>
      </c>
      <c r="K82" s="36">
        <f t="shared" si="37"/>
        <v>0</v>
      </c>
      <c r="L82" s="36">
        <f t="shared" si="37"/>
        <v>66325463.974517927</v>
      </c>
      <c r="M82" s="36">
        <f t="shared" si="37"/>
        <v>0</v>
      </c>
      <c r="N82" s="36">
        <f t="shared" si="37"/>
        <v>0</v>
      </c>
      <c r="O82" s="36">
        <f t="shared" si="37"/>
        <v>0</v>
      </c>
      <c r="P82" s="36">
        <f t="shared" si="38"/>
        <v>957660699.35566986</v>
      </c>
    </row>
    <row r="83" spans="1:16" x14ac:dyDescent="0.3">
      <c r="A83">
        <v>2018</v>
      </c>
      <c r="B83" s="182"/>
      <c r="C83" s="182"/>
      <c r="D83" s="182"/>
      <c r="E83" s="182"/>
      <c r="F83" s="182"/>
      <c r="G83" s="36">
        <f ca="1">G76-G69</f>
        <v>8116027.701846838</v>
      </c>
      <c r="H83" s="36">
        <f t="shared" si="37"/>
        <v>472761562.47063124</v>
      </c>
      <c r="I83" s="36">
        <f t="shared" si="37"/>
        <v>126276594.56300071</v>
      </c>
      <c r="J83" s="36">
        <f t="shared" si="37"/>
        <v>295729533.77702445</v>
      </c>
      <c r="K83" s="36">
        <f t="shared" si="37"/>
        <v>0</v>
      </c>
      <c r="L83" s="36">
        <f t="shared" si="37"/>
        <v>66325463.974517927</v>
      </c>
      <c r="M83" s="36">
        <f t="shared" si="37"/>
        <v>0</v>
      </c>
      <c r="N83" s="36">
        <f t="shared" si="37"/>
        <v>0</v>
      </c>
      <c r="O83" s="36">
        <f t="shared" si="37"/>
        <v>0</v>
      </c>
      <c r="P83" s="36">
        <f t="shared" si="38"/>
        <v>961093154.78517425</v>
      </c>
    </row>
    <row r="84" spans="1:16" x14ac:dyDescent="0.3">
      <c r="A84">
        <v>2019</v>
      </c>
      <c r="B84" s="182"/>
      <c r="C84" s="182"/>
      <c r="D84" s="182"/>
      <c r="E84" s="182"/>
      <c r="F84" s="182"/>
      <c r="G84" s="36">
        <f ca="1">G77-G70</f>
        <v>10861326.7809093</v>
      </c>
      <c r="H84" s="36">
        <f t="shared" si="37"/>
        <v>476644539.54646027</v>
      </c>
      <c r="I84" s="36">
        <f t="shared" si="37"/>
        <v>126338910.262988</v>
      </c>
      <c r="J84" s="36">
        <f t="shared" si="37"/>
        <v>295249141.41194826</v>
      </c>
      <c r="K84" s="36">
        <f t="shared" si="37"/>
        <v>0</v>
      </c>
      <c r="L84" s="36">
        <f t="shared" si="37"/>
        <v>66325463.974517927</v>
      </c>
      <c r="M84" s="36">
        <f t="shared" si="37"/>
        <v>0</v>
      </c>
      <c r="N84" s="36">
        <f t="shared" si="37"/>
        <v>0</v>
      </c>
      <c r="O84" s="36">
        <f t="shared" si="37"/>
        <v>0</v>
      </c>
      <c r="P84" s="36">
        <f t="shared" si="38"/>
        <v>964558055.19591439</v>
      </c>
    </row>
    <row r="85" spans="1:16" ht="12" customHeight="1" x14ac:dyDescent="0.3"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x14ac:dyDescent="0.3">
      <c r="A86" t="s">
        <v>46</v>
      </c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 x14ac:dyDescent="0.3">
      <c r="A87">
        <v>2015</v>
      </c>
      <c r="G87" s="36"/>
      <c r="H87" s="36">
        <f t="shared" ref="H87:O91" ca="1" si="39">H80/$P80*$G80</f>
        <v>2858961.0395651315</v>
      </c>
      <c r="I87" s="36">
        <f t="shared" ca="1" si="39"/>
        <v>781454.20337575977</v>
      </c>
      <c r="J87" s="36">
        <f t="shared" ca="1" si="39"/>
        <v>1841773.9687563418</v>
      </c>
      <c r="K87" s="36">
        <f t="shared" ca="1" si="39"/>
        <v>0</v>
      </c>
      <c r="L87" s="36">
        <f t="shared" ca="1" si="39"/>
        <v>411058.62276469474</v>
      </c>
      <c r="M87" s="36">
        <f t="shared" ca="1" si="39"/>
        <v>0</v>
      </c>
      <c r="N87" s="36">
        <f t="shared" ca="1" si="39"/>
        <v>0</v>
      </c>
      <c r="O87" s="36">
        <f t="shared" ca="1" si="39"/>
        <v>0</v>
      </c>
      <c r="P87" s="36">
        <f ca="1">SUM(H87:O87)</f>
        <v>5893247.8344619283</v>
      </c>
    </row>
    <row r="88" spans="1:16" x14ac:dyDescent="0.3">
      <c r="A88">
        <v>2016</v>
      </c>
      <c r="B88" s="182"/>
      <c r="C88" s="182"/>
      <c r="D88" s="182"/>
      <c r="E88" s="182"/>
      <c r="F88" s="182"/>
      <c r="G88" s="36"/>
      <c r="H88" s="36">
        <f t="shared" ca="1" si="39"/>
        <v>5237558.7334259041</v>
      </c>
      <c r="I88" s="36">
        <f t="shared" ca="1" si="39"/>
        <v>1420646.4260965164</v>
      </c>
      <c r="J88" s="36">
        <f t="shared" ca="1" si="39"/>
        <v>3341169.2939320737</v>
      </c>
      <c r="K88" s="36">
        <f t="shared" ca="1" si="39"/>
        <v>0</v>
      </c>
      <c r="L88" s="36">
        <f t="shared" ca="1" si="39"/>
        <v>746916.35492682375</v>
      </c>
      <c r="M88" s="36">
        <f t="shared" ca="1" si="39"/>
        <v>0</v>
      </c>
      <c r="N88" s="36">
        <f t="shared" ca="1" si="39"/>
        <v>0</v>
      </c>
      <c r="O88" s="36">
        <f t="shared" ca="1" si="39"/>
        <v>0</v>
      </c>
      <c r="P88" s="36">
        <f t="shared" ref="P88:P91" ca="1" si="40">SUM(H88:O88)</f>
        <v>10746290.808381319</v>
      </c>
    </row>
    <row r="89" spans="1:16" x14ac:dyDescent="0.3">
      <c r="A89">
        <v>2017</v>
      </c>
      <c r="B89" s="182"/>
      <c r="C89" s="182"/>
      <c r="D89" s="182"/>
      <c r="E89" s="182"/>
      <c r="F89" s="182"/>
      <c r="G89" s="36"/>
      <c r="H89" s="36">
        <f t="shared" ca="1" si="39"/>
        <v>4653330.7194863157</v>
      </c>
      <c r="I89" s="36">
        <f t="shared" ca="1" si="39"/>
        <v>1252514.6638901057</v>
      </c>
      <c r="J89" s="36">
        <f t="shared" ca="1" si="39"/>
        <v>2939510.2367362189</v>
      </c>
      <c r="K89" s="36">
        <f t="shared" ca="1" si="39"/>
        <v>0</v>
      </c>
      <c r="L89" s="36">
        <f t="shared" ca="1" si="39"/>
        <v>658194.91055204207</v>
      </c>
      <c r="M89" s="36">
        <f t="shared" ca="1" si="39"/>
        <v>0</v>
      </c>
      <c r="N89" s="36">
        <f t="shared" ca="1" si="39"/>
        <v>0</v>
      </c>
      <c r="O89" s="36">
        <f t="shared" ca="1" si="39"/>
        <v>0</v>
      </c>
      <c r="P89" s="36">
        <f t="shared" ca="1" si="40"/>
        <v>9503550.5306646824</v>
      </c>
    </row>
    <row r="90" spans="1:16" x14ac:dyDescent="0.3">
      <c r="A90">
        <v>2018</v>
      </c>
      <c r="B90" s="182"/>
      <c r="C90" s="182"/>
      <c r="D90" s="182"/>
      <c r="E90" s="182"/>
      <c r="F90" s="182"/>
      <c r="G90" s="36"/>
      <c r="H90" s="36">
        <f t="shared" ca="1" si="39"/>
        <v>3992272.6722964547</v>
      </c>
      <c r="I90" s="36">
        <f t="shared" ca="1" si="39"/>
        <v>1066352.7614004032</v>
      </c>
      <c r="J90" s="36">
        <f t="shared" ca="1" si="39"/>
        <v>2497311.6044355421</v>
      </c>
      <c r="K90" s="36">
        <f t="shared" ca="1" si="39"/>
        <v>0</v>
      </c>
      <c r="L90" s="36">
        <f t="shared" ca="1" si="39"/>
        <v>560090.66371443868</v>
      </c>
      <c r="M90" s="36">
        <f t="shared" ca="1" si="39"/>
        <v>0</v>
      </c>
      <c r="N90" s="36">
        <f t="shared" ca="1" si="39"/>
        <v>0</v>
      </c>
      <c r="O90" s="36">
        <f t="shared" ca="1" si="39"/>
        <v>0</v>
      </c>
      <c r="P90" s="36">
        <f t="shared" ca="1" si="40"/>
        <v>8116027.701846838</v>
      </c>
    </row>
    <row r="91" spans="1:16" x14ac:dyDescent="0.3">
      <c r="A91">
        <v>2019</v>
      </c>
      <c r="B91" s="182"/>
      <c r="C91" s="182"/>
      <c r="D91" s="182"/>
      <c r="E91" s="182"/>
      <c r="F91" s="182"/>
      <c r="G91" s="36"/>
      <c r="H91" s="36">
        <f t="shared" ca="1" si="39"/>
        <v>5367216.7003971944</v>
      </c>
      <c r="I91" s="36">
        <f t="shared" ca="1" si="39"/>
        <v>1422628.9253595783</v>
      </c>
      <c r="J91" s="36">
        <f t="shared" ca="1" si="39"/>
        <v>3324628.714034976</v>
      </c>
      <c r="K91" s="36">
        <f t="shared" ca="1" si="39"/>
        <v>0</v>
      </c>
      <c r="L91" s="36">
        <f t="shared" ca="1" si="39"/>
        <v>746852.44111755129</v>
      </c>
      <c r="M91" s="36">
        <f t="shared" ca="1" si="39"/>
        <v>0</v>
      </c>
      <c r="N91" s="36">
        <f t="shared" ca="1" si="39"/>
        <v>0</v>
      </c>
      <c r="O91" s="36">
        <f t="shared" ca="1" si="39"/>
        <v>0</v>
      </c>
      <c r="P91" s="36">
        <f t="shared" ca="1" si="40"/>
        <v>10861326.7809093</v>
      </c>
    </row>
    <row r="93" spans="1:16" x14ac:dyDescent="0.3">
      <c r="F93" s="405" t="s">
        <v>288</v>
      </c>
    </row>
    <row r="94" spans="1:16" x14ac:dyDescent="0.3">
      <c r="A94" s="404">
        <v>2015</v>
      </c>
      <c r="B94" s="405"/>
      <c r="C94" s="405"/>
      <c r="D94" s="405"/>
      <c r="E94" s="405"/>
      <c r="F94" s="405"/>
      <c r="G94" s="403">
        <f>' CDM Summary'!K$17</f>
        <v>11722370.830387479</v>
      </c>
      <c r="H94" s="403">
        <f>($G$94-$M$94)*H66/($G$66-$M$66)</f>
        <v>4981199.5291091874</v>
      </c>
      <c r="I94" s="403">
        <f>($G$94-$M$94)*I66/($G$66-$M$66)</f>
        <v>1361536.3259612024</v>
      </c>
      <c r="J94" s="403">
        <f>($G$94-$M$94)*J66/($G$66-$M$66)</f>
        <v>3417802.2335236631</v>
      </c>
      <c r="K94" s="403">
        <f>($G$94-$M$94)*K66/($G$66-$M$66)</f>
        <v>438373.43471889885</v>
      </c>
      <c r="L94" s="403">
        <f>($G$94-$M$94)*L66/($G$66-$M$66)</f>
        <v>828352.8201355777</v>
      </c>
      <c r="M94" s="403">
        <f>' CDM Summary'!K18</f>
        <v>667133.85228640214</v>
      </c>
      <c r="N94" s="403">
        <f>($G$94-$M$94)*N66/($G$66-$M$66)</f>
        <v>352.60599621768046</v>
      </c>
      <c r="O94" s="403">
        <f>($G$94-$M$94)*O66/($G$66-$M$66)</f>
        <v>27620.028656326998</v>
      </c>
      <c r="P94" s="403">
        <f t="shared" ref="P94:P98" si="41">SUM(H94:O94)</f>
        <v>11722370.830387477</v>
      </c>
    </row>
    <row r="95" spans="1:16" x14ac:dyDescent="0.3">
      <c r="A95" s="404">
        <v>2016</v>
      </c>
      <c r="B95" s="405"/>
      <c r="C95" s="405"/>
      <c r="D95" s="405"/>
      <c r="E95" s="405"/>
      <c r="F95" s="405"/>
      <c r="G95" s="403">
        <f>' CDM Summary'!L$17</f>
        <v>24125692.640815124</v>
      </c>
      <c r="H95" s="403">
        <f>($G$95-$M$95)*H67/($G$67-$M$67)</f>
        <v>9064408.1084951535</v>
      </c>
      <c r="I95" s="403">
        <f>($G$95-$M$95)*I67/($G$67-$M$67)</f>
        <v>2458649.0843207836</v>
      </c>
      <c r="J95" s="403">
        <f>($G$95-$M$95)*J67/($G$67-$M$67)</f>
        <v>6158769.118632474</v>
      </c>
      <c r="K95" s="403">
        <f>($G$95-$M$95)*K67/($G$67-$M$67)</f>
        <v>798215.39976656623</v>
      </c>
      <c r="L95" s="403">
        <f>($G$95-$M$95)*L67/($G$67-$M$67)</f>
        <v>1495093.6763835303</v>
      </c>
      <c r="M95" s="403">
        <f>' CDM Summary'!L18</f>
        <v>4100036.0822803853</v>
      </c>
      <c r="N95" s="403">
        <f>($G$95-$M$95)*N67/($G$67-$M$67)</f>
        <v>615.76465426896118</v>
      </c>
      <c r="O95" s="403">
        <f>($G$95-$M$95)*O67/($G$67-$M$67)</f>
        <v>49905.406281959135</v>
      </c>
      <c r="P95" s="403">
        <f t="shared" si="41"/>
        <v>24125692.640815116</v>
      </c>
    </row>
    <row r="96" spans="1:16" x14ac:dyDescent="0.3">
      <c r="A96" s="404">
        <v>2017</v>
      </c>
      <c r="B96" s="405"/>
      <c r="C96" s="405"/>
      <c r="D96" s="405"/>
      <c r="E96" s="405"/>
      <c r="F96" s="405"/>
      <c r="G96" s="403">
        <f>' CDM Summary'!M$17</f>
        <v>31796619.076815814</v>
      </c>
      <c r="H96" s="403">
        <f>($G$96-$M$96)*H68/($G$68-$M$68)</f>
        <v>12376486.664670894</v>
      </c>
      <c r="I96" s="403">
        <f>($G$96-$M$96)*I68/($G$68-$M$68)</f>
        <v>3331319.4289040104</v>
      </c>
      <c r="J96" s="403">
        <f>($G$96-$M$96)*J68/($G$68-$M$68)</f>
        <v>8327091.4277627021</v>
      </c>
      <c r="K96" s="403">
        <f>($G$96-$M$96)*K68/($G$68-$M$68)</f>
        <v>1090557.0552397072</v>
      </c>
      <c r="L96" s="403">
        <f>($G$96-$M$96)*L68/($G$68-$M$68)</f>
        <v>2024761.4773632248</v>
      </c>
      <c r="M96" s="403">
        <f>' CDM Summary'!M18</f>
        <v>4577937.5</v>
      </c>
      <c r="N96" s="403">
        <f>($G$96-$M$96)*N68/($G$68-$M$68)</f>
        <v>806.84894291886019</v>
      </c>
      <c r="O96" s="403">
        <f>($G$96-$M$96)*O68/($G$68-$M$68)</f>
        <v>67658.673932357386</v>
      </c>
      <c r="P96" s="403">
        <f t="shared" si="41"/>
        <v>31796619.076815818</v>
      </c>
    </row>
    <row r="97" spans="1:16" x14ac:dyDescent="0.3">
      <c r="A97" s="404">
        <v>2018</v>
      </c>
      <c r="B97" s="405"/>
      <c r="C97" s="405"/>
      <c r="D97" s="405"/>
      <c r="E97" s="405"/>
      <c r="F97" s="405"/>
      <c r="G97" s="403">
        <f>' CDM Summary'!N$17</f>
        <v>42113260.593303367</v>
      </c>
      <c r="H97" s="403">
        <f>($G$97-$M$97)*H69/($G$69-$M$69)</f>
        <v>17145054.172324412</v>
      </c>
      <c r="I97" s="403">
        <f>($G$97-$M$97)*I69/($G$69-$M$69)</f>
        <v>4579515.8201208208</v>
      </c>
      <c r="J97" s="403">
        <f>($G$97-$M$97)*J69/($G$69-$M$69)</f>
        <v>11422897.990600435</v>
      </c>
      <c r="K97" s="403">
        <f>($G$97-$M$97)*K69/($G$69-$M$69)</f>
        <v>1511681.2869786972</v>
      </c>
      <c r="L97" s="403">
        <f>($G$97-$M$97)*L69/($G$69-$M$69)</f>
        <v>2782036.9260981116</v>
      </c>
      <c r="M97" s="403">
        <f>' CDM Summary'!N18</f>
        <v>4577937.5</v>
      </c>
      <c r="N97" s="403">
        <f>($G$97-$M$97)*N69/($G$69-$M$69)</f>
        <v>1072.6382218765496</v>
      </c>
      <c r="O97" s="403">
        <f>($G$97-$M$97)*O69/($G$69-$M$69)</f>
        <v>93064.258959013459</v>
      </c>
      <c r="P97" s="403">
        <f t="shared" si="41"/>
        <v>42113260.59330336</v>
      </c>
    </row>
    <row r="98" spans="1:16" x14ac:dyDescent="0.3">
      <c r="A98" s="404">
        <v>2019</v>
      </c>
      <c r="B98" s="404"/>
      <c r="C98" s="404"/>
      <c r="D98" s="404"/>
      <c r="E98" s="404"/>
      <c r="F98" s="404"/>
      <c r="G98" s="403">
        <f>' CDM Summary'!O$17</f>
        <v>56197152.258125916</v>
      </c>
      <c r="H98" s="403">
        <f>($G$98-$M$98)*H70/($G$70-$M$70)</f>
        <v>23684777.690771606</v>
      </c>
      <c r="I98" s="403">
        <f>($G$98-$M$98)*I70/($G$70-$M$70)</f>
        <v>6277862.757266609</v>
      </c>
      <c r="J98" s="403">
        <f>($G$98-$M$98)*J70/($G$70-$M$70)</f>
        <v>15626014.805744175</v>
      </c>
      <c r="K98" s="403">
        <f>($G$98-$M$98)*K70/($G$70-$M$70)</f>
        <v>2089589.8492433052</v>
      </c>
      <c r="L98" s="403">
        <f>($G$98-$M$98)*L70/($G$70-$M$70)</f>
        <v>3811894.5527272662</v>
      </c>
      <c r="M98" s="403">
        <f>' CDM Summary'!O18</f>
        <v>4577937.5</v>
      </c>
      <c r="N98" s="403">
        <f>($G$98-$M$98)*N70/($G$70-$M$70)</f>
        <v>1422.0120282818739</v>
      </c>
      <c r="O98" s="403">
        <f>($G$98-$M$98)*O70/($G$70-$M$70)</f>
        <v>127653.09034468187</v>
      </c>
      <c r="P98" s="403">
        <f t="shared" si="41"/>
        <v>56197152.258125931</v>
      </c>
    </row>
    <row r="99" spans="1:16" x14ac:dyDescent="0.3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6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6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6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6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6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6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6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6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6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6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6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6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6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</row>
  </sheetData>
  <phoneticPr fontId="0" type="noConversion"/>
  <pageMargins left="0.38" right="0.75" top="0.73" bottom="0.74" header="0.5" footer="0.5"/>
  <pageSetup scale="58" orientation="portrait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zoomScale="89" zoomScaleNormal="89" workbookViewId="0">
      <pane xSplit="1" ySplit="2" topLeftCell="B4" activePane="bottomRight" state="frozen"/>
      <selection pane="topRight"/>
      <selection pane="bottomLeft"/>
      <selection pane="bottomRight" activeCell="F14" sqref="F14"/>
    </sheetView>
  </sheetViews>
  <sheetFormatPr defaultRowHeight="12.45" x14ac:dyDescent="0.3"/>
  <cols>
    <col min="1" max="1" width="11" customWidth="1"/>
    <col min="2" max="2" width="15" style="6" customWidth="1"/>
    <col min="3" max="4" width="14.15234375" style="6" bestFit="1" customWidth="1"/>
    <col min="5" max="6" width="14.15234375" style="6" customWidth="1"/>
    <col min="7" max="8" width="17.53515625" style="6" customWidth="1"/>
    <col min="9" max="9" width="12.53515625" style="6" customWidth="1"/>
    <col min="10" max="11" width="12.69140625" style="6" bestFit="1" customWidth="1"/>
  </cols>
  <sheetData>
    <row r="2" spans="1:11" ht="42" customHeight="1" x14ac:dyDescent="0.3">
      <c r="B2" s="9" t="str">
        <f>'Rate Class Energy Model'!H2</f>
        <v>Residential</v>
      </c>
      <c r="C2" s="9" t="str">
        <f>'Rate Class Energy Model'!I2</f>
        <v>GS&lt;50</v>
      </c>
      <c r="D2" s="9" t="str">
        <f>'Rate Class Energy Model'!J2</f>
        <v>GS&gt;50</v>
      </c>
      <c r="E2" s="9" t="str">
        <f>'Rate Class Energy Model'!K2</f>
        <v>Large User</v>
      </c>
      <c r="F2" s="9" t="str">
        <f>'Rate Class Energy Model'!L2</f>
        <v>I2</v>
      </c>
      <c r="G2" s="9" t="str">
        <f>'Rate Class Energy Model'!M2</f>
        <v>Streetlights</v>
      </c>
      <c r="H2" s="9" t="s">
        <v>78</v>
      </c>
      <c r="I2" s="9" t="str">
        <f>'Rate Class Energy Model'!O2</f>
        <v>USL</v>
      </c>
      <c r="J2" s="6" t="s">
        <v>9</v>
      </c>
    </row>
    <row r="3" spans="1:11" x14ac:dyDescent="0.3">
      <c r="A3" s="4">
        <v>2003</v>
      </c>
      <c r="B3" s="39">
        <f>AVERAGE('Year End Customer'!B6:B7)</f>
        <v>43319.5</v>
      </c>
      <c r="C3" s="39">
        <f>AVERAGE('Year End Customer'!C6:C7)</f>
        <v>3689</v>
      </c>
      <c r="D3" s="39">
        <f>AVERAGE('Year End Customer'!D6:D7)</f>
        <v>559</v>
      </c>
      <c r="E3" s="38">
        <f>AVERAGE('Year End Customer'!E6:E7)</f>
        <v>2.5</v>
      </c>
      <c r="F3" s="38">
        <f>AVERAGE('Year End Customer'!F6:F7)</f>
        <v>5</v>
      </c>
      <c r="G3" s="38">
        <f>AVERAGE('Year End Customer'!G6:G7)</f>
        <v>10059</v>
      </c>
      <c r="H3" s="39">
        <f>AVERAGE('Year End Customer'!H6:H7)</f>
        <v>34.5</v>
      </c>
      <c r="I3" s="39">
        <f>AVERAGE('Year End Customer'!I6:I7)</f>
        <v>292</v>
      </c>
      <c r="J3" s="38">
        <f>SUM(B3:I3)</f>
        <v>57960.5</v>
      </c>
    </row>
    <row r="4" spans="1:11" x14ac:dyDescent="0.3">
      <c r="A4" s="4">
        <v>2004</v>
      </c>
      <c r="B4" s="39">
        <f>AVERAGE('Year End Customer'!B7:B8)</f>
        <v>43979.5</v>
      </c>
      <c r="C4" s="39">
        <f>AVERAGE('Year End Customer'!C7:C8)</f>
        <v>3626.5</v>
      </c>
      <c r="D4" s="39">
        <f>AVERAGE('Year End Customer'!D7:D8)</f>
        <v>530</v>
      </c>
      <c r="E4" s="38">
        <f>AVERAGE('Year End Customer'!E7:E8)</f>
        <v>2.5</v>
      </c>
      <c r="F4" s="38">
        <f>AVERAGE('Year End Customer'!F7:F8)</f>
        <v>6</v>
      </c>
      <c r="G4" s="38">
        <f>AVERAGE('Year End Customer'!G7:G8)</f>
        <v>10262</v>
      </c>
      <c r="H4" s="39">
        <f>AVERAGE('Year End Customer'!H7:H8)</f>
        <v>30</v>
      </c>
      <c r="I4" s="39">
        <f>AVERAGE('Year End Customer'!I7:I8)</f>
        <v>294</v>
      </c>
      <c r="J4" s="38">
        <f t="shared" ref="J4:J13" si="0">SUM(B4:I4)</f>
        <v>58730.5</v>
      </c>
    </row>
    <row r="5" spans="1:11" x14ac:dyDescent="0.3">
      <c r="A5" s="4">
        <v>2005</v>
      </c>
      <c r="B5" s="39">
        <f>AVERAGE('Year End Customer'!B8:B9)</f>
        <v>44598.5</v>
      </c>
      <c r="C5" s="39">
        <f>AVERAGE('Year End Customer'!C8:C9)</f>
        <v>3662</v>
      </c>
      <c r="D5" s="39">
        <f>AVERAGE('Year End Customer'!D8:D9)</f>
        <v>521.5</v>
      </c>
      <c r="E5" s="38">
        <f>AVERAGE('Year End Customer'!E8:E9)</f>
        <v>2</v>
      </c>
      <c r="F5" s="38">
        <f>AVERAGE('Year End Customer'!F8:F9)</f>
        <v>7.5</v>
      </c>
      <c r="G5" s="38">
        <f>AVERAGE('Year End Customer'!G8:G9)</f>
        <v>10498.5</v>
      </c>
      <c r="H5" s="39">
        <f>AVERAGE('Year End Customer'!H8:H9)</f>
        <v>29.5</v>
      </c>
      <c r="I5" s="39">
        <f>AVERAGE('Year End Customer'!I8:I9)</f>
        <v>295</v>
      </c>
      <c r="J5" s="38">
        <f t="shared" si="0"/>
        <v>59614.5</v>
      </c>
      <c r="K5" s="176">
        <f t="shared" ref="K5:K19" si="1">+J5/J4</f>
        <v>1.015051804428704</v>
      </c>
    </row>
    <row r="6" spans="1:11" x14ac:dyDescent="0.3">
      <c r="A6" s="4">
        <v>2006</v>
      </c>
      <c r="B6" s="39">
        <f>AVERAGE('Year End Customer'!B9:B10)</f>
        <v>45439</v>
      </c>
      <c r="C6" s="39">
        <f>AVERAGE('Year End Customer'!C9:C10)</f>
        <v>3740.5</v>
      </c>
      <c r="D6" s="39">
        <f>AVERAGE('Year End Customer'!D9:D10)</f>
        <v>525</v>
      </c>
      <c r="E6" s="38">
        <f>AVERAGE('Year End Customer'!E9:E10)</f>
        <v>2</v>
      </c>
      <c r="F6" s="38">
        <f>AVERAGE('Year End Customer'!F9:F10)</f>
        <v>8.5</v>
      </c>
      <c r="G6" s="38">
        <f>AVERAGE('Year End Customer'!G9:G10)</f>
        <v>10831</v>
      </c>
      <c r="H6" s="39">
        <f>AVERAGE('Year End Customer'!H9:H10)</f>
        <v>28.5</v>
      </c>
      <c r="I6" s="39">
        <f>AVERAGE('Year End Customer'!I9:I10)</f>
        <v>298</v>
      </c>
      <c r="J6" s="38">
        <f t="shared" si="0"/>
        <v>60872.5</v>
      </c>
      <c r="K6" s="176">
        <f t="shared" si="1"/>
        <v>1.0211022486140118</v>
      </c>
    </row>
    <row r="7" spans="1:11" x14ac:dyDescent="0.3">
      <c r="A7" s="4">
        <v>2007</v>
      </c>
      <c r="B7" s="39">
        <f>AVERAGE('Year End Customer'!B10:B11)</f>
        <v>46320</v>
      </c>
      <c r="C7" s="39">
        <f>AVERAGE('Year End Customer'!C10:C11)</f>
        <v>3749</v>
      </c>
      <c r="D7" s="39">
        <f>AVERAGE('Year End Customer'!D10:D11)</f>
        <v>523</v>
      </c>
      <c r="E7" s="38">
        <f>AVERAGE('Year End Customer'!E10:E11)</f>
        <v>2</v>
      </c>
      <c r="F7" s="38">
        <f>AVERAGE('Year End Customer'!F10:F11)</f>
        <v>9</v>
      </c>
      <c r="G7" s="38">
        <f>AVERAGE('Year End Customer'!G10:G11)</f>
        <v>11280.5</v>
      </c>
      <c r="H7" s="39">
        <f>AVERAGE('Year End Customer'!H10:H11)</f>
        <v>26.5</v>
      </c>
      <c r="I7" s="39">
        <f>AVERAGE('Year End Customer'!I10:I11)</f>
        <v>301</v>
      </c>
      <c r="J7" s="38">
        <f t="shared" si="0"/>
        <v>62211</v>
      </c>
      <c r="K7" s="176">
        <f t="shared" si="1"/>
        <v>1.0219885826933344</v>
      </c>
    </row>
    <row r="8" spans="1:11" x14ac:dyDescent="0.3">
      <c r="A8" s="4">
        <v>2008</v>
      </c>
      <c r="B8" s="39">
        <f>AVERAGE('Year End Customer'!B11:B12)</f>
        <v>47057.5</v>
      </c>
      <c r="C8" s="39">
        <f>AVERAGE('Year End Customer'!C11:C12)</f>
        <v>3793.5</v>
      </c>
      <c r="D8" s="39">
        <f>AVERAGE('Year End Customer'!D11:D12)</f>
        <v>533.5</v>
      </c>
      <c r="E8" s="38">
        <f>AVERAGE('Year End Customer'!E11:E12)</f>
        <v>2.5</v>
      </c>
      <c r="F8" s="38">
        <f>AVERAGE('Year End Customer'!F11:F12)</f>
        <v>9</v>
      </c>
      <c r="G8" s="38">
        <f>AVERAGE('Year End Customer'!G11:G12)</f>
        <v>11621.5</v>
      </c>
      <c r="H8" s="39">
        <f>AVERAGE('Year End Customer'!H11:H12)</f>
        <v>26</v>
      </c>
      <c r="I8" s="39">
        <f>AVERAGE('Year End Customer'!I11:I12)</f>
        <v>301</v>
      </c>
      <c r="J8" s="38">
        <f t="shared" si="0"/>
        <v>63344.5</v>
      </c>
      <c r="K8" s="176">
        <f t="shared" si="1"/>
        <v>1.0182202504380253</v>
      </c>
    </row>
    <row r="9" spans="1:11" x14ac:dyDescent="0.3">
      <c r="A9" s="4">
        <v>2009</v>
      </c>
      <c r="B9" s="39">
        <f>AVERAGE('Year End Customer'!B12:B13)</f>
        <v>47602.5</v>
      </c>
      <c r="C9" s="38">
        <f>AVERAGE('Year End Customer'!C12:C13)</f>
        <v>3859.5</v>
      </c>
      <c r="D9" s="39">
        <f>AVERAGE('Year End Customer'!D12:D13)</f>
        <v>525</v>
      </c>
      <c r="E9" s="38">
        <f>AVERAGE('Year End Customer'!E12:E13)</f>
        <v>2</v>
      </c>
      <c r="F9" s="38">
        <f>AVERAGE('Year End Customer'!F12:F13)</f>
        <v>9.5</v>
      </c>
      <c r="G9" s="38">
        <f>AVERAGE('Year End Customer'!G12:G13)</f>
        <v>11801</v>
      </c>
      <c r="H9" s="39">
        <f>AVERAGE('Year End Customer'!H12:H13)</f>
        <v>26</v>
      </c>
      <c r="I9" s="39">
        <f>AVERAGE('Year End Customer'!I12:I13)</f>
        <v>302.5</v>
      </c>
      <c r="J9" s="38">
        <f t="shared" si="0"/>
        <v>64128</v>
      </c>
      <c r="K9" s="176">
        <f t="shared" si="1"/>
        <v>1.0123688718041819</v>
      </c>
    </row>
    <row r="10" spans="1:11" x14ac:dyDescent="0.3">
      <c r="A10" s="4">
        <v>2010</v>
      </c>
      <c r="B10" s="39">
        <f>AVERAGE('Year End Customer'!B13:B14)</f>
        <v>48114.5</v>
      </c>
      <c r="C10" s="39">
        <f>AVERAGE('Year End Customer'!C13:C14)</f>
        <v>3929</v>
      </c>
      <c r="D10" s="39">
        <f>AVERAGE('Year End Customer'!D13:D14)</f>
        <v>512.5</v>
      </c>
      <c r="E10" s="38">
        <f>AVERAGE('Year End Customer'!E13:E14)</f>
        <v>1</v>
      </c>
      <c r="F10" s="38">
        <f>AVERAGE('Year End Customer'!F13:F14)</f>
        <v>10</v>
      </c>
      <c r="G10" s="38">
        <f>AVERAGE('Year End Customer'!G13:G14)</f>
        <v>11995.5</v>
      </c>
      <c r="H10" s="39">
        <f>AVERAGE('Year End Customer'!H13:H14)</f>
        <v>25</v>
      </c>
      <c r="I10" s="39">
        <f>AVERAGE('Year End Customer'!I13:I14)</f>
        <v>306.5</v>
      </c>
      <c r="J10" s="38">
        <f t="shared" si="0"/>
        <v>64894</v>
      </c>
      <c r="K10" s="176">
        <f t="shared" si="1"/>
        <v>1.0119448602794412</v>
      </c>
    </row>
    <row r="11" spans="1:11" x14ac:dyDescent="0.3">
      <c r="A11" s="4">
        <v>2011</v>
      </c>
      <c r="B11" s="39">
        <f>AVERAGE('Year End Customer'!B14:B15)</f>
        <v>48650.5</v>
      </c>
      <c r="C11" s="39">
        <f>AVERAGE('Year End Customer'!C14:C15)</f>
        <v>3888.5</v>
      </c>
      <c r="D11" s="39">
        <f>AVERAGE('Year End Customer'!D14:D15)</f>
        <v>520.5</v>
      </c>
      <c r="E11" s="38">
        <f>AVERAGE('Year End Customer'!E14:E15)</f>
        <v>1</v>
      </c>
      <c r="F11" s="38">
        <f>AVERAGE('Year End Customer'!F14:F15)</f>
        <v>10</v>
      </c>
      <c r="G11" s="38">
        <f>AVERAGE('Year End Customer'!G14:G15)</f>
        <v>12127.5</v>
      </c>
      <c r="H11" s="39">
        <f>AVERAGE('Year End Customer'!H14:H15)</f>
        <v>24</v>
      </c>
      <c r="I11" s="39">
        <f>AVERAGE('Year End Customer'!I14:I15)</f>
        <v>302.5</v>
      </c>
      <c r="J11" s="38">
        <f t="shared" si="0"/>
        <v>65524.5</v>
      </c>
      <c r="K11" s="176">
        <f t="shared" si="1"/>
        <v>1.0097158442999352</v>
      </c>
    </row>
    <row r="12" spans="1:11" x14ac:dyDescent="0.3">
      <c r="A12" s="4">
        <v>2012</v>
      </c>
      <c r="B12" s="39">
        <f>AVERAGE('Year End Customer'!B15:B16)</f>
        <v>49021</v>
      </c>
      <c r="C12" s="39">
        <f>AVERAGE('Year End Customer'!C15:C16)</f>
        <v>3850.5</v>
      </c>
      <c r="D12" s="39">
        <f>AVERAGE('Year End Customer'!D15:D16)</f>
        <v>511.5</v>
      </c>
      <c r="E12" s="38">
        <f>AVERAGE('Year End Customer'!E15:E16)</f>
        <v>1</v>
      </c>
      <c r="F12" s="38">
        <f>AVERAGE('Year End Customer'!F15:F16)</f>
        <v>10.5</v>
      </c>
      <c r="G12" s="38">
        <f>AVERAGE('Year End Customer'!G15:G16)</f>
        <v>12213</v>
      </c>
      <c r="H12" s="39">
        <f>AVERAGE('Year End Customer'!H15:H16)</f>
        <v>24</v>
      </c>
      <c r="I12" s="39">
        <f>AVERAGE('Year End Customer'!I15:I16)</f>
        <v>295.5</v>
      </c>
      <c r="J12" s="38">
        <f t="shared" si="0"/>
        <v>65927</v>
      </c>
      <c r="K12" s="176">
        <f t="shared" si="1"/>
        <v>1.0061427405016443</v>
      </c>
    </row>
    <row r="13" spans="1:11" x14ac:dyDescent="0.3">
      <c r="A13" s="4">
        <v>2013</v>
      </c>
      <c r="B13" s="422">
        <f>AVERAGE('Year End Customer'!B16:B17)</f>
        <v>49516</v>
      </c>
      <c r="C13" s="422">
        <f>AVERAGE('Year End Customer'!C16:C17)</f>
        <v>3904.5</v>
      </c>
      <c r="D13" s="422">
        <f>AVERAGE('Year End Customer'!D16:D17)</f>
        <v>500</v>
      </c>
      <c r="E13" s="105">
        <f>AVERAGE('Year End Customer'!E16:E17)</f>
        <v>1</v>
      </c>
      <c r="F13" s="105">
        <f>AVERAGE('Year End Customer'!F16:F17)</f>
        <v>11</v>
      </c>
      <c r="G13" s="105">
        <f>AVERAGE('Year End Customer'!G16:G17)</f>
        <v>12332.5</v>
      </c>
      <c r="H13" s="422">
        <f>AVERAGE('Year End Customer'!H16:H17)</f>
        <v>24</v>
      </c>
      <c r="I13" s="422">
        <f>AVERAGE('Year End Customer'!I16:I17)</f>
        <v>295</v>
      </c>
      <c r="J13" s="105">
        <f t="shared" si="0"/>
        <v>66584</v>
      </c>
      <c r="K13" s="176">
        <f t="shared" si="1"/>
        <v>1.0099655679767015</v>
      </c>
    </row>
    <row r="14" spans="1:11" x14ac:dyDescent="0.3">
      <c r="A14" s="4">
        <v>2014</v>
      </c>
      <c r="B14" s="198">
        <f>AVERAGE('Year End Customer'!B17:B18)</f>
        <v>50202.5</v>
      </c>
      <c r="C14" s="198">
        <f>AVERAGE('Year End Customer'!C17:C18)</f>
        <v>3952.5</v>
      </c>
      <c r="D14" s="198">
        <f>AVERAGE('Year End Customer'!D17:D18)</f>
        <v>502.5</v>
      </c>
      <c r="E14" s="197">
        <f>AVERAGE('Year End Customer'!E17:E18)</f>
        <v>1</v>
      </c>
      <c r="F14" s="197">
        <f>AVERAGE('Year End Customer'!F17:F18)</f>
        <v>11</v>
      </c>
      <c r="G14" s="197">
        <f>AVERAGE('Year End Customer'!G17:G18)</f>
        <v>12464.5</v>
      </c>
      <c r="H14" s="198">
        <f>AVERAGE('Year End Customer'!H17:H18)</f>
        <v>24</v>
      </c>
      <c r="I14" s="198">
        <f>AVERAGE('Year End Customer'!I17:I18)</f>
        <v>295.5</v>
      </c>
      <c r="J14" s="197">
        <f t="shared" ref="J14" si="2">SUM(B14:I14)</f>
        <v>67453.5</v>
      </c>
      <c r="K14" s="176">
        <f t="shared" si="1"/>
        <v>1.0130586927790459</v>
      </c>
    </row>
    <row r="15" spans="1:11" x14ac:dyDescent="0.3">
      <c r="A15" s="4">
        <v>2015</v>
      </c>
      <c r="B15" s="21">
        <f>+B14*B$40</f>
        <v>50880.027408831855</v>
      </c>
      <c r="C15" s="21">
        <f t="shared" ref="C15:C19" si="3">+C14*C$40</f>
        <v>3977.3682995893246</v>
      </c>
      <c r="D15" s="21">
        <f t="shared" ref="D15:D19" si="4">+D14*D$40</f>
        <v>502.5</v>
      </c>
      <c r="E15" s="21">
        <f t="shared" ref="E15:E19" si="5">+E14*E$40</f>
        <v>1</v>
      </c>
      <c r="F15" s="21">
        <f t="shared" ref="F15:F19" si="6">+F14*F$40</f>
        <v>11</v>
      </c>
      <c r="G15" s="21">
        <f t="shared" ref="G15:G19" si="7">+G14*G$40</f>
        <v>12709.846964330369</v>
      </c>
      <c r="H15" s="21">
        <f t="shared" ref="H15:H19" si="8">+H14*H$40</f>
        <v>23.221124933174856</v>
      </c>
      <c r="I15" s="21">
        <f t="shared" ref="I15:I19" si="9">+I14*I$40</f>
        <v>295.82025457231583</v>
      </c>
      <c r="J15" s="21">
        <f t="shared" ref="J15:J19" si="10">SUM(B15:I15)</f>
        <v>68400.784052257033</v>
      </c>
      <c r="K15" s="176">
        <f t="shared" si="1"/>
        <v>1.0140435122307521</v>
      </c>
    </row>
    <row r="16" spans="1:11" x14ac:dyDescent="0.3">
      <c r="A16" s="4">
        <v>2016</v>
      </c>
      <c r="B16" s="21">
        <f t="shared" ref="B16:B19" si="11">+B15*B$40</f>
        <v>51566.698652925268</v>
      </c>
      <c r="C16" s="21">
        <f t="shared" si="3"/>
        <v>4002.3930652948957</v>
      </c>
      <c r="D16" s="21">
        <f t="shared" si="4"/>
        <v>502.5</v>
      </c>
      <c r="E16" s="21">
        <f t="shared" si="5"/>
        <v>1</v>
      </c>
      <c r="F16" s="21">
        <f t="shared" si="6"/>
        <v>11</v>
      </c>
      <c r="G16" s="21">
        <f t="shared" si="7"/>
        <v>12960.023254578835</v>
      </c>
      <c r="H16" s="21">
        <f t="shared" si="8"/>
        <v>22.46752679842146</v>
      </c>
      <c r="I16" s="21">
        <f t="shared" si="9"/>
        <v>296.14085622751179</v>
      </c>
      <c r="J16" s="21">
        <f t="shared" si="10"/>
        <v>69362.223355824943</v>
      </c>
      <c r="K16" s="176">
        <f t="shared" si="1"/>
        <v>1.0140559690490301</v>
      </c>
    </row>
    <row r="17" spans="1:11" x14ac:dyDescent="0.3">
      <c r="A17" s="4">
        <v>2017</v>
      </c>
      <c r="B17" s="21">
        <f t="shared" si="11"/>
        <v>52262.637136473488</v>
      </c>
      <c r="C17" s="21">
        <f t="shared" si="3"/>
        <v>4027.5752815686437</v>
      </c>
      <c r="D17" s="21">
        <f t="shared" si="4"/>
        <v>502.5</v>
      </c>
      <c r="E17" s="21">
        <f t="shared" si="5"/>
        <v>1</v>
      </c>
      <c r="F17" s="21">
        <f t="shared" si="6"/>
        <v>11</v>
      </c>
      <c r="G17" s="21">
        <f t="shared" si="7"/>
        <v>13215.123929548703</v>
      </c>
      <c r="H17" s="21">
        <f t="shared" si="8"/>
        <v>21.738385280233285</v>
      </c>
      <c r="I17" s="21">
        <f t="shared" si="9"/>
        <v>296.46180534174658</v>
      </c>
      <c r="J17" s="21">
        <f t="shared" si="10"/>
        <v>70338.036538212822</v>
      </c>
      <c r="K17" s="176">
        <f t="shared" si="1"/>
        <v>1.0140683665427217</v>
      </c>
    </row>
    <row r="18" spans="1:11" x14ac:dyDescent="0.3">
      <c r="A18" s="4">
        <v>2018</v>
      </c>
      <c r="B18" s="21">
        <f t="shared" si="11"/>
        <v>52967.967929119157</v>
      </c>
      <c r="C18" s="21">
        <f t="shared" si="3"/>
        <v>4052.9159390564632</v>
      </c>
      <c r="D18" s="21">
        <f t="shared" si="4"/>
        <v>502.5</v>
      </c>
      <c r="E18" s="21">
        <f t="shared" si="5"/>
        <v>1</v>
      </c>
      <c r="F18" s="21">
        <f t="shared" si="6"/>
        <v>11</v>
      </c>
      <c r="G18" s="21">
        <f t="shared" si="7"/>
        <v>13475.245919148318</v>
      </c>
      <c r="H18" s="21">
        <f t="shared" si="8"/>
        <v>21.032906684907768</v>
      </c>
      <c r="I18" s="21">
        <f t="shared" si="9"/>
        <v>296.78310229158649</v>
      </c>
      <c r="J18" s="21">
        <f t="shared" si="10"/>
        <v>71328.445796300439</v>
      </c>
      <c r="K18" s="176">
        <f t="shared" si="1"/>
        <v>1.0140807066394233</v>
      </c>
    </row>
    <row r="19" spans="1:11" x14ac:dyDescent="0.3">
      <c r="A19" s="4">
        <v>2019</v>
      </c>
      <c r="B19" s="21">
        <f t="shared" si="11"/>
        <v>53682.817788431043</v>
      </c>
      <c r="C19" s="21">
        <f t="shared" si="3"/>
        <v>4078.4160346371855</v>
      </c>
      <c r="D19" s="21">
        <f t="shared" si="4"/>
        <v>502.5</v>
      </c>
      <c r="E19" s="21">
        <f t="shared" si="5"/>
        <v>1</v>
      </c>
      <c r="F19" s="21">
        <f t="shared" si="6"/>
        <v>11</v>
      </c>
      <c r="G19" s="21">
        <f t="shared" si="7"/>
        <v>13740.488061221264</v>
      </c>
      <c r="H19" s="21">
        <f t="shared" si="8"/>
        <v>20.350323076585497</v>
      </c>
      <c r="I19" s="21">
        <f t="shared" si="9"/>
        <v>297.10474745400597</v>
      </c>
      <c r="J19" s="21">
        <f t="shared" si="10"/>
        <v>72333.676954820097</v>
      </c>
      <c r="K19" s="176">
        <f t="shared" si="1"/>
        <v>1.0140929911944303</v>
      </c>
    </row>
    <row r="20" spans="1:11" x14ac:dyDescent="0.3">
      <c r="A20" s="20"/>
    </row>
    <row r="21" spans="1:11" x14ac:dyDescent="0.3">
      <c r="A21" s="19" t="s">
        <v>42</v>
      </c>
      <c r="B21" s="5"/>
      <c r="C21" s="5"/>
      <c r="D21" s="5"/>
      <c r="E21" s="5"/>
      <c r="F21" s="5"/>
      <c r="G21" s="5"/>
      <c r="H21" s="5"/>
      <c r="I21" s="5"/>
    </row>
    <row r="22" spans="1:11" x14ac:dyDescent="0.3">
      <c r="A22" s="4">
        <v>2003</v>
      </c>
      <c r="B22" s="24"/>
      <c r="C22" s="24"/>
      <c r="D22" s="24"/>
      <c r="E22" s="24"/>
      <c r="F22" s="24"/>
      <c r="G22" s="24"/>
      <c r="H22" s="24"/>
      <c r="I22" s="24"/>
    </row>
    <row r="23" spans="1:11" x14ac:dyDescent="0.3">
      <c r="A23" s="4">
        <v>2004</v>
      </c>
      <c r="B23" s="24">
        <f>B4/B3</f>
        <v>1.0152356329135839</v>
      </c>
      <c r="C23" s="24">
        <f>C4/C3</f>
        <v>0.98305773922472217</v>
      </c>
      <c r="D23" s="24">
        <f t="shared" ref="B23:H29" si="12">D4/D3</f>
        <v>0.94812164579606439</v>
      </c>
      <c r="E23" s="24">
        <f t="shared" si="12"/>
        <v>1</v>
      </c>
      <c r="F23" s="24">
        <f t="shared" si="12"/>
        <v>1.2</v>
      </c>
      <c r="G23" s="24">
        <f t="shared" si="12"/>
        <v>1.0201809324982603</v>
      </c>
      <c r="H23" s="24">
        <f t="shared" si="12"/>
        <v>0.86956521739130432</v>
      </c>
      <c r="I23" s="24">
        <f t="shared" ref="I23" si="13">I4/I3</f>
        <v>1.0068493150684932</v>
      </c>
      <c r="J23" s="24">
        <f>J4/J3</f>
        <v>1.0132849095504697</v>
      </c>
    </row>
    <row r="24" spans="1:11" x14ac:dyDescent="0.3">
      <c r="A24" s="4">
        <v>2005</v>
      </c>
      <c r="B24" s="24">
        <f>B5/B4</f>
        <v>1.0140747393672052</v>
      </c>
      <c r="C24" s="24">
        <f>C5/C4</f>
        <v>1.0097890528057356</v>
      </c>
      <c r="D24" s="24">
        <f t="shared" si="12"/>
        <v>0.98396226415094334</v>
      </c>
      <c r="E24" s="24">
        <f t="shared" si="12"/>
        <v>0.8</v>
      </c>
      <c r="F24" s="24">
        <f t="shared" si="12"/>
        <v>1.25</v>
      </c>
      <c r="G24" s="24">
        <f t="shared" si="12"/>
        <v>1.0230461898265446</v>
      </c>
      <c r="H24" s="24">
        <f t="shared" si="12"/>
        <v>0.98333333333333328</v>
      </c>
      <c r="I24" s="24">
        <f t="shared" ref="I24" si="14">I5/I4</f>
        <v>1.0034013605442176</v>
      </c>
      <c r="J24" s="24">
        <f t="shared" ref="J24:J31" si="15">J5/J4</f>
        <v>1.015051804428704</v>
      </c>
    </row>
    <row r="25" spans="1:11" x14ac:dyDescent="0.3">
      <c r="A25" s="4">
        <v>2006</v>
      </c>
      <c r="B25" s="24">
        <f t="shared" si="12"/>
        <v>1.0188459253113893</v>
      </c>
      <c r="C25" s="24">
        <f t="shared" ref="C25:C32" si="16">C6/C5</f>
        <v>1.0214363735663572</v>
      </c>
      <c r="D25" s="24">
        <f t="shared" si="12"/>
        <v>1.0067114093959733</v>
      </c>
      <c r="E25" s="24">
        <f t="shared" si="12"/>
        <v>1</v>
      </c>
      <c r="F25" s="24">
        <f t="shared" si="12"/>
        <v>1.1333333333333333</v>
      </c>
      <c r="G25" s="24">
        <f t="shared" si="12"/>
        <v>1.0316711911225414</v>
      </c>
      <c r="H25" s="24">
        <f t="shared" si="12"/>
        <v>0.96610169491525422</v>
      </c>
      <c r="I25" s="24">
        <f t="shared" ref="I25" si="17">I6/I5</f>
        <v>1.0101694915254238</v>
      </c>
      <c r="J25" s="24">
        <f t="shared" si="15"/>
        <v>1.0211022486140118</v>
      </c>
    </row>
    <row r="26" spans="1:11" x14ac:dyDescent="0.3">
      <c r="A26" s="4">
        <v>2007</v>
      </c>
      <c r="B26" s="24">
        <f t="shared" si="12"/>
        <v>1.0193886309117719</v>
      </c>
      <c r="C26" s="24">
        <f t="shared" si="16"/>
        <v>1.0022724234727978</v>
      </c>
      <c r="D26" s="24">
        <f t="shared" si="12"/>
        <v>0.99619047619047618</v>
      </c>
      <c r="E26" s="24">
        <f t="shared" si="12"/>
        <v>1</v>
      </c>
      <c r="F26" s="24">
        <f t="shared" si="12"/>
        <v>1.0588235294117647</v>
      </c>
      <c r="G26" s="24">
        <f t="shared" si="12"/>
        <v>1.0415012464223063</v>
      </c>
      <c r="H26" s="24">
        <f t="shared" si="12"/>
        <v>0.92982456140350878</v>
      </c>
      <c r="I26" s="24">
        <f t="shared" ref="I26" si="18">I7/I6</f>
        <v>1.0100671140939597</v>
      </c>
      <c r="J26" s="24">
        <f t="shared" si="15"/>
        <v>1.0219885826933344</v>
      </c>
    </row>
    <row r="27" spans="1:11" x14ac:dyDescent="0.3">
      <c r="A27" s="4">
        <v>2008</v>
      </c>
      <c r="B27" s="24">
        <f t="shared" si="12"/>
        <v>1.015921848013817</v>
      </c>
      <c r="C27" s="24">
        <f t="shared" si="16"/>
        <v>1.011869831955188</v>
      </c>
      <c r="D27" s="24">
        <f t="shared" si="12"/>
        <v>1.0200764818355641</v>
      </c>
      <c r="E27" s="24">
        <f t="shared" si="12"/>
        <v>1.25</v>
      </c>
      <c r="F27" s="24">
        <f t="shared" si="12"/>
        <v>1</v>
      </c>
      <c r="G27" s="24">
        <f t="shared" si="12"/>
        <v>1.03022915650902</v>
      </c>
      <c r="H27" s="24">
        <f t="shared" si="12"/>
        <v>0.98113207547169812</v>
      </c>
      <c r="I27" s="24">
        <f t="shared" ref="I27" si="19">I8/I7</f>
        <v>1</v>
      </c>
      <c r="J27" s="24">
        <f t="shared" si="15"/>
        <v>1.0182202504380253</v>
      </c>
    </row>
    <row r="28" spans="1:11" x14ac:dyDescent="0.3">
      <c r="A28" s="4">
        <v>2009</v>
      </c>
      <c r="B28" s="24">
        <f t="shared" si="12"/>
        <v>1.0115815757318174</v>
      </c>
      <c r="C28" s="24">
        <f t="shared" si="16"/>
        <v>1.0173981810992487</v>
      </c>
      <c r="D28" s="24">
        <f t="shared" si="12"/>
        <v>0.98406747891283974</v>
      </c>
      <c r="E28" s="24">
        <f t="shared" si="12"/>
        <v>0.8</v>
      </c>
      <c r="F28" s="24">
        <f t="shared" si="12"/>
        <v>1.0555555555555556</v>
      </c>
      <c r="G28" s="24">
        <f t="shared" si="12"/>
        <v>1.0154455104762725</v>
      </c>
      <c r="H28" s="24">
        <f t="shared" si="12"/>
        <v>1</v>
      </c>
      <c r="I28" s="24">
        <f t="shared" ref="I28" si="20">I9/I8</f>
        <v>1.0049833887043189</v>
      </c>
      <c r="J28" s="24">
        <f t="shared" si="15"/>
        <v>1.0123688718041819</v>
      </c>
    </row>
    <row r="29" spans="1:11" x14ac:dyDescent="0.3">
      <c r="A29" s="4">
        <v>2010</v>
      </c>
      <c r="B29" s="24">
        <f t="shared" si="12"/>
        <v>1.0107557376188225</v>
      </c>
      <c r="C29" s="24">
        <f t="shared" si="16"/>
        <v>1.0180075139266744</v>
      </c>
      <c r="D29" s="24">
        <f t="shared" si="12"/>
        <v>0.97619047619047616</v>
      </c>
      <c r="E29" s="24">
        <f t="shared" si="12"/>
        <v>0.5</v>
      </c>
      <c r="F29" s="24">
        <f t="shared" si="12"/>
        <v>1.0526315789473684</v>
      </c>
      <c r="G29" s="24">
        <f t="shared" si="12"/>
        <v>1.0164816540971104</v>
      </c>
      <c r="H29" s="24">
        <f t="shared" si="12"/>
        <v>0.96153846153846156</v>
      </c>
      <c r="I29" s="24">
        <f t="shared" ref="I29" si="21">I10/I9</f>
        <v>1.0132231404958678</v>
      </c>
      <c r="J29" s="24">
        <f t="shared" si="15"/>
        <v>1.0119448602794412</v>
      </c>
    </row>
    <row r="30" spans="1:11" x14ac:dyDescent="0.3">
      <c r="A30" s="4">
        <v>2011</v>
      </c>
      <c r="B30" s="24">
        <f t="shared" ref="B30:H30" si="22">B11/B10</f>
        <v>1.0111400929033867</v>
      </c>
      <c r="C30" s="24">
        <f t="shared" si="16"/>
        <v>0.98969203359633495</v>
      </c>
      <c r="D30" s="24">
        <f t="shared" si="22"/>
        <v>1.015609756097561</v>
      </c>
      <c r="E30" s="24">
        <f t="shared" si="22"/>
        <v>1</v>
      </c>
      <c r="F30" s="24">
        <f t="shared" si="22"/>
        <v>1</v>
      </c>
      <c r="G30" s="24">
        <f t="shared" si="22"/>
        <v>1.0110041265474552</v>
      </c>
      <c r="H30" s="24">
        <f t="shared" si="22"/>
        <v>0.96</v>
      </c>
      <c r="I30" s="24">
        <f t="shared" ref="I30" si="23">I11/I10</f>
        <v>0.98694942903752036</v>
      </c>
      <c r="J30" s="24">
        <f t="shared" si="15"/>
        <v>1.0097158442999352</v>
      </c>
    </row>
    <row r="31" spans="1:11" x14ac:dyDescent="0.3">
      <c r="A31" s="4">
        <v>2012</v>
      </c>
      <c r="B31" s="24">
        <f t="shared" ref="B31:H31" si="24">B12/B11</f>
        <v>1.0076155435195939</v>
      </c>
      <c r="C31" s="24">
        <f t="shared" si="16"/>
        <v>0.99022759418799022</v>
      </c>
      <c r="D31" s="24">
        <f t="shared" si="24"/>
        <v>0.98270893371757928</v>
      </c>
      <c r="E31" s="24">
        <f t="shared" si="24"/>
        <v>1</v>
      </c>
      <c r="F31" s="24">
        <f t="shared" si="24"/>
        <v>1.05</v>
      </c>
      <c r="G31" s="24">
        <f t="shared" si="24"/>
        <v>1.0070500927643784</v>
      </c>
      <c r="H31" s="24">
        <f t="shared" si="24"/>
        <v>1</v>
      </c>
      <c r="I31" s="24">
        <f t="shared" ref="I31" si="25">I12/I11</f>
        <v>0.97685950413223144</v>
      </c>
      <c r="J31" s="24">
        <f t="shared" si="15"/>
        <v>1.0061427405016443</v>
      </c>
    </row>
    <row r="32" spans="1:11" x14ac:dyDescent="0.3">
      <c r="A32" s="4">
        <v>2013</v>
      </c>
      <c r="B32" s="50">
        <f t="shared" ref="B32:B37" si="26">B13/B12</f>
        <v>1.0100977132249445</v>
      </c>
      <c r="C32" s="50">
        <f t="shared" si="16"/>
        <v>1.0140241527074405</v>
      </c>
      <c r="D32" s="50">
        <f t="shared" ref="D32:H32" si="27">D13/D12</f>
        <v>0.97751710654936463</v>
      </c>
      <c r="E32" s="50">
        <f t="shared" si="27"/>
        <v>1</v>
      </c>
      <c r="F32" s="50">
        <f t="shared" si="27"/>
        <v>1.0476190476190477</v>
      </c>
      <c r="G32" s="50">
        <f t="shared" si="27"/>
        <v>1.0097846556947514</v>
      </c>
      <c r="H32" s="50">
        <f t="shared" si="27"/>
        <v>1</v>
      </c>
      <c r="I32" s="50">
        <f t="shared" ref="I32:J32" si="28">I13/I12</f>
        <v>0.99830795262267347</v>
      </c>
      <c r="J32" s="50">
        <f t="shared" si="28"/>
        <v>1.0099655679767015</v>
      </c>
    </row>
    <row r="33" spans="1:10" x14ac:dyDescent="0.3">
      <c r="A33" s="4">
        <v>2014</v>
      </c>
      <c r="B33" s="50">
        <f t="shared" si="26"/>
        <v>1.0138642055093303</v>
      </c>
      <c r="C33" s="50">
        <f t="shared" ref="C33:J33" si="29">C14/C13</f>
        <v>1.0122935074913562</v>
      </c>
      <c r="D33" s="50">
        <f t="shared" si="29"/>
        <v>1.0049999999999999</v>
      </c>
      <c r="E33" s="50">
        <f t="shared" si="29"/>
        <v>1</v>
      </c>
      <c r="F33" s="50">
        <f t="shared" si="29"/>
        <v>1</v>
      </c>
      <c r="G33" s="50">
        <f t="shared" si="29"/>
        <v>1.0107034259071559</v>
      </c>
      <c r="H33" s="50">
        <f t="shared" si="29"/>
        <v>1</v>
      </c>
      <c r="I33" s="50">
        <f t="shared" si="29"/>
        <v>1.0016949152542374</v>
      </c>
      <c r="J33" s="50">
        <f t="shared" si="29"/>
        <v>1.0130586927790459</v>
      </c>
    </row>
    <row r="34" spans="1:10" x14ac:dyDescent="0.3">
      <c r="A34" s="4">
        <v>2015</v>
      </c>
      <c r="B34" s="199">
        <f t="shared" si="26"/>
        <v>1.0134958898228545</v>
      </c>
      <c r="C34" s="199">
        <f t="shared" ref="C34:J34" si="30">C15/C14</f>
        <v>1.0062917899024224</v>
      </c>
      <c r="D34" s="199">
        <f t="shared" si="30"/>
        <v>1</v>
      </c>
      <c r="E34" s="199">
        <f t="shared" si="30"/>
        <v>1</v>
      </c>
      <c r="F34" s="199">
        <f t="shared" si="30"/>
        <v>1</v>
      </c>
      <c r="G34" s="199">
        <f t="shared" si="30"/>
        <v>1.0196836587372433</v>
      </c>
      <c r="H34" s="199">
        <f t="shared" si="30"/>
        <v>0.96754687221561897</v>
      </c>
      <c r="I34" s="199">
        <f t="shared" si="30"/>
        <v>1.0010837718183276</v>
      </c>
      <c r="J34" s="199">
        <f t="shared" si="30"/>
        <v>1.0140435122307521</v>
      </c>
    </row>
    <row r="35" spans="1:10" x14ac:dyDescent="0.3">
      <c r="A35" s="4">
        <v>2016</v>
      </c>
      <c r="B35" s="199">
        <f t="shared" si="26"/>
        <v>1.0134958898228545</v>
      </c>
      <c r="C35" s="199">
        <f t="shared" ref="C35:J35" si="31">C16/C15</f>
        <v>1.0062917899024224</v>
      </c>
      <c r="D35" s="199">
        <f t="shared" si="31"/>
        <v>1</v>
      </c>
      <c r="E35" s="199">
        <f t="shared" si="31"/>
        <v>1</v>
      </c>
      <c r="F35" s="199">
        <f t="shared" si="31"/>
        <v>1</v>
      </c>
      <c r="G35" s="199">
        <f t="shared" si="31"/>
        <v>1.0196836587372433</v>
      </c>
      <c r="H35" s="199">
        <f t="shared" si="31"/>
        <v>0.96754687221561908</v>
      </c>
      <c r="I35" s="199">
        <f t="shared" si="31"/>
        <v>1.0010837718183276</v>
      </c>
      <c r="J35" s="199">
        <f t="shared" si="31"/>
        <v>1.0140559690490301</v>
      </c>
    </row>
    <row r="36" spans="1:10" x14ac:dyDescent="0.3">
      <c r="A36" s="4">
        <v>2017</v>
      </c>
      <c r="B36" s="199">
        <f t="shared" si="26"/>
        <v>1.0134958898228545</v>
      </c>
      <c r="C36" s="199">
        <f t="shared" ref="C36:J36" si="32">C17/C16</f>
        <v>1.0062917899024224</v>
      </c>
      <c r="D36" s="199">
        <f t="shared" si="32"/>
        <v>1</v>
      </c>
      <c r="E36" s="199">
        <f t="shared" si="32"/>
        <v>1</v>
      </c>
      <c r="F36" s="199">
        <f t="shared" si="32"/>
        <v>1</v>
      </c>
      <c r="G36" s="199">
        <f t="shared" si="32"/>
        <v>1.0196836587372433</v>
      </c>
      <c r="H36" s="199">
        <f t="shared" si="32"/>
        <v>0.96754687221561908</v>
      </c>
      <c r="I36" s="199">
        <f t="shared" si="32"/>
        <v>1.0010837718183276</v>
      </c>
      <c r="J36" s="199">
        <f t="shared" si="32"/>
        <v>1.0140683665427217</v>
      </c>
    </row>
    <row r="37" spans="1:10" x14ac:dyDescent="0.3">
      <c r="A37" s="4">
        <v>2018</v>
      </c>
      <c r="B37" s="199">
        <f t="shared" si="26"/>
        <v>1.0134958898228545</v>
      </c>
      <c r="C37" s="199">
        <f t="shared" ref="C37:J37" si="33">C18/C17</f>
        <v>1.0062917899024224</v>
      </c>
      <c r="D37" s="199">
        <f t="shared" si="33"/>
        <v>1</v>
      </c>
      <c r="E37" s="199">
        <f t="shared" si="33"/>
        <v>1</v>
      </c>
      <c r="F37" s="199">
        <f t="shared" si="33"/>
        <v>1</v>
      </c>
      <c r="G37" s="199">
        <f t="shared" si="33"/>
        <v>1.0196836587372433</v>
      </c>
      <c r="H37" s="199">
        <f t="shared" si="33"/>
        <v>0.96754687221561908</v>
      </c>
      <c r="I37" s="199">
        <f t="shared" si="33"/>
        <v>1.0010837718183276</v>
      </c>
      <c r="J37" s="199">
        <f t="shared" si="33"/>
        <v>1.0140807066394233</v>
      </c>
    </row>
    <row r="38" spans="1:10" x14ac:dyDescent="0.3">
      <c r="A38" s="4">
        <v>2019</v>
      </c>
      <c r="B38" s="200"/>
      <c r="C38" s="200"/>
      <c r="D38" s="200"/>
      <c r="E38" s="200"/>
      <c r="F38" s="200"/>
      <c r="G38" s="200"/>
      <c r="H38" s="200"/>
      <c r="I38" s="200"/>
      <c r="J38" s="201"/>
    </row>
    <row r="40" spans="1:10" x14ac:dyDescent="0.3">
      <c r="A40" t="s">
        <v>56</v>
      </c>
      <c r="B40" s="99">
        <f>+B42</f>
        <v>1.0134958898228545</v>
      </c>
      <c r="C40" s="102">
        <f>+C42</f>
        <v>1.0062917899024224</v>
      </c>
      <c r="D40" s="102">
        <v>1</v>
      </c>
      <c r="E40" s="99">
        <f>+D40</f>
        <v>1</v>
      </c>
      <c r="F40" s="99">
        <f>+D40</f>
        <v>1</v>
      </c>
      <c r="G40" s="99">
        <f>+G42</f>
        <v>1.0196836587372433</v>
      </c>
      <c r="H40" s="99">
        <f>+H42</f>
        <v>0.96754687221561908</v>
      </c>
      <c r="I40" s="99">
        <f>+I42</f>
        <v>1.0010837718183276</v>
      </c>
      <c r="J40" s="99">
        <f>+J42</f>
        <v>1.013884297281004</v>
      </c>
    </row>
    <row r="41" spans="1:10" x14ac:dyDescent="0.3">
      <c r="B41" s="25"/>
      <c r="C41" s="25"/>
      <c r="D41" s="25"/>
      <c r="E41" s="25"/>
      <c r="F41" s="25"/>
      <c r="G41" s="25"/>
      <c r="H41" s="25"/>
      <c r="I41" s="25"/>
    </row>
    <row r="42" spans="1:10" x14ac:dyDescent="0.3">
      <c r="A42" t="s">
        <v>13</v>
      </c>
      <c r="B42" s="25">
        <f t="shared" ref="B42:J42" si="34">GEOMEAN(B23:B33)</f>
        <v>1.0134958898228545</v>
      </c>
      <c r="C42" s="25">
        <f t="shared" si="34"/>
        <v>1.0062917899024224</v>
      </c>
      <c r="D42" s="25">
        <f t="shared" si="34"/>
        <v>0.99036005296293395</v>
      </c>
      <c r="E42" s="25">
        <f t="shared" si="34"/>
        <v>0.920075858503551</v>
      </c>
      <c r="F42" s="25">
        <f t="shared" si="34"/>
        <v>1.0743092982796343</v>
      </c>
      <c r="G42" s="25">
        <f t="shared" si="34"/>
        <v>1.0196836587372433</v>
      </c>
      <c r="H42" s="25">
        <f t="shared" si="34"/>
        <v>0.96754687221561908</v>
      </c>
      <c r="I42" s="25">
        <f t="shared" si="34"/>
        <v>1.0010837718183276</v>
      </c>
      <c r="J42" s="25">
        <f t="shared" si="34"/>
        <v>1.013884297281004</v>
      </c>
    </row>
    <row r="43" spans="1:10" x14ac:dyDescent="0.3">
      <c r="A43" s="4"/>
      <c r="B43" s="25"/>
      <c r="C43" s="25"/>
      <c r="D43" s="25"/>
      <c r="E43" s="25"/>
      <c r="F43" s="25"/>
      <c r="G43" s="25"/>
      <c r="H43" s="25"/>
      <c r="I43" s="25"/>
    </row>
    <row r="44" spans="1:10" x14ac:dyDescent="0.3">
      <c r="A44" s="4"/>
      <c r="B44" s="25"/>
      <c r="C44" s="25"/>
      <c r="D44" s="25"/>
      <c r="E44" s="25"/>
      <c r="F44" s="25"/>
      <c r="G44" s="25"/>
      <c r="H44" s="25"/>
      <c r="I44" s="2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workbookViewId="0">
      <pane xSplit="1" ySplit="1" topLeftCell="B13" activePane="bottomRight" state="frozen"/>
      <selection pane="topRight"/>
      <selection pane="bottomLeft"/>
      <selection pane="bottomRight" activeCell="E43" sqref="E43"/>
    </sheetView>
  </sheetViews>
  <sheetFormatPr defaultRowHeight="12.45" x14ac:dyDescent="0.3"/>
  <cols>
    <col min="1" max="1" width="11" customWidth="1"/>
    <col min="2" max="2" width="14.15234375" style="6" bestFit="1" customWidth="1"/>
    <col min="3" max="4" width="14.15234375" style="6" customWidth="1"/>
    <col min="5" max="6" width="17.69140625" style="6" customWidth="1"/>
    <col min="7" max="8" width="12.69140625" style="6" bestFit="1" customWidth="1"/>
    <col min="9" max="9" width="11.69140625" style="6" bestFit="1" customWidth="1"/>
    <col min="10" max="10" width="10.69140625" style="6" bestFit="1" customWidth="1"/>
    <col min="11" max="12" width="9.15234375" style="6"/>
  </cols>
  <sheetData>
    <row r="1" spans="1:7" ht="42" customHeight="1" x14ac:dyDescent="0.3">
      <c r="B1" s="8" t="str">
        <f>'Rate Class Customer Model'!D2</f>
        <v>GS&gt;50</v>
      </c>
      <c r="C1" s="8" t="str">
        <f>'Rate Class Customer Model'!E2</f>
        <v>Large User</v>
      </c>
      <c r="D1" s="8" t="str">
        <f>'Rate Class Customer Model'!F2</f>
        <v>I2</v>
      </c>
      <c r="E1" s="8" t="str">
        <f>'Rate Class Customer Model'!G2</f>
        <v>Streetlights</v>
      </c>
      <c r="F1" s="69" t="s">
        <v>78</v>
      </c>
      <c r="G1" s="6" t="s">
        <v>9</v>
      </c>
    </row>
    <row r="2" spans="1:7" x14ac:dyDescent="0.3">
      <c r="A2" s="29">
        <v>2003</v>
      </c>
      <c r="B2" s="44">
        <v>806199.49000000011</v>
      </c>
      <c r="C2" s="43">
        <v>349045.15</v>
      </c>
      <c r="D2" s="43">
        <v>197712.36</v>
      </c>
      <c r="E2" s="44">
        <v>23226.94</v>
      </c>
      <c r="F2" s="44">
        <v>126.50277777777779</v>
      </c>
      <c r="G2" s="6">
        <f>SUM(B2:F2)</f>
        <v>1376310.4427777778</v>
      </c>
    </row>
    <row r="3" spans="1:7" x14ac:dyDescent="0.3">
      <c r="A3" s="29">
        <v>2004</v>
      </c>
      <c r="B3" s="44">
        <v>957450.82</v>
      </c>
      <c r="C3" s="43">
        <v>243130.85</v>
      </c>
      <c r="D3" s="43">
        <v>135213.89000000001</v>
      </c>
      <c r="E3" s="44">
        <v>23584.5</v>
      </c>
      <c r="F3" s="44">
        <v>123.24722222222222</v>
      </c>
      <c r="G3" s="6">
        <f t="shared" ref="G3:G11" si="0">SUM(B3:F3)</f>
        <v>1359503.3072222222</v>
      </c>
    </row>
    <row r="4" spans="1:7" x14ac:dyDescent="0.3">
      <c r="A4" s="29">
        <v>2005</v>
      </c>
      <c r="B4" s="44">
        <v>913899.12999999989</v>
      </c>
      <c r="C4" s="43">
        <v>154705.01</v>
      </c>
      <c r="D4" s="43">
        <v>142187.47</v>
      </c>
      <c r="E4" s="44">
        <v>24114.33</v>
      </c>
      <c r="F4" s="44">
        <v>119.99166666666666</v>
      </c>
      <c r="G4" s="6">
        <f t="shared" si="0"/>
        <v>1235025.9316666666</v>
      </c>
    </row>
    <row r="5" spans="1:7" x14ac:dyDescent="0.3">
      <c r="A5" s="29">
        <v>2006</v>
      </c>
      <c r="B5" s="44">
        <v>893943</v>
      </c>
      <c r="C5" s="43">
        <v>134252</v>
      </c>
      <c r="D5" s="43">
        <v>178422</v>
      </c>
      <c r="E5" s="44">
        <v>24802</v>
      </c>
      <c r="F5" s="44">
        <v>118.31944444444447</v>
      </c>
      <c r="G5" s="6">
        <f t="shared" si="0"/>
        <v>1231537.3194444445</v>
      </c>
    </row>
    <row r="6" spans="1:7" x14ac:dyDescent="0.3">
      <c r="A6" s="29">
        <v>2007</v>
      </c>
      <c r="B6" s="44">
        <v>887017</v>
      </c>
      <c r="C6" s="43">
        <v>135954</v>
      </c>
      <c r="D6" s="43">
        <v>214029</v>
      </c>
      <c r="E6" s="44">
        <v>25740</v>
      </c>
      <c r="F6" s="44">
        <v>115.0222222222222</v>
      </c>
      <c r="G6" s="6">
        <f t="shared" si="0"/>
        <v>1262855.0222222223</v>
      </c>
    </row>
    <row r="7" spans="1:7" x14ac:dyDescent="0.3">
      <c r="A7" s="29">
        <v>2008</v>
      </c>
      <c r="B7" s="44">
        <v>876464</v>
      </c>
      <c r="C7" s="43">
        <v>124131</v>
      </c>
      <c r="D7" s="43">
        <v>204487</v>
      </c>
      <c r="E7" s="44">
        <v>26489</v>
      </c>
      <c r="F7" s="44">
        <v>108.9805555555556</v>
      </c>
      <c r="G7" s="6">
        <f t="shared" si="0"/>
        <v>1231679.9805555556</v>
      </c>
    </row>
    <row r="8" spans="1:7" x14ac:dyDescent="0.3">
      <c r="A8" s="29">
        <v>2009</v>
      </c>
      <c r="B8" s="44">
        <v>861503</v>
      </c>
      <c r="C8" s="43">
        <v>89007</v>
      </c>
      <c r="D8" s="43">
        <v>190299</v>
      </c>
      <c r="E8" s="44">
        <v>27041</v>
      </c>
      <c r="F8" s="44">
        <v>102.2</v>
      </c>
      <c r="G8" s="6">
        <f t="shared" si="0"/>
        <v>1167952.2</v>
      </c>
    </row>
    <row r="9" spans="1:7" x14ac:dyDescent="0.3">
      <c r="A9" s="29">
        <v>2010</v>
      </c>
      <c r="B9" s="44">
        <v>871715</v>
      </c>
      <c r="C9" s="43">
        <v>70585</v>
      </c>
      <c r="D9" s="43">
        <v>195141</v>
      </c>
      <c r="E9" s="44">
        <v>27634</v>
      </c>
      <c r="F9" s="44">
        <v>99.477777777777803</v>
      </c>
      <c r="G9" s="6">
        <f t="shared" si="0"/>
        <v>1165174.4777777777</v>
      </c>
    </row>
    <row r="10" spans="1:7" x14ac:dyDescent="0.3">
      <c r="A10" s="29">
        <v>2011</v>
      </c>
      <c r="B10" s="203">
        <v>867070</v>
      </c>
      <c r="C10" s="203">
        <v>83704</v>
      </c>
      <c r="D10" s="203">
        <v>192700</v>
      </c>
      <c r="E10" s="203">
        <v>27830</v>
      </c>
      <c r="F10" s="203">
        <v>100</v>
      </c>
      <c r="G10" s="6">
        <f t="shared" si="0"/>
        <v>1171404</v>
      </c>
    </row>
    <row r="11" spans="1:7" x14ac:dyDescent="0.3">
      <c r="A11" s="29">
        <v>2012</v>
      </c>
      <c r="B11" s="203">
        <v>846459</v>
      </c>
      <c r="C11" s="203">
        <v>89554</v>
      </c>
      <c r="D11" s="203">
        <v>182189</v>
      </c>
      <c r="E11" s="203">
        <v>27720</v>
      </c>
      <c r="F11" s="203">
        <v>100</v>
      </c>
      <c r="G11" s="6">
        <f t="shared" si="0"/>
        <v>1146022</v>
      </c>
    </row>
    <row r="12" spans="1:7" x14ac:dyDescent="0.3">
      <c r="A12" s="29">
        <v>2013</v>
      </c>
      <c r="B12" s="203">
        <v>843160</v>
      </c>
      <c r="C12" s="203">
        <v>92753</v>
      </c>
      <c r="D12" s="203">
        <v>184241</v>
      </c>
      <c r="E12" s="203">
        <f>25376-F12</f>
        <v>25276</v>
      </c>
      <c r="F12" s="203">
        <v>100</v>
      </c>
      <c r="G12" s="6">
        <f t="shared" ref="G12:G18" si="1">SUM(B12:F12)</f>
        <v>1145530</v>
      </c>
    </row>
    <row r="13" spans="1:7" x14ac:dyDescent="0.3">
      <c r="A13" s="29">
        <v>2014</v>
      </c>
      <c r="B13" s="197">
        <v>831789</v>
      </c>
      <c r="C13" s="197">
        <v>93203</v>
      </c>
      <c r="D13" s="197">
        <v>186714</v>
      </c>
      <c r="E13" s="197">
        <f>25620-F13</f>
        <v>25520</v>
      </c>
      <c r="F13" s="197">
        <v>100</v>
      </c>
      <c r="G13" s="6">
        <f t="shared" si="1"/>
        <v>1137326</v>
      </c>
    </row>
    <row r="14" spans="1:7" x14ac:dyDescent="0.3">
      <c r="A14" s="29">
        <v>2015</v>
      </c>
      <c r="B14" s="30">
        <f ca="1">'Rate Class Energy Model'!J73*'Rate Class Load Model'!B$43</f>
        <v>852948.21110159531</v>
      </c>
      <c r="C14" s="30">
        <f ca="1">'Rate Class Energy Model'!K73*'Rate Class Load Model'!C$43</f>
        <v>97441.876065947086</v>
      </c>
      <c r="D14" s="30">
        <f ca="1">'Rate Class Energy Model'!L73*'Rate Class Load Model'!D$43</f>
        <v>180732.89491264048</v>
      </c>
      <c r="E14" s="30">
        <f ca="1">'Rate Class Energy Model'!M73*'Rate Class Load Model'!E$43</f>
        <v>26022.326970974449</v>
      </c>
      <c r="F14" s="30">
        <f ca="1">'Rate Class Energy Model'!N73*'Rate Class Load Model'!F$43</f>
        <v>101.18862007842566</v>
      </c>
      <c r="G14" s="6">
        <f t="shared" ca="1" si="1"/>
        <v>1157246.4976712358</v>
      </c>
    </row>
    <row r="15" spans="1:7" x14ac:dyDescent="0.3">
      <c r="A15" s="29">
        <v>2016</v>
      </c>
      <c r="B15" s="30">
        <f ca="1">'Rate Class Energy Model'!J74*'Rate Class Load Model'!B$43</f>
        <v>855357.30443538609</v>
      </c>
      <c r="C15" s="30">
        <f ca="1">'Rate Class Energy Model'!K74*'Rate Class Load Model'!C$43</f>
        <v>98303.382478648273</v>
      </c>
      <c r="D15" s="30">
        <f ca="1">'Rate Class Energy Model'!L74*'Rate Class Load Model'!D$43</f>
        <v>181474.8518621923</v>
      </c>
      <c r="E15" s="30">
        <f ca="1">'Rate Class Energy Model'!M74*'Rate Class Load Model'!E$43</f>
        <v>26534.541574620071</v>
      </c>
      <c r="F15" s="30">
        <f ca="1">'Rate Class Energy Model'!N74*'Rate Class Load Model'!F$43</f>
        <v>97.904732860695347</v>
      </c>
      <c r="G15" s="6">
        <f t="shared" ca="1" si="1"/>
        <v>1161767.9850837076</v>
      </c>
    </row>
    <row r="16" spans="1:7" x14ac:dyDescent="0.3">
      <c r="A16" s="29">
        <v>2017</v>
      </c>
      <c r="B16" s="30">
        <f ca="1">'Rate Class Energy Model'!J75*'Rate Class Load Model'!B$43</f>
        <v>852967.05459462455</v>
      </c>
      <c r="C16" s="30">
        <f ca="1">'Rate Class Energy Model'!K75*'Rate Class Load Model'!C$43</f>
        <v>99172.505671004052</v>
      </c>
      <c r="D16" s="30">
        <f ca="1">'Rate Class Energy Model'!L75*'Rate Class Load Model'!D$43</f>
        <v>181278.85371796504</v>
      </c>
      <c r="E16" s="30">
        <f ca="1">'Rate Class Energy Model'!M75*'Rate Class Load Model'!E$43</f>
        <v>27056.838435724087</v>
      </c>
      <c r="F16" s="30">
        <f ca="1">'Rate Class Energy Model'!N75*'Rate Class Load Model'!F$43</f>
        <v>94.727418054471514</v>
      </c>
      <c r="G16" s="6">
        <f t="shared" ca="1" si="1"/>
        <v>1160569.9798373722</v>
      </c>
    </row>
    <row r="17" spans="1:8" x14ac:dyDescent="0.3">
      <c r="A17" s="29">
        <v>2018</v>
      </c>
      <c r="B17" s="30">
        <f ca="1">'Rate Class Energy Model'!J76*'Rate Class Load Model'!B$43</f>
        <v>850476.64688916004</v>
      </c>
      <c r="C17" s="30">
        <f ca="1">'Rate Class Energy Model'!K76*'Rate Class Load Model'!C$43</f>
        <v>100049.31298474451</v>
      </c>
      <c r="D17" s="30">
        <f ca="1">'Rate Class Energy Model'!L76*'Rate Class Load Model'!D$43</f>
        <v>181062.12764394225</v>
      </c>
      <c r="E17" s="30">
        <f ca="1">'Rate Class Energy Model'!M76*'Rate Class Load Model'!E$43</f>
        <v>27589.416010001609</v>
      </c>
      <c r="F17" s="30">
        <f ca="1">'Rate Class Energy Model'!N76*'Rate Class Load Model'!F$43</f>
        <v>91.65321705166528</v>
      </c>
      <c r="G17" s="6">
        <f t="shared" ca="1" si="1"/>
        <v>1159269.1567449002</v>
      </c>
    </row>
    <row r="18" spans="1:8" x14ac:dyDescent="0.3">
      <c r="A18" s="29">
        <v>2019</v>
      </c>
      <c r="B18" s="30">
        <f ca="1">'Rate Class Energy Model'!J77*'Rate Class Load Model'!B$43</f>
        <v>851194.9454495582</v>
      </c>
      <c r="C18" s="30">
        <f ca="1">'Rate Class Energy Model'!K77*'Rate Class Load Model'!C$43</f>
        <v>100933.87235698372</v>
      </c>
      <c r="D18" s="30">
        <f ca="1">'Rate Class Energy Model'!L77*'Rate Class Load Model'!D$43</f>
        <v>181474.71066760179</v>
      </c>
      <c r="E18" s="30">
        <f ca="1">'Rate Class Energy Model'!M77*'Rate Class Load Model'!E$43</f>
        <v>28132.476659502317</v>
      </c>
      <c r="F18" s="30">
        <f ca="1">'Rate Class Energy Model'!N77*'Rate Class Load Model'!F$43</f>
        <v>88.678783486837986</v>
      </c>
      <c r="G18" s="6">
        <f t="shared" ca="1" si="1"/>
        <v>1161824.6839171329</v>
      </c>
    </row>
    <row r="19" spans="1:8" x14ac:dyDescent="0.3">
      <c r="A19" s="20"/>
    </row>
    <row r="20" spans="1:8" x14ac:dyDescent="0.3">
      <c r="A20" s="19" t="s">
        <v>57</v>
      </c>
      <c r="B20" s="5"/>
      <c r="C20" s="5"/>
      <c r="D20" s="5"/>
      <c r="E20" s="5"/>
      <c r="F20" s="5"/>
    </row>
    <row r="21" spans="1:8" x14ac:dyDescent="0.3">
      <c r="A21" s="4">
        <v>1999</v>
      </c>
      <c r="B21" s="204"/>
      <c r="C21" s="204"/>
      <c r="D21" s="204"/>
      <c r="E21" s="204"/>
      <c r="F21" s="204"/>
      <c r="G21" s="201"/>
      <c r="H21" s="201"/>
    </row>
    <row r="22" spans="1:8" x14ac:dyDescent="0.3">
      <c r="A22" s="4">
        <v>2000</v>
      </c>
      <c r="B22" s="204"/>
      <c r="C22" s="204"/>
      <c r="D22" s="204"/>
      <c r="E22" s="204"/>
      <c r="F22" s="204"/>
      <c r="G22" s="201"/>
      <c r="H22" s="201"/>
    </row>
    <row r="23" spans="1:8" x14ac:dyDescent="0.3">
      <c r="A23" s="4">
        <v>2001</v>
      </c>
      <c r="B23" s="204"/>
      <c r="C23" s="204"/>
      <c r="D23" s="204"/>
      <c r="E23" s="204"/>
      <c r="F23" s="204"/>
      <c r="G23" s="201"/>
      <c r="H23" s="201"/>
    </row>
    <row r="24" spans="1:8" x14ac:dyDescent="0.3">
      <c r="A24" s="4">
        <v>2002</v>
      </c>
      <c r="B24" s="204"/>
      <c r="C24" s="204"/>
      <c r="D24" s="204"/>
      <c r="E24" s="204"/>
      <c r="F24" s="204"/>
      <c r="G24" s="201"/>
      <c r="H24" s="201"/>
    </row>
    <row r="25" spans="1:8" x14ac:dyDescent="0.3">
      <c r="A25" s="4">
        <v>2003</v>
      </c>
      <c r="B25" s="28">
        <f>B2/'Rate Class Energy Model'!J7</f>
        <v>2.8665469494401942E-3</v>
      </c>
      <c r="C25" s="28">
        <f>C2/'Rate Class Energy Model'!K7</f>
        <v>2.0622172895586356E-3</v>
      </c>
      <c r="D25" s="28">
        <f>D2/'Rate Class Energy Model'!L7</f>
        <v>2.05581845984819E-3</v>
      </c>
      <c r="E25" s="28">
        <f>E2/'Rate Class Energy Model'!M7</f>
        <v>2.7784150552756736E-3</v>
      </c>
      <c r="F25" s="28">
        <f>F2/'Rate Class Energy Model'!N7</f>
        <v>2.7777777777777783E-3</v>
      </c>
      <c r="G25" s="28">
        <f t="shared" ref="G25:G32" si="2">G2/H25</f>
        <v>2.479486814326858E-3</v>
      </c>
      <c r="H25" s="6">
        <f>SUM('Rate Class Energy Model'!J7:N7)</f>
        <v>555078750.5</v>
      </c>
    </row>
    <row r="26" spans="1:8" x14ac:dyDescent="0.3">
      <c r="A26" s="4">
        <v>2004</v>
      </c>
      <c r="B26" s="28">
        <f>B3/'Rate Class Energy Model'!J8</f>
        <v>2.654924890465898E-3</v>
      </c>
      <c r="C26" s="28">
        <f>C3/'Rate Class Energy Model'!K8</f>
        <v>2.1680199125062166E-3</v>
      </c>
      <c r="D26" s="28">
        <f>D3/'Rate Class Energy Model'!L8</f>
        <v>2.0588000182958578E-3</v>
      </c>
      <c r="E26" s="28">
        <f>E3/'Rate Class Energy Model'!M8</f>
        <v>2.6974988878406374E-3</v>
      </c>
      <c r="F26" s="28">
        <f>F3/'Rate Class Energy Model'!N8</f>
        <v>4.4300069092492083E-3</v>
      </c>
      <c r="G26" s="28">
        <f t="shared" si="2"/>
        <v>2.484367249966288E-3</v>
      </c>
      <c r="H26" s="6">
        <f>SUM('Rate Class Energy Model'!J8:N8)</f>
        <v>547223164.06347334</v>
      </c>
    </row>
    <row r="27" spans="1:8" x14ac:dyDescent="0.3">
      <c r="A27" s="4">
        <v>2005</v>
      </c>
      <c r="B27" s="28">
        <f>B4/'Rate Class Energy Model'!J9</f>
        <v>2.5248436047972667E-3</v>
      </c>
      <c r="C27" s="28">
        <f>C4/'Rate Class Energy Model'!K9</f>
        <v>2.459350142460437E-3</v>
      </c>
      <c r="D27" s="28">
        <f>D4/'Rate Class Energy Model'!L9</f>
        <v>2.1216639471312343E-3</v>
      </c>
      <c r="E27" s="28">
        <f>E4/'Rate Class Energy Model'!M9</f>
        <v>2.6259814626584102E-3</v>
      </c>
      <c r="F27" s="28">
        <f>F4/'Rate Class Energy Model'!N9</f>
        <v>2.7777777777777775E-3</v>
      </c>
      <c r="G27" s="28">
        <f t="shared" si="2"/>
        <v>2.4645773568005287E-3</v>
      </c>
      <c r="H27" s="6">
        <f>SUM('Rate Class Energy Model'!J9:N9)</f>
        <v>501110638</v>
      </c>
    </row>
    <row r="28" spans="1:8" x14ac:dyDescent="0.3">
      <c r="A28" s="4">
        <v>2006</v>
      </c>
      <c r="B28" s="28">
        <f>B5/'Rate Class Energy Model'!J10</f>
        <v>2.503434790115461E-3</v>
      </c>
      <c r="C28" s="28">
        <f>C5/'Rate Class Energy Model'!K10</f>
        <v>2.2504944560209311E-3</v>
      </c>
      <c r="D28" s="28">
        <f>D5/'Rate Class Energy Model'!L10</f>
        <v>2.2159058477350694E-3</v>
      </c>
      <c r="E28" s="28">
        <f>E5/'Rate Class Energy Model'!M10</f>
        <v>2.6389247248903417E-3</v>
      </c>
      <c r="F28" s="28">
        <f>F5/'Rate Class Energy Model'!N10</f>
        <v>2.7777777777777783E-3</v>
      </c>
      <c r="G28" s="28">
        <f t="shared" si="2"/>
        <v>2.4305014329812943E-3</v>
      </c>
      <c r="H28" s="6">
        <f>SUM('Rate Class Energy Model'!J10:N10)</f>
        <v>506700923</v>
      </c>
    </row>
    <row r="29" spans="1:8" x14ac:dyDescent="0.3">
      <c r="A29" s="4">
        <v>2007</v>
      </c>
      <c r="B29" s="28">
        <f>B6/'Rate Class Energy Model'!J11</f>
        <v>2.4698038161329507E-3</v>
      </c>
      <c r="C29" s="28">
        <f>C6/'Rate Class Energy Model'!K11</f>
        <v>2.1994813097800056E-3</v>
      </c>
      <c r="D29" s="28">
        <f>D6/'Rate Class Energy Model'!L11</f>
        <v>2.0605468969061391E-3</v>
      </c>
      <c r="E29" s="28">
        <f>E6/'Rate Class Energy Model'!M11</f>
        <v>2.6523720233074875E-3</v>
      </c>
      <c r="F29" s="28">
        <f>F6/'Rate Class Energy Model'!N11</f>
        <v>2.777777777777777E-3</v>
      </c>
      <c r="G29" s="28">
        <f t="shared" si="2"/>
        <v>2.3623643960756259E-3</v>
      </c>
      <c r="H29" s="6">
        <f>SUM('Rate Class Energy Model'!J11:N11)</f>
        <v>534572492</v>
      </c>
    </row>
    <row r="30" spans="1:8" x14ac:dyDescent="0.3">
      <c r="A30" s="4">
        <v>2008</v>
      </c>
      <c r="B30" s="28">
        <f>B7/'Rate Class Energy Model'!J12</f>
        <v>2.4854909003617508E-3</v>
      </c>
      <c r="C30" s="28">
        <f>C7/'Rate Class Energy Model'!K12</f>
        <v>2.6717234647081907E-3</v>
      </c>
      <c r="D30" s="28">
        <f>D7/'Rate Class Energy Model'!L12</f>
        <v>1.9962947195516709E-3</v>
      </c>
      <c r="E30" s="28">
        <f>E7/'Rate Class Energy Model'!M12</f>
        <v>2.7235693780691436E-3</v>
      </c>
      <c r="F30" s="28">
        <f>F7/'Rate Class Energy Model'!N12</f>
        <v>2.7777777777777788E-3</v>
      </c>
      <c r="G30" s="28">
        <f t="shared" si="2"/>
        <v>2.408958376996726E-3</v>
      </c>
      <c r="H30" s="6">
        <f>SUM('Rate Class Energy Model'!J12:N12)</f>
        <v>511291516</v>
      </c>
    </row>
    <row r="31" spans="1:8" x14ac:dyDescent="0.3">
      <c r="A31" s="4">
        <v>2009</v>
      </c>
      <c r="B31" s="28">
        <f>B8/'Rate Class Energy Model'!J13</f>
        <v>2.462955019813768E-3</v>
      </c>
      <c r="C31" s="28">
        <f>C8/'Rate Class Energy Model'!K13</f>
        <v>2.4331956480715612E-3</v>
      </c>
      <c r="D31" s="28">
        <f>D8/'Rate Class Energy Model'!L13</f>
        <v>2.1813876584782736E-3</v>
      </c>
      <c r="E31" s="28">
        <f>E8/'Rate Class Energy Model'!M13</f>
        <v>2.6503617943305132E-3</v>
      </c>
      <c r="F31" s="28">
        <f>F8/'Rate Class Energy Model'!N13</f>
        <v>2.7777777777777779E-3</v>
      </c>
      <c r="G31" s="28">
        <f t="shared" si="2"/>
        <v>2.4139137449221541E-3</v>
      </c>
      <c r="H31" s="6">
        <f>SUM('Rate Class Energy Model'!J13:N13)</f>
        <v>483841729</v>
      </c>
    </row>
    <row r="32" spans="1:8" x14ac:dyDescent="0.3">
      <c r="A32" s="4">
        <v>2010</v>
      </c>
      <c r="B32" s="28">
        <f>B9/'Rate Class Energy Model'!J14</f>
        <v>2.4539161519527464E-3</v>
      </c>
      <c r="C32" s="28">
        <f>C9/'Rate Class Energy Model'!K14</f>
        <v>2.1131485440291273E-3</v>
      </c>
      <c r="D32" s="28">
        <f>D9/'Rate Class Energy Model'!L14</f>
        <v>2.4156154066849169E-3</v>
      </c>
      <c r="E32" s="28">
        <f>E9/'Rate Class Energy Model'!M14</f>
        <v>2.6500052167722295E-3</v>
      </c>
      <c r="F32" s="28">
        <f>F9/'Rate Class Energy Model'!N14</f>
        <v>2.7777777777777783E-3</v>
      </c>
      <c r="G32" s="28">
        <f t="shared" si="2"/>
        <v>2.4280343927931395E-3</v>
      </c>
      <c r="H32" s="6">
        <f>SUM('Rate Class Energy Model'!J14:N14)</f>
        <v>479883844</v>
      </c>
    </row>
    <row r="33" spans="1:8" x14ac:dyDescent="0.3">
      <c r="A33" s="4">
        <v>2011</v>
      </c>
      <c r="B33" s="28">
        <f>B10/'Rate Class Energy Model'!J15</f>
        <v>2.411647008717873E-3</v>
      </c>
      <c r="C33" s="28">
        <f>C10/'Rate Class Energy Model'!K15</f>
        <v>2.2178709514627695E-3</v>
      </c>
      <c r="D33" s="28">
        <f>D10/'Rate Class Energy Model'!L15</f>
        <v>2.411522768879658E-3</v>
      </c>
      <c r="E33" s="28">
        <f>E10/'Rate Class Energy Model'!M15</f>
        <v>2.7143230134115647E-3</v>
      </c>
      <c r="F33" s="28">
        <f>F10/'Rate Class Energy Model'!N15</f>
        <v>2.7923601027588516E-3</v>
      </c>
      <c r="G33" s="28">
        <f t="shared" ref="G33:G35" si="3">G10/H33</f>
        <v>2.4030184187901907E-3</v>
      </c>
      <c r="H33" s="6">
        <f>SUM('Rate Class Energy Model'!J15:N15)</f>
        <v>487471919</v>
      </c>
    </row>
    <row r="34" spans="1:8" x14ac:dyDescent="0.3">
      <c r="A34" s="4">
        <v>2012</v>
      </c>
      <c r="B34" s="28">
        <f>B11/'Rate Class Energy Model'!J16</f>
        <v>2.5017814270673357E-3</v>
      </c>
      <c r="C34" s="28">
        <f>C11/'Rate Class Energy Model'!K16</f>
        <v>2.1942659714294585E-3</v>
      </c>
      <c r="D34" s="28">
        <f>D11/'Rate Class Energy Model'!L16</f>
        <v>2.3713838069508312E-3</v>
      </c>
      <c r="E34" s="28">
        <f>E11/'Rate Class Energy Model'!M16</f>
        <v>2.7338065356517171E-3</v>
      </c>
      <c r="F34" s="28">
        <f>F11/'Rate Class Energy Model'!N16</f>
        <v>2.7923601027588516E-3</v>
      </c>
      <c r="G34" s="28">
        <f t="shared" si="3"/>
        <v>2.45843637768487E-3</v>
      </c>
      <c r="H34" s="6">
        <f>SUM('Rate Class Energy Model'!J16:N16)</f>
        <v>466158901</v>
      </c>
    </row>
    <row r="35" spans="1:8" x14ac:dyDescent="0.3">
      <c r="A35" s="4">
        <v>2013</v>
      </c>
      <c r="B35" s="28">
        <f>B12/'Rate Class Energy Model'!J17</f>
        <v>2.5010406566886309E-3</v>
      </c>
      <c r="C35" s="28">
        <f>C12/'Rate Class Energy Model'!K17</f>
        <v>2.1913840213320258E-3</v>
      </c>
      <c r="D35" s="28">
        <f>D12/'Rate Class Energy Model'!L17</f>
        <v>2.326973550257184E-3</v>
      </c>
      <c r="E35" s="28">
        <f>E12/'Rate Class Energy Model'!M17</f>
        <v>2.7830003994589905E-3</v>
      </c>
      <c r="F35" s="28">
        <f>F12/'Rate Class Energy Model'!N17</f>
        <v>2.7923601027588516E-3</v>
      </c>
      <c r="G35" s="28">
        <f t="shared" si="3"/>
        <v>2.4490521973659211E-3</v>
      </c>
      <c r="H35" s="6">
        <f>SUM('Rate Class Energy Model'!J17:N17)</f>
        <v>467744216</v>
      </c>
    </row>
    <row r="36" spans="1:8" x14ac:dyDescent="0.3">
      <c r="A36" s="4">
        <v>2014</v>
      </c>
      <c r="B36" s="28">
        <f>B13/'Rate Class Energy Model'!J18</f>
        <v>2.472573967546856E-3</v>
      </c>
      <c r="C36" s="28">
        <f>C13/'Rate Class Energy Model'!K18</f>
        <v>2.1827178107201952E-3</v>
      </c>
      <c r="D36" s="28">
        <f>D13/'Rate Class Energy Model'!L18</f>
        <v>2.2937740338351878E-3</v>
      </c>
      <c r="E36" s="28">
        <f>E13/'Rate Class Energy Model'!M18</f>
        <v>2.7872813903641104E-3</v>
      </c>
      <c r="F36" s="28">
        <f>F13/'Rate Class Energy Model'!N18</f>
        <v>2.7923601027588516E-3</v>
      </c>
      <c r="G36" s="28">
        <f t="shared" ref="G36" si="4">G13/H36</f>
        <v>2.421395430144177E-3</v>
      </c>
      <c r="H36" s="6">
        <f>SUM('Rate Class Energy Model'!J18:N18)</f>
        <v>469698582</v>
      </c>
    </row>
    <row r="37" spans="1:8" x14ac:dyDescent="0.3">
      <c r="A37" s="4">
        <v>2015</v>
      </c>
      <c r="B37" s="204"/>
      <c r="C37" s="204"/>
      <c r="D37" s="204"/>
      <c r="E37" s="204"/>
      <c r="F37" s="204"/>
      <c r="G37" s="204"/>
      <c r="H37" s="201"/>
    </row>
    <row r="38" spans="1:8" x14ac:dyDescent="0.3">
      <c r="A38" s="4">
        <v>2016</v>
      </c>
      <c r="B38" s="204"/>
      <c r="C38" s="204"/>
      <c r="D38" s="204"/>
      <c r="E38" s="204"/>
      <c r="F38" s="204"/>
      <c r="G38" s="204"/>
      <c r="H38" s="201"/>
    </row>
    <row r="39" spans="1:8" x14ac:dyDescent="0.3">
      <c r="A39" s="4">
        <v>2017</v>
      </c>
      <c r="B39" s="204"/>
      <c r="C39" s="204"/>
      <c r="D39" s="204"/>
      <c r="E39" s="204"/>
      <c r="F39" s="204"/>
      <c r="G39" s="204"/>
      <c r="H39" s="201"/>
    </row>
    <row r="40" spans="1:8" x14ac:dyDescent="0.3">
      <c r="A40" s="4">
        <v>2018</v>
      </c>
      <c r="B40" s="204"/>
      <c r="C40" s="204"/>
      <c r="D40" s="204"/>
      <c r="E40" s="204"/>
      <c r="F40" s="204"/>
      <c r="G40" s="204"/>
      <c r="H40" s="201"/>
    </row>
    <row r="41" spans="1:8" x14ac:dyDescent="0.3">
      <c r="A41" s="4">
        <v>2019</v>
      </c>
      <c r="B41" s="204"/>
      <c r="C41" s="204"/>
      <c r="D41" s="204"/>
      <c r="E41" s="204"/>
      <c r="F41" s="204"/>
      <c r="G41" s="204"/>
      <c r="H41" s="201"/>
    </row>
    <row r="43" spans="1:8" x14ac:dyDescent="0.3">
      <c r="A43" s="66" t="s">
        <v>56</v>
      </c>
      <c r="B43" s="100">
        <f t="shared" ref="B43:G43" si="5">+B45</f>
        <v>2.5257465985917276E-3</v>
      </c>
      <c r="C43" s="100">
        <f t="shared" si="5"/>
        <v>2.2619891268399633E-3</v>
      </c>
      <c r="D43" s="100">
        <f t="shared" si="5"/>
        <v>2.2091405928795172E-3</v>
      </c>
      <c r="E43" s="100">
        <f>+E36</f>
        <v>2.7872813903641104E-3</v>
      </c>
      <c r="F43" s="100">
        <f t="shared" si="5"/>
        <v>2.9203243137274214E-3</v>
      </c>
      <c r="G43" s="100">
        <f t="shared" si="5"/>
        <v>2.433675515737315E-3</v>
      </c>
    </row>
    <row r="45" spans="1:8" x14ac:dyDescent="0.3">
      <c r="A45" t="s">
        <v>12</v>
      </c>
      <c r="B45" s="389">
        <f t="shared" ref="B45:G45" si="6">AVERAGE(B25:B36)</f>
        <v>2.5257465985917276E-3</v>
      </c>
      <c r="C45" s="389">
        <f t="shared" si="6"/>
        <v>2.2619891268399633E-3</v>
      </c>
      <c r="D45" s="389">
        <f t="shared" si="6"/>
        <v>2.2091405928795172E-3</v>
      </c>
      <c r="E45" s="389">
        <f t="shared" si="6"/>
        <v>2.7029616568359015E-3</v>
      </c>
      <c r="F45" s="389">
        <f t="shared" si="6"/>
        <v>2.9203243137274214E-3</v>
      </c>
      <c r="G45" s="389">
        <f t="shared" si="6"/>
        <v>2.433675515737315E-3</v>
      </c>
    </row>
    <row r="48" spans="1:8" x14ac:dyDescent="0.3">
      <c r="A48" s="4">
        <v>2015</v>
      </c>
      <c r="B48" s="28">
        <f ca="1">B14/'Rate Class Energy Model'!J73</f>
        <v>2.5257465985917276E-3</v>
      </c>
      <c r="C48" s="28">
        <f ca="1">C14/'Rate Class Energy Model'!K73</f>
        <v>2.2619891268399633E-3</v>
      </c>
      <c r="D48" s="28">
        <f ca="1">D14/'Rate Class Energy Model'!L73</f>
        <v>2.2091405928795172E-3</v>
      </c>
      <c r="E48" s="28">
        <f ca="1">E14/'Rate Class Energy Model'!M73</f>
        <v>2.7872813903641104E-3</v>
      </c>
      <c r="F48" s="28">
        <f ca="1">F14/'Rate Class Energy Model'!N73</f>
        <v>2.9203243137274214E-3</v>
      </c>
      <c r="G48" s="28">
        <f ca="1">G14/H48</f>
        <v>2.4519932785006713E-3</v>
      </c>
      <c r="H48" s="6">
        <f ca="1">SUM('Rate Class Energy Model'!J73:N73)</f>
        <v>471961529.34760952</v>
      </c>
    </row>
    <row r="49" spans="1:8" x14ac:dyDescent="0.3">
      <c r="A49" s="4">
        <v>2016</v>
      </c>
      <c r="B49" s="28">
        <f ca="1">B15/'Rate Class Energy Model'!J74</f>
        <v>2.5257465985917276E-3</v>
      </c>
      <c r="C49" s="28">
        <f ca="1">C15/'Rate Class Energy Model'!K74</f>
        <v>2.2619891268399633E-3</v>
      </c>
      <c r="D49" s="28">
        <f ca="1">D15/'Rate Class Energy Model'!L74</f>
        <v>2.2091405928795172E-3</v>
      </c>
      <c r="E49" s="28">
        <f ca="1">E15/'Rate Class Energy Model'!M74</f>
        <v>2.7872813903641104E-3</v>
      </c>
      <c r="F49" s="28">
        <f ca="1">F15/'Rate Class Energy Model'!N74</f>
        <v>2.9203243137274214E-3</v>
      </c>
      <c r="G49" s="28">
        <f ca="1">G15/H49</f>
        <v>2.4519458050260194E-3</v>
      </c>
      <c r="H49" s="6">
        <f ca="1">SUM('Rate Class Energy Model'!J74:N74)</f>
        <v>473814707.77302891</v>
      </c>
    </row>
    <row r="50" spans="1:8" x14ac:dyDescent="0.3">
      <c r="A50" s="4">
        <v>2017</v>
      </c>
      <c r="B50" s="28">
        <f ca="1">B16/'Rate Class Energy Model'!J75</f>
        <v>2.5257465985917276E-3</v>
      </c>
      <c r="C50" s="28">
        <f ca="1">C16/'Rate Class Energy Model'!K75</f>
        <v>2.2619891268399633E-3</v>
      </c>
      <c r="D50" s="28">
        <f ca="1">D16/'Rate Class Energy Model'!L75</f>
        <v>2.2091405928795172E-3</v>
      </c>
      <c r="E50" s="28">
        <f ca="1">E16/'Rate Class Energy Model'!M75</f>
        <v>2.7872813903641104E-3</v>
      </c>
      <c r="F50" s="28">
        <f ca="1">F16/'Rate Class Energy Model'!N75</f>
        <v>2.9203243137274214E-3</v>
      </c>
      <c r="G50" s="28">
        <f ca="1">G16/H50</f>
        <v>2.4518212479943901E-3</v>
      </c>
      <c r="H50" s="6">
        <f ca="1">SUM('Rate Class Energy Model'!J75:N75)</f>
        <v>473350159.92162067</v>
      </c>
    </row>
    <row r="51" spans="1:8" x14ac:dyDescent="0.3">
      <c r="A51" s="4">
        <v>2018</v>
      </c>
      <c r="B51" s="28">
        <f ca="1">B17/'Rate Class Energy Model'!J76</f>
        <v>2.5257465985917276E-3</v>
      </c>
      <c r="C51" s="28">
        <f ca="1">C17/'Rate Class Energy Model'!K76</f>
        <v>2.2619891268399633E-3</v>
      </c>
      <c r="D51" s="28">
        <f ca="1">D17/'Rate Class Energy Model'!L76</f>
        <v>2.2091405928795172E-3</v>
      </c>
      <c r="E51" s="28">
        <f ca="1">E17/'Rate Class Energy Model'!M76</f>
        <v>2.7872813903641104E-3</v>
      </c>
      <c r="F51" s="28">
        <f ca="1">F17/'Rate Class Energy Model'!N76</f>
        <v>2.9203243137274214E-3</v>
      </c>
      <c r="G51" s="28">
        <f ca="1">G17/H51</f>
        <v>2.4516963390088572E-3</v>
      </c>
      <c r="H51" s="6">
        <f ca="1">SUM('Rate Class Energy Model'!J76:N76)</f>
        <v>472843695.32221752</v>
      </c>
    </row>
    <row r="52" spans="1:8" x14ac:dyDescent="0.3">
      <c r="A52" s="4">
        <v>2019</v>
      </c>
      <c r="B52" s="28">
        <f ca="1">B18/'Rate Class Energy Model'!J77</f>
        <v>2.5257465985917276E-3</v>
      </c>
      <c r="C52" s="28">
        <f ca="1">C18/'Rate Class Energy Model'!K77</f>
        <v>2.2619891268399633E-3</v>
      </c>
      <c r="D52" s="28">
        <f ca="1">D18/'Rate Class Energy Model'!L77</f>
        <v>2.2091405928795172E-3</v>
      </c>
      <c r="E52" s="28">
        <f ca="1">E18/'Rate Class Energy Model'!M77</f>
        <v>2.7872813903641104E-3</v>
      </c>
      <c r="F52" s="28">
        <f ca="1">F18/'Rate Class Energy Model'!N77</f>
        <v>2.9203243137274214E-3</v>
      </c>
      <c r="G52" s="28">
        <f ca="1">G18/H52</f>
        <v>2.4516256063623542E-3</v>
      </c>
      <c r="H52" s="6">
        <f ca="1">SUM('Rate Class Energy Model'!J77:N77)</f>
        <v>473899718.17149198</v>
      </c>
    </row>
    <row r="53" spans="1:8" x14ac:dyDescent="0.3">
      <c r="B53" s="26"/>
      <c r="C53" s="26"/>
      <c r="D53" s="26"/>
      <c r="E53" s="26"/>
      <c r="F53" s="26"/>
    </row>
    <row r="54" spans="1:8" x14ac:dyDescent="0.3">
      <c r="B54" s="26"/>
      <c r="C54" s="26"/>
      <c r="D54" s="26"/>
      <c r="E54" s="26"/>
      <c r="F54" s="26"/>
    </row>
    <row r="73" spans="2:6" x14ac:dyDescent="0.3">
      <c r="B73" s="15"/>
      <c r="C73" s="15"/>
      <c r="D73" s="15"/>
      <c r="E73" s="15"/>
      <c r="F73" s="15"/>
    </row>
    <row r="74" spans="2:6" x14ac:dyDescent="0.3">
      <c r="B74" s="15"/>
      <c r="C74" s="15"/>
      <c r="D74" s="15"/>
      <c r="E74" s="15"/>
      <c r="F74" s="1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R115"/>
  <sheetViews>
    <sheetView topLeftCell="F12" workbookViewId="0">
      <selection activeCell="R32" activeCellId="4" sqref="R14 R18 R22 R27 R32"/>
    </sheetView>
  </sheetViews>
  <sheetFormatPr defaultRowHeight="12.45" x14ac:dyDescent="0.3"/>
  <cols>
    <col min="1" max="1" width="32.69140625" customWidth="1"/>
    <col min="2" max="2" width="13.3828125" bestFit="1" customWidth="1"/>
    <col min="3" max="3" width="12.69140625" bestFit="1" customWidth="1"/>
    <col min="4" max="4" width="13.53515625" customWidth="1"/>
    <col min="5" max="5" width="12.69140625" customWidth="1"/>
    <col min="6" max="6" width="13" customWidth="1"/>
    <col min="7" max="7" width="12.69140625" bestFit="1" customWidth="1"/>
    <col min="8" max="16" width="12.84375" customWidth="1"/>
    <col min="17" max="17" width="13.3828125" bestFit="1" customWidth="1"/>
    <col min="18" max="18" width="14.15234375" bestFit="1" customWidth="1"/>
    <col min="20" max="21" width="12.69140625" bestFit="1" customWidth="1"/>
  </cols>
  <sheetData>
    <row r="2" spans="1:18" ht="12.9" thickBot="1" x14ac:dyDescent="0.35"/>
    <row r="3" spans="1:18" x14ac:dyDescent="0.3">
      <c r="A3" s="293"/>
      <c r="B3" s="492" t="s">
        <v>206</v>
      </c>
      <c r="C3" s="492"/>
      <c r="D3" s="492"/>
      <c r="E3" s="492"/>
      <c r="F3" s="492"/>
      <c r="G3" s="492"/>
      <c r="H3" s="492"/>
      <c r="I3" s="492"/>
      <c r="J3" s="492"/>
      <c r="K3" s="492"/>
      <c r="L3" s="493"/>
      <c r="M3" s="494" t="s">
        <v>207</v>
      </c>
      <c r="N3" s="492"/>
      <c r="O3" s="492"/>
      <c r="P3" s="492"/>
      <c r="Q3" s="492"/>
      <c r="R3" s="495"/>
    </row>
    <row r="4" spans="1:18" ht="12.9" thickBot="1" x14ac:dyDescent="0.35">
      <c r="A4" s="300" t="s">
        <v>112</v>
      </c>
      <c r="B4" s="301">
        <v>2003</v>
      </c>
      <c r="C4" s="301">
        <v>2004</v>
      </c>
      <c r="D4" s="301">
        <v>2005</v>
      </c>
      <c r="E4" s="301">
        <v>2006</v>
      </c>
      <c r="F4" s="301">
        <v>2007</v>
      </c>
      <c r="G4" s="301">
        <v>2008</v>
      </c>
      <c r="H4" s="301">
        <v>2009</v>
      </c>
      <c r="I4" s="301">
        <v>2010</v>
      </c>
      <c r="J4" s="301">
        <v>2011</v>
      </c>
      <c r="K4" s="301">
        <v>2012</v>
      </c>
      <c r="L4" s="302">
        <v>2013</v>
      </c>
      <c r="M4" s="303">
        <v>2014</v>
      </c>
      <c r="N4" s="301">
        <v>2015</v>
      </c>
      <c r="O4" s="301">
        <v>2016</v>
      </c>
      <c r="P4" s="301">
        <v>2017</v>
      </c>
      <c r="Q4" s="301">
        <v>2018</v>
      </c>
      <c r="R4" s="304">
        <v>2019</v>
      </c>
    </row>
    <row r="5" spans="1:18" x14ac:dyDescent="0.3">
      <c r="A5" s="294" t="s">
        <v>52</v>
      </c>
      <c r="B5" s="214">
        <f>+Chart!$C7</f>
        <v>1232724170</v>
      </c>
      <c r="C5" s="214">
        <f>+Chart!$C8</f>
        <v>1178441190</v>
      </c>
      <c r="D5" s="214">
        <f>+Chart!$C9</f>
        <v>1174501350</v>
      </c>
      <c r="E5" s="214">
        <f>+Chart!$C10</f>
        <v>1151360440</v>
      </c>
      <c r="F5" s="214">
        <f>+Chart!$C11</f>
        <v>1191153590</v>
      </c>
      <c r="G5" s="214">
        <f>+Chart!$C12</f>
        <v>1158881926</v>
      </c>
      <c r="H5" s="214">
        <f>+Chart!$C13</f>
        <v>1128390784.5107694</v>
      </c>
      <c r="I5" s="214">
        <f>+Chart!$C14</f>
        <v>1148489331.8146157</v>
      </c>
      <c r="J5" s="214">
        <f>+Chart!$C15</f>
        <v>1148632387.3953846</v>
      </c>
      <c r="K5" s="214">
        <f>+Chart!$C16</f>
        <v>1136211952.670979</v>
      </c>
      <c r="L5" s="214">
        <f>+Chart!$C17</f>
        <v>1130407041.6666667</v>
      </c>
      <c r="M5" s="305">
        <f>+Chart!C18</f>
        <v>1134970142.7733078</v>
      </c>
      <c r="N5" s="306"/>
      <c r="O5" s="306"/>
      <c r="P5" s="306"/>
      <c r="Q5" s="306"/>
      <c r="R5" s="307"/>
    </row>
    <row r="6" spans="1:18" x14ac:dyDescent="0.3">
      <c r="A6" s="294" t="s">
        <v>53</v>
      </c>
      <c r="B6" s="214">
        <f>+Chart!$D7</f>
        <v>1206627694.1608171</v>
      </c>
      <c r="C6" s="214">
        <f>+Chart!$D8</f>
        <v>1193979451.6981936</v>
      </c>
      <c r="D6" s="214">
        <f>+Chart!$D9</f>
        <v>1203979720.1338103</v>
      </c>
      <c r="E6" s="214">
        <f>+Chart!$D10</f>
        <v>1167569771.1626649</v>
      </c>
      <c r="F6" s="214">
        <f>+Chart!$D11</f>
        <v>1143276288.5600548</v>
      </c>
      <c r="G6" s="214">
        <f>+Chart!$D12</f>
        <v>1104122225.6612682</v>
      </c>
      <c r="H6" s="214">
        <f>+Chart!$D13</f>
        <v>1123059224.0894532</v>
      </c>
      <c r="I6" s="214">
        <f>+Chart!$D14</f>
        <v>1129587697.9506867</v>
      </c>
      <c r="J6" s="214">
        <f>+Chart!$D15</f>
        <v>1161830633.4946833</v>
      </c>
      <c r="K6" s="214">
        <f>+Chart!$D16</f>
        <v>1150989222.1932878</v>
      </c>
      <c r="L6" s="214">
        <f ca="1">+Chart!$D17</f>
        <v>1157767974.9881625</v>
      </c>
      <c r="M6" s="213">
        <f>+Chart!$D18</f>
        <v>1171374402.7386408</v>
      </c>
      <c r="N6" s="214">
        <f ca="1">+Chart!$D19</f>
        <v>1155695984.2165191</v>
      </c>
      <c r="O6" s="214">
        <f ca="1">+Chart!$D20</f>
        <v>1159527660.9021561</v>
      </c>
      <c r="P6" s="214">
        <f ca="1">+Chart!$D21</f>
        <v>1161962823.0962443</v>
      </c>
      <c r="Q6" s="214">
        <f ca="1">+Chart!$D22</f>
        <v>1165591120.8811669</v>
      </c>
      <c r="R6" s="232">
        <f ca="1">+Chart!$D23</f>
        <v>1170084152.9105246</v>
      </c>
    </row>
    <row r="7" spans="1:18" x14ac:dyDescent="0.3">
      <c r="A7" s="294" t="s">
        <v>8</v>
      </c>
      <c r="B7" s="216">
        <f t="shared" ref="B7:M7" si="0">(B6-B5)/B5</f>
        <v>-2.1169760822636302E-2</v>
      </c>
      <c r="C7" s="216">
        <f t="shared" si="0"/>
        <v>1.3185436685383977E-2</v>
      </c>
      <c r="D7" s="216">
        <f t="shared" si="0"/>
        <v>2.5098626011634879E-2</v>
      </c>
      <c r="E7" s="216">
        <f t="shared" si="0"/>
        <v>1.4078415932603078E-2</v>
      </c>
      <c r="F7" s="216">
        <f t="shared" si="0"/>
        <v>-4.0194062161156917E-2</v>
      </c>
      <c r="G7" s="216">
        <f t="shared" si="0"/>
        <v>-4.7252182565087106E-2</v>
      </c>
      <c r="H7" s="216">
        <f t="shared" si="0"/>
        <v>-4.7249237538108078E-3</v>
      </c>
      <c r="I7" s="216">
        <f t="shared" si="0"/>
        <v>-1.645782275928015E-2</v>
      </c>
      <c r="J7" s="216">
        <f t="shared" si="0"/>
        <v>1.1490400448507977E-2</v>
      </c>
      <c r="K7" s="216">
        <f t="shared" si="0"/>
        <v>1.3005733206353608E-2</v>
      </c>
      <c r="L7" s="216">
        <f t="shared" ca="1" si="0"/>
        <v>2.4204496533527377E-2</v>
      </c>
      <c r="M7" s="216">
        <f t="shared" si="0"/>
        <v>3.2075081619661737E-2</v>
      </c>
      <c r="N7" s="216"/>
      <c r="O7" s="216"/>
      <c r="P7" s="216"/>
      <c r="Q7" s="216"/>
      <c r="R7" s="233"/>
    </row>
    <row r="8" spans="1:18" x14ac:dyDescent="0.3">
      <c r="A8" s="294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7"/>
      <c r="N8" s="218"/>
      <c r="O8" s="218"/>
      <c r="P8" s="218"/>
      <c r="Q8" s="218"/>
      <c r="R8" s="234"/>
    </row>
    <row r="9" spans="1:18" x14ac:dyDescent="0.3">
      <c r="A9" s="294" t="s">
        <v>55</v>
      </c>
      <c r="B9" s="214">
        <f>+'Chart II'!$J58</f>
        <v>1136840307.5</v>
      </c>
      <c r="C9" s="214">
        <f>+'Chart II'!$J59</f>
        <v>1128300513.0634735</v>
      </c>
      <c r="D9" s="214">
        <f>+'Chart II'!$J60</f>
        <v>1125931170</v>
      </c>
      <c r="E9" s="214">
        <f>+'Chart II'!$J61</f>
        <v>1110963247</v>
      </c>
      <c r="F9" s="214">
        <f>+'Chart II'!$J62</f>
        <v>1143760516</v>
      </c>
      <c r="G9" s="214">
        <f>+'Chart II'!$J63</f>
        <v>1117251257</v>
      </c>
      <c r="H9" s="214">
        <f>+'Chart II'!$J64</f>
        <v>1082664508</v>
      </c>
      <c r="I9" s="214">
        <f>+'Chart II'!$J65</f>
        <v>1090938483</v>
      </c>
      <c r="J9" s="214">
        <f>+'Chart II'!$J66</f>
        <v>1110518847</v>
      </c>
      <c r="K9" s="214">
        <f>+'Chart II'!$J67</f>
        <v>1073783871</v>
      </c>
      <c r="L9" s="214">
        <f>+'Chart II'!$J68</f>
        <v>1078161209</v>
      </c>
      <c r="M9" s="213">
        <f>+'Chart II'!$J69</f>
        <v>1091642390</v>
      </c>
      <c r="N9" s="214">
        <f ca="1">+'Chart II'!$J70</f>
        <v>1102042241.3540516</v>
      </c>
      <c r="O9" s="214">
        <f ca="1">+'Chart II'!$J71</f>
        <v>1105604445.0975072</v>
      </c>
      <c r="P9" s="214">
        <f ca="1">+'Chart II'!$J72</f>
        <v>1107833050.7016122</v>
      </c>
      <c r="Q9" s="214">
        <f ca="1">+'Chart II'!$J73</f>
        <v>1111201027.7711666</v>
      </c>
      <c r="R9" s="232">
        <f ca="1">+'Chart II'!$J74</f>
        <v>1115391817.0133681</v>
      </c>
    </row>
    <row r="10" spans="1:18" x14ac:dyDescent="0.3">
      <c r="A10" s="294" t="s">
        <v>262</v>
      </c>
      <c r="B10" s="214">
        <f>+'Chart II'!$G125</f>
        <v>1376310.4427777778</v>
      </c>
      <c r="C10" s="214">
        <f>+'Chart II'!$G126</f>
        <v>1359503.3072222222</v>
      </c>
      <c r="D10" s="214">
        <f>+'Chart II'!$G127</f>
        <v>1235025.9316666666</v>
      </c>
      <c r="E10" s="214">
        <f>+'Chart II'!$G128</f>
        <v>1231537.3194444445</v>
      </c>
      <c r="F10" s="214">
        <f>+'Chart II'!$G129</f>
        <v>1262855.0222222223</v>
      </c>
      <c r="G10" s="214">
        <f>+'Chart II'!$G130</f>
        <v>1231679.9805555556</v>
      </c>
      <c r="H10" s="214">
        <f>+'Chart II'!$G131</f>
        <v>1167952.2</v>
      </c>
      <c r="I10" s="214">
        <f>+'Chart II'!$G132</f>
        <v>1165174.4777777777</v>
      </c>
      <c r="J10" s="214">
        <f>+'Chart II'!$G133</f>
        <v>1171404</v>
      </c>
      <c r="K10" s="214">
        <f>+'Chart II'!$G134</f>
        <v>1146022</v>
      </c>
      <c r="L10" s="214">
        <f>+'Chart II'!$G135</f>
        <v>1145530</v>
      </c>
      <c r="M10" s="213">
        <f>+'Chart II'!G136</f>
        <v>1137326</v>
      </c>
      <c r="N10" s="214">
        <f ca="1">+'Chart II'!$G172</f>
        <v>1167749.3739043719</v>
      </c>
      <c r="O10" s="214">
        <f ca="1">+'Chart II'!$G173</f>
        <v>1166261.4222089821</v>
      </c>
      <c r="P10" s="214">
        <f ca="1">+'Chart II'!$G174</f>
        <v>1169156.6144512808</v>
      </c>
      <c r="Q10" s="214">
        <f ca="1">+'Chart II'!$G175</f>
        <v>1173433.9082862486</v>
      </c>
      <c r="R10" s="232">
        <f ca="1">+'Chart II'!$G176</f>
        <v>1178527.9124127266</v>
      </c>
    </row>
    <row r="11" spans="1:18" x14ac:dyDescent="0.3">
      <c r="A11" s="294"/>
      <c r="B11" s="218"/>
      <c r="C11" s="218"/>
      <c r="D11" s="218"/>
      <c r="E11" s="218"/>
      <c r="F11" s="218"/>
      <c r="G11" s="222"/>
      <c r="H11" s="220"/>
      <c r="I11" s="220"/>
      <c r="J11" s="220"/>
      <c r="K11" s="220"/>
      <c r="L11" s="220"/>
      <c r="M11" s="219"/>
      <c r="N11" s="220"/>
      <c r="O11" s="220"/>
      <c r="P11" s="220"/>
      <c r="Q11" s="220"/>
      <c r="R11" s="235"/>
    </row>
    <row r="12" spans="1:18" ht="15.45" x14ac:dyDescent="0.4">
      <c r="A12" s="295" t="s">
        <v>54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1"/>
      <c r="N12" s="222"/>
      <c r="O12" s="222"/>
      <c r="P12" s="222"/>
      <c r="Q12" s="222"/>
      <c r="R12" s="237"/>
    </row>
    <row r="13" spans="1:18" x14ac:dyDescent="0.3">
      <c r="A13" s="296" t="str">
        <f>'Rate Class Energy Model'!H2</f>
        <v>Residential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1"/>
      <c r="N13" s="222"/>
      <c r="O13" s="222"/>
      <c r="P13" s="222"/>
      <c r="Q13" s="222"/>
      <c r="R13" s="237"/>
    </row>
    <row r="14" spans="1:18" x14ac:dyDescent="0.3">
      <c r="A14" s="297" t="s">
        <v>47</v>
      </c>
      <c r="B14" s="224">
        <f>+'Chart II'!$B$33</f>
        <v>43319.5</v>
      </c>
      <c r="C14" s="224">
        <f>+'Chart II'!$B$34</f>
        <v>43979.5</v>
      </c>
      <c r="D14" s="224">
        <f>+'Chart II'!$B$35</f>
        <v>44598.5</v>
      </c>
      <c r="E14" s="224">
        <f>+'Chart II'!$B$36</f>
        <v>45439</v>
      </c>
      <c r="F14" s="224">
        <f>+'Chart II'!$B$37</f>
        <v>46320</v>
      </c>
      <c r="G14" s="224">
        <f>+'Chart II'!$B$38</f>
        <v>47057.5</v>
      </c>
      <c r="H14" s="224">
        <f>+'Chart II'!$B$39</f>
        <v>47602.5</v>
      </c>
      <c r="I14" s="224">
        <f>+'Chart II'!$B$40</f>
        <v>48114.5</v>
      </c>
      <c r="J14" s="224">
        <f>+'Chart II'!$B$41</f>
        <v>48650.5</v>
      </c>
      <c r="K14" s="224">
        <f>+'Chart II'!$B$42</f>
        <v>49021</v>
      </c>
      <c r="L14" s="224">
        <f>+'Chart II'!$B$43</f>
        <v>49516</v>
      </c>
      <c r="M14" s="223">
        <f>+'Chart II'!$B$44</f>
        <v>50202.5</v>
      </c>
      <c r="N14" s="224">
        <f>+'Chart II'!$B$45</f>
        <v>50977.327408831858</v>
      </c>
      <c r="O14" s="224">
        <f>+'Chart II'!$B$46</f>
        <v>51741.998652925271</v>
      </c>
      <c r="P14" s="224">
        <f>+'Chart II'!$B$47</f>
        <v>52518.137136473488</v>
      </c>
      <c r="Q14" s="224">
        <f>+'Chart II'!$B$48</f>
        <v>53515.967929119157</v>
      </c>
      <c r="R14" s="240">
        <f>+'Chart II'!$B$49</f>
        <v>54533.01778843104</v>
      </c>
    </row>
    <row r="15" spans="1:18" x14ac:dyDescent="0.3">
      <c r="A15" s="297" t="s">
        <v>48</v>
      </c>
      <c r="B15" s="224">
        <f>+'Chart II'!$B58</f>
        <v>457616904</v>
      </c>
      <c r="C15" s="224">
        <f>+'Chart II'!$B59</f>
        <v>448138859</v>
      </c>
      <c r="D15" s="224">
        <f>+'Chart II'!$B60</f>
        <v>485961504</v>
      </c>
      <c r="E15" s="224">
        <f>+'Chart II'!$B61</f>
        <v>466401366</v>
      </c>
      <c r="F15" s="224">
        <f>+'Chart II'!$B62</f>
        <v>473023155</v>
      </c>
      <c r="G15" s="224">
        <f>+'Chart II'!$B63</f>
        <v>470718851</v>
      </c>
      <c r="H15" s="224">
        <f>+'Chart II'!$B64</f>
        <v>467977819</v>
      </c>
      <c r="I15" s="224">
        <f>+'Chart II'!$B65</f>
        <v>476941035</v>
      </c>
      <c r="J15" s="224">
        <f>+'Chart II'!$B66</f>
        <v>484582022</v>
      </c>
      <c r="K15" s="224">
        <f>+'Chart II'!$B67</f>
        <v>473288468</v>
      </c>
      <c r="L15" s="224">
        <f>+'Chart II'!$B68</f>
        <v>475282449</v>
      </c>
      <c r="M15" s="223">
        <f>+'Chart II'!$B69</f>
        <v>485503507</v>
      </c>
      <c r="N15" s="224">
        <f ca="1">+'Chart II'!$B70</f>
        <v>488310441.84458584</v>
      </c>
      <c r="O15" s="224">
        <f ca="1">+'Chart II'!$B71</f>
        <v>491380160.90018409</v>
      </c>
      <c r="P15" s="224">
        <f ca="1">+'Chart II'!$B72</f>
        <v>492297000.53160763</v>
      </c>
      <c r="Q15" s="224">
        <f ca="1">+'Chart II'!$B73</f>
        <v>493730171.21752775</v>
      </c>
      <c r="R15" s="240">
        <f ca="1">+'Chart II'!$B74</f>
        <v>495549475.53843433</v>
      </c>
    </row>
    <row r="16" spans="1:18" x14ac:dyDescent="0.3">
      <c r="A16" s="297"/>
      <c r="B16" s="222"/>
      <c r="C16" s="222"/>
      <c r="D16" s="222"/>
      <c r="E16" s="222"/>
      <c r="F16" s="222"/>
      <c r="G16" s="241"/>
      <c r="H16" s="220"/>
      <c r="I16" s="220"/>
      <c r="J16" s="220"/>
      <c r="K16" s="220"/>
      <c r="L16" s="220"/>
      <c r="M16" s="219"/>
      <c r="N16" s="220"/>
      <c r="O16" s="220"/>
      <c r="P16" s="220"/>
      <c r="Q16" s="220"/>
      <c r="R16" s="235"/>
    </row>
    <row r="17" spans="1:18" x14ac:dyDescent="0.3">
      <c r="A17" s="296" t="str">
        <f>'Rate Class Energy Model'!I2</f>
        <v>GS&lt;50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1"/>
      <c r="N17" s="222"/>
      <c r="O17" s="222"/>
      <c r="P17" s="222"/>
      <c r="Q17" s="222"/>
      <c r="R17" s="237"/>
    </row>
    <row r="18" spans="1:18" x14ac:dyDescent="0.3">
      <c r="A18" s="297" t="s">
        <v>47</v>
      </c>
      <c r="B18" s="224">
        <f>+'Chart II'!$C$33</f>
        <v>3689</v>
      </c>
      <c r="C18" s="224">
        <f>+'Chart II'!$C$34</f>
        <v>3626.5</v>
      </c>
      <c r="D18" s="224">
        <f>+'Chart II'!$C$35</f>
        <v>3662</v>
      </c>
      <c r="E18" s="224">
        <f>+'Chart II'!$C$36</f>
        <v>3740.5</v>
      </c>
      <c r="F18" s="224">
        <f>+'Chart II'!$C$37</f>
        <v>3749</v>
      </c>
      <c r="G18" s="224">
        <f>+'Chart II'!$C$38</f>
        <v>3793.5</v>
      </c>
      <c r="H18" s="224">
        <f>+'Chart II'!$C$39</f>
        <v>3859.5</v>
      </c>
      <c r="I18" s="224">
        <f>+'Chart II'!$C$40</f>
        <v>3929</v>
      </c>
      <c r="J18" s="224">
        <f>+'Chart II'!$C$41</f>
        <v>3888.5</v>
      </c>
      <c r="K18" s="224">
        <f>+'Chart II'!$C$42</f>
        <v>3850.5</v>
      </c>
      <c r="L18" s="224">
        <f>+'Chart II'!$C$43</f>
        <v>3904.5</v>
      </c>
      <c r="M18" s="223">
        <f>+'Chart II'!$C$44</f>
        <v>3952.5</v>
      </c>
      <c r="N18" s="224">
        <f>+'Chart II'!$C$45</f>
        <v>4002.4682995893245</v>
      </c>
      <c r="O18" s="224">
        <f>+'Chart II'!$C$46</f>
        <v>4062.4930652948956</v>
      </c>
      <c r="P18" s="224">
        <f>+'Chart II'!$C$47</f>
        <v>4123.3752815686439</v>
      </c>
      <c r="Q18" s="224">
        <f>+'Chart II'!$C$48</f>
        <v>4202.0159390564631</v>
      </c>
      <c r="R18" s="240">
        <f>+'Chart II'!$C$49</f>
        <v>4282.0160346371858</v>
      </c>
    </row>
    <row r="19" spans="1:18" x14ac:dyDescent="0.3">
      <c r="A19" s="297" t="s">
        <v>48</v>
      </c>
      <c r="B19" s="224">
        <f>+'Chart II'!$C58</f>
        <v>121224653</v>
      </c>
      <c r="C19" s="224">
        <f>+'Chart II'!$C59</f>
        <v>129998490</v>
      </c>
      <c r="D19" s="224">
        <f>+'Chart II'!$C60</f>
        <v>135909028</v>
      </c>
      <c r="E19" s="224">
        <f>+'Chart II'!$C61</f>
        <v>134155770</v>
      </c>
      <c r="F19" s="224">
        <f>+'Chart II'!$C62</f>
        <v>132346004</v>
      </c>
      <c r="G19" s="224">
        <f>+'Chart II'!$C63</f>
        <v>131868017</v>
      </c>
      <c r="H19" s="224">
        <f>+'Chart II'!$C64</f>
        <v>128019505</v>
      </c>
      <c r="I19" s="224">
        <f>+'Chart II'!$C65</f>
        <v>131282103</v>
      </c>
      <c r="J19" s="224">
        <f>+'Chart II'!$C66</f>
        <v>135695878</v>
      </c>
      <c r="K19" s="224">
        <f>+'Chart II'!$C67</f>
        <v>131590801</v>
      </c>
      <c r="L19" s="224">
        <f>+'Chart II'!$C68</f>
        <v>132382128</v>
      </c>
      <c r="M19" s="223">
        <f>+'Chart II'!$C69</f>
        <v>133729082</v>
      </c>
      <c r="N19" s="224">
        <f ca="1">+'Chart II'!$C70</f>
        <v>134064266.11914393</v>
      </c>
      <c r="O19" s="224">
        <f ca="1">+'Chart II'!$C71</f>
        <v>134854491.64774501</v>
      </c>
      <c r="P19" s="224">
        <f ca="1">+'Chart II'!$C72</f>
        <v>135063742.04659477</v>
      </c>
      <c r="Q19" s="224">
        <f ca="1">+'Chart II'!$C73</f>
        <v>135448704.96557888</v>
      </c>
      <c r="R19" s="240">
        <f ca="1">+'Chart II'!$C74</f>
        <v>135967584.36597273</v>
      </c>
    </row>
    <row r="20" spans="1:18" x14ac:dyDescent="0.3">
      <c r="A20" s="297"/>
      <c r="B20" s="222"/>
      <c r="C20" s="222"/>
      <c r="D20" s="222"/>
      <c r="E20" s="222"/>
      <c r="F20" s="222"/>
      <c r="G20" s="241"/>
      <c r="H20" s="220"/>
      <c r="I20" s="220"/>
      <c r="J20" s="220"/>
      <c r="K20" s="220"/>
      <c r="L20" s="220"/>
      <c r="M20" s="219"/>
      <c r="N20" s="220"/>
      <c r="O20" s="220"/>
      <c r="P20" s="220"/>
      <c r="Q20" s="220"/>
      <c r="R20" s="235"/>
    </row>
    <row r="21" spans="1:18" x14ac:dyDescent="0.3">
      <c r="A21" s="296" t="str">
        <f>'Rate Class Energy Model'!J2</f>
        <v>GS&gt;50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1"/>
      <c r="N21" s="222"/>
      <c r="O21" s="222"/>
      <c r="P21" s="222"/>
      <c r="Q21" s="222"/>
      <c r="R21" s="237"/>
    </row>
    <row r="22" spans="1:18" x14ac:dyDescent="0.3">
      <c r="A22" s="297" t="s">
        <v>47</v>
      </c>
      <c r="B22" s="224">
        <f>+'Chart II'!$D$33</f>
        <v>559</v>
      </c>
      <c r="C22" s="224">
        <f>+'Chart II'!$D$34</f>
        <v>530</v>
      </c>
      <c r="D22" s="224">
        <f>+'Chart II'!$D$35</f>
        <v>521.5</v>
      </c>
      <c r="E22" s="224">
        <f>+'Chart II'!$D$36</f>
        <v>525</v>
      </c>
      <c r="F22" s="224">
        <f>+'Chart II'!$D$37</f>
        <v>523</v>
      </c>
      <c r="G22" s="224">
        <f>+'Chart II'!$D$38</f>
        <v>533.5</v>
      </c>
      <c r="H22" s="224">
        <f>+'Chart II'!$D$39</f>
        <v>525</v>
      </c>
      <c r="I22" s="224">
        <f>+'Chart II'!$D$40</f>
        <v>512.5</v>
      </c>
      <c r="J22" s="224">
        <f>+'Chart II'!$D$41</f>
        <v>520.5</v>
      </c>
      <c r="K22" s="224">
        <f>+'Chart II'!$D$42</f>
        <v>511.5</v>
      </c>
      <c r="L22" s="224">
        <f>+'Chart II'!$D$43</f>
        <v>500</v>
      </c>
      <c r="M22" s="223">
        <f>+'Chart II'!$D$44</f>
        <v>502.5</v>
      </c>
      <c r="N22" s="224">
        <f>+'Chart II'!$D$45</f>
        <v>507</v>
      </c>
      <c r="O22" s="224">
        <f>+'Chart II'!$D$46</f>
        <v>514.6</v>
      </c>
      <c r="P22" s="224">
        <f>+'Chart II'!$D$47</f>
        <v>522.29999999999995</v>
      </c>
      <c r="Q22" s="224">
        <f>+'Chart II'!$D$48</f>
        <v>532</v>
      </c>
      <c r="R22" s="240">
        <f>+'Chart II'!$D$49</f>
        <v>542</v>
      </c>
    </row>
    <row r="23" spans="1:18" x14ac:dyDescent="0.3">
      <c r="A23" s="297" t="s">
        <v>48</v>
      </c>
      <c r="B23" s="224">
        <f>+'Chart II'!$D58</f>
        <v>281244125.5</v>
      </c>
      <c r="C23" s="224">
        <f>+'Chart II'!$D59</f>
        <v>360631980</v>
      </c>
      <c r="D23" s="224">
        <f>+'Chart II'!$D60</f>
        <v>361962669</v>
      </c>
      <c r="E23" s="224">
        <f>+'Chart II'!$D61</f>
        <v>357086593</v>
      </c>
      <c r="F23" s="224">
        <f>+'Chart II'!$D62</f>
        <v>359144720</v>
      </c>
      <c r="G23" s="224">
        <f>+'Chart II'!$D63</f>
        <v>352632150</v>
      </c>
      <c r="H23" s="224">
        <f>+'Chart II'!$D64</f>
        <v>349784301</v>
      </c>
      <c r="I23" s="224">
        <f>+'Chart II'!$D65</f>
        <v>355234224</v>
      </c>
      <c r="J23" s="224">
        <f>+'Chart II'!$D66</f>
        <v>359534375</v>
      </c>
      <c r="K23" s="224">
        <f>+'Chart II'!$D67</f>
        <v>338342507</v>
      </c>
      <c r="L23" s="224">
        <f>+'Chart II'!$D68</f>
        <v>337123668</v>
      </c>
      <c r="M23" s="223">
        <f>+'Chart II'!$D69</f>
        <v>336406114</v>
      </c>
      <c r="N23" s="224">
        <f ca="1">+'Chart II'!$D70</f>
        <v>337307808.8671304</v>
      </c>
      <c r="O23" s="224">
        <f ca="1">+'Chart II'!$D71</f>
        <v>340651147.74867117</v>
      </c>
      <c r="P23" s="224">
        <f ca="1">+'Chart II'!$D72</f>
        <v>342688526.37423319</v>
      </c>
      <c r="Q23" s="224">
        <f ca="1">+'Chart II'!$D73</f>
        <v>345067783.67905658</v>
      </c>
      <c r="R23" s="240">
        <f ca="1">+'Chart II'!$D74</f>
        <v>347872365.19595963</v>
      </c>
    </row>
    <row r="24" spans="1:18" x14ac:dyDescent="0.3">
      <c r="A24" s="297" t="s">
        <v>49</v>
      </c>
      <c r="B24" s="224">
        <f>+'Chart II'!$B125</f>
        <v>806199.49000000011</v>
      </c>
      <c r="C24" s="224">
        <f>+'Chart II'!$B126</f>
        <v>957450.82</v>
      </c>
      <c r="D24" s="224">
        <f>+'Chart II'!$B127</f>
        <v>913899.12999999989</v>
      </c>
      <c r="E24" s="224">
        <f>+'Chart II'!$B128</f>
        <v>893943</v>
      </c>
      <c r="F24" s="224">
        <f>+'Chart II'!$B129</f>
        <v>887017</v>
      </c>
      <c r="G24" s="224">
        <f>+'Chart II'!$B130</f>
        <v>876464</v>
      </c>
      <c r="H24" s="224">
        <f>+'Chart II'!$B131</f>
        <v>861503</v>
      </c>
      <c r="I24" s="226">
        <f>+'Chart II'!$B132</f>
        <v>871715</v>
      </c>
      <c r="J24" s="226">
        <f>+'Chart II'!$B133</f>
        <v>867070</v>
      </c>
      <c r="K24" s="226">
        <f>+'Chart II'!$B134</f>
        <v>846459</v>
      </c>
      <c r="L24" s="226">
        <f>+'Chart II'!$B135</f>
        <v>843160</v>
      </c>
      <c r="M24" s="225">
        <f>+'Chart II'!B136</f>
        <v>831789</v>
      </c>
      <c r="N24" s="226">
        <f ca="1">+'Chart II'!$B172</f>
        <v>851954.05092458322</v>
      </c>
      <c r="O24" s="226">
        <f ca="1">+'Chart II'!$B173</f>
        <v>860398.47773257422</v>
      </c>
      <c r="P24" s="226">
        <f ca="1">+'Chart II'!$B174</f>
        <v>865544.379866131</v>
      </c>
      <c r="Q24" s="226">
        <f ca="1">+'Chart II'!$B175</f>
        <v>871553.78091096319</v>
      </c>
      <c r="R24" s="242">
        <f ca="1">+'Chart II'!$B176</f>
        <v>878637.44313775434</v>
      </c>
    </row>
    <row r="25" spans="1:18" x14ac:dyDescent="0.3">
      <c r="A25" s="297"/>
      <c r="B25" s="222"/>
      <c r="C25" s="222"/>
      <c r="D25" s="222"/>
      <c r="E25" s="222"/>
      <c r="F25" s="222"/>
      <c r="G25" s="241"/>
      <c r="H25" s="220"/>
      <c r="I25" s="220"/>
      <c r="J25" s="220"/>
      <c r="K25" s="220"/>
      <c r="L25" s="220"/>
      <c r="M25" s="219"/>
      <c r="N25" s="220"/>
      <c r="O25" s="220"/>
      <c r="P25" s="220"/>
      <c r="Q25" s="220"/>
      <c r="R25" s="235"/>
    </row>
    <row r="26" spans="1:18" x14ac:dyDescent="0.3">
      <c r="A26" s="296" t="str">
        <f>'Rate Class Energy Model'!K2</f>
        <v>Large User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1"/>
      <c r="N26" s="222"/>
      <c r="O26" s="222"/>
      <c r="P26" s="222"/>
      <c r="Q26" s="222"/>
      <c r="R26" s="237"/>
    </row>
    <row r="27" spans="1:18" x14ac:dyDescent="0.3">
      <c r="A27" s="297" t="s">
        <v>47</v>
      </c>
      <c r="B27" s="224">
        <f>+'Chart II'!$E$33</f>
        <v>2.5</v>
      </c>
      <c r="C27" s="224">
        <f>+'Chart II'!$E$34</f>
        <v>2.5</v>
      </c>
      <c r="D27" s="224">
        <f>+'Chart II'!$E$35</f>
        <v>2</v>
      </c>
      <c r="E27" s="224">
        <f>+'Chart II'!$E$36</f>
        <v>2</v>
      </c>
      <c r="F27" s="224">
        <f>+'Chart II'!$E$37</f>
        <v>2</v>
      </c>
      <c r="G27" s="224">
        <f>+'Chart II'!$E$38</f>
        <v>2.5</v>
      </c>
      <c r="H27" s="224">
        <f>+'Chart II'!$E$39</f>
        <v>2</v>
      </c>
      <c r="I27" s="224">
        <f>+'Chart II'!$E$40</f>
        <v>1</v>
      </c>
      <c r="J27" s="224">
        <f>+'Chart II'!$E$41</f>
        <v>1</v>
      </c>
      <c r="K27" s="224">
        <f>+'Chart II'!$E$42</f>
        <v>1</v>
      </c>
      <c r="L27" s="224">
        <f>+'Chart II'!$E$43</f>
        <v>1</v>
      </c>
      <c r="M27" s="223">
        <f>+'Chart II'!$E$44</f>
        <v>1</v>
      </c>
      <c r="N27" s="224">
        <f>+'Chart II'!$E$45</f>
        <v>1</v>
      </c>
      <c r="O27" s="224">
        <f>+'Chart II'!$E$46</f>
        <v>1</v>
      </c>
      <c r="P27" s="224">
        <f>+'Chart II'!$E$47</f>
        <v>1</v>
      </c>
      <c r="Q27" s="224">
        <f>+'Chart II'!$E$48</f>
        <v>1</v>
      </c>
      <c r="R27" s="240">
        <f>+'Chart II'!$E$49</f>
        <v>1</v>
      </c>
    </row>
    <row r="28" spans="1:18" x14ac:dyDescent="0.3">
      <c r="A28" s="297" t="s">
        <v>48</v>
      </c>
      <c r="B28" s="224">
        <f>+'Chart II'!$E58</f>
        <v>169257212.5</v>
      </c>
      <c r="C28" s="224">
        <f>+'Chart II'!$E59</f>
        <v>112144196</v>
      </c>
      <c r="D28" s="224">
        <f>+'Chart II'!$E60</f>
        <v>62904833</v>
      </c>
      <c r="E28" s="224">
        <f>+'Chart II'!$E61</f>
        <v>59654446</v>
      </c>
      <c r="F28" s="224">
        <f>+'Chart II'!$E62</f>
        <v>61811846</v>
      </c>
      <c r="G28" s="224">
        <f>+'Chart II'!$E63</f>
        <v>46461021</v>
      </c>
      <c r="H28" s="224">
        <f>+'Chart II'!$E64</f>
        <v>36580289</v>
      </c>
      <c r="I28" s="224">
        <f>+'Chart II'!$E65</f>
        <v>33402763</v>
      </c>
      <c r="J28" s="224">
        <f>+'Chart II'!$E66</f>
        <v>37740699</v>
      </c>
      <c r="K28" s="224">
        <f>+'Chart II'!$E67</f>
        <v>40812737</v>
      </c>
      <c r="L28" s="224">
        <f>+'Chart II'!$E68</f>
        <v>42326219</v>
      </c>
      <c r="M28" s="223">
        <f>+'Chart II'!$E69</f>
        <v>42700435</v>
      </c>
      <c r="N28" s="224">
        <f ca="1">+'Chart II'!$E70</f>
        <v>42639586.096446052</v>
      </c>
      <c r="O28" s="224">
        <f ca="1">+'Chart II'!$E71</f>
        <v>42660606.445226006</v>
      </c>
      <c r="P28" s="224">
        <f ca="1">+'Chart II'!$E72</f>
        <v>42752494.396360196</v>
      </c>
      <c r="Q28" s="224">
        <f ca="1">+'Chart II'!$E73</f>
        <v>42718996.835031144</v>
      </c>
      <c r="R28" s="240">
        <f ca="1">+'Chart II'!$E74</f>
        <v>42532142.041214556</v>
      </c>
    </row>
    <row r="29" spans="1:18" x14ac:dyDescent="0.3">
      <c r="A29" s="297" t="s">
        <v>49</v>
      </c>
      <c r="B29" s="224">
        <f>+'Chart II'!$C125</f>
        <v>349045.15</v>
      </c>
      <c r="C29" s="224">
        <f>+'Chart II'!$C126</f>
        <v>243130.85</v>
      </c>
      <c r="D29" s="224">
        <f>+'Chart II'!$C127</f>
        <v>154705.01</v>
      </c>
      <c r="E29" s="224">
        <f>+'Chart II'!$C128</f>
        <v>134252</v>
      </c>
      <c r="F29" s="224">
        <f>+'Chart II'!$C129</f>
        <v>135954</v>
      </c>
      <c r="G29" s="224">
        <f>+'Chart II'!$C130</f>
        <v>124131</v>
      </c>
      <c r="H29" s="224">
        <f>+'Chart II'!$C131</f>
        <v>89007</v>
      </c>
      <c r="I29" s="226">
        <f>+'Chart II'!$C132</f>
        <v>70585</v>
      </c>
      <c r="J29" s="226">
        <f>+'Chart II'!$C133</f>
        <v>83704</v>
      </c>
      <c r="K29" s="226">
        <f>+'Chart II'!$C134</f>
        <v>89554</v>
      </c>
      <c r="L29" s="226">
        <f>+'Chart II'!$C135</f>
        <v>92753</v>
      </c>
      <c r="M29" s="225">
        <f>+'Chart II'!C136</f>
        <v>93203</v>
      </c>
      <c r="N29" s="226">
        <f ca="1">+'Chart II'!$C172</f>
        <v>96450.280123117438</v>
      </c>
      <c r="O29" s="226">
        <f ca="1">+'Chart II'!$C173</f>
        <v>96497.827923500081</v>
      </c>
      <c r="P29" s="226">
        <f ca="1">+'Chart II'!$C174</f>
        <v>96705.677469853224</v>
      </c>
      <c r="Q29" s="226">
        <f ca="1">+'Chart II'!$C175</f>
        <v>96629.906350351259</v>
      </c>
      <c r="R29" s="242">
        <f ca="1">+'Chart II'!$C176</f>
        <v>96207.242838440201</v>
      </c>
    </row>
    <row r="30" spans="1:18" x14ac:dyDescent="0.3">
      <c r="A30" s="297"/>
      <c r="B30" s="222"/>
      <c r="C30" s="222"/>
      <c r="D30" s="222"/>
      <c r="E30" s="222"/>
      <c r="F30" s="222"/>
      <c r="G30" s="241"/>
      <c r="H30" s="220"/>
      <c r="I30" s="220"/>
      <c r="J30" s="220"/>
      <c r="K30" s="220"/>
      <c r="L30" s="220"/>
      <c r="M30" s="219"/>
      <c r="N30" s="220"/>
      <c r="O30" s="220"/>
      <c r="P30" s="220"/>
      <c r="Q30" s="220"/>
      <c r="R30" s="235"/>
    </row>
    <row r="31" spans="1:18" x14ac:dyDescent="0.3">
      <c r="A31" s="296" t="str">
        <f>'Rate Class Energy Model'!L2</f>
        <v>I2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1"/>
      <c r="N31" s="222"/>
      <c r="O31" s="222"/>
      <c r="P31" s="222"/>
      <c r="Q31" s="222"/>
      <c r="R31" s="237"/>
    </row>
    <row r="32" spans="1:18" x14ac:dyDescent="0.3">
      <c r="A32" s="298" t="s">
        <v>47</v>
      </c>
      <c r="B32" s="224">
        <f>+'Chart II'!$F$33</f>
        <v>5</v>
      </c>
      <c r="C32" s="224">
        <f>+'Chart II'!$F$34</f>
        <v>6</v>
      </c>
      <c r="D32" s="224">
        <f>+'Chart II'!$F$35</f>
        <v>7.5</v>
      </c>
      <c r="E32" s="224">
        <f>+'Chart II'!$F$36</f>
        <v>8.5</v>
      </c>
      <c r="F32" s="224">
        <f>+'Chart II'!$F$37</f>
        <v>9</v>
      </c>
      <c r="G32" s="224">
        <f>+'Chart II'!$F$38</f>
        <v>9</v>
      </c>
      <c r="H32" s="224">
        <f>+'Chart II'!$F$39</f>
        <v>9.5</v>
      </c>
      <c r="I32" s="224">
        <f>+'Chart II'!$F$40</f>
        <v>10</v>
      </c>
      <c r="J32" s="224">
        <f>+'Chart II'!$F$41</f>
        <v>10</v>
      </c>
      <c r="K32" s="224">
        <f>+'Chart II'!$F$42</f>
        <v>10.5</v>
      </c>
      <c r="L32" s="224">
        <f>+'Chart II'!$F$43</f>
        <v>11</v>
      </c>
      <c r="M32" s="223">
        <f>+'Chart II'!$F$44</f>
        <v>11</v>
      </c>
      <c r="N32" s="224">
        <f>+'Chart II'!$F$45</f>
        <v>12</v>
      </c>
      <c r="O32" s="224">
        <f>+'Chart II'!$F$46</f>
        <v>12</v>
      </c>
      <c r="P32" s="224">
        <f>+'Chart II'!$F$47</f>
        <v>12</v>
      </c>
      <c r="Q32" s="224">
        <f>+'Chart II'!$F$48</f>
        <v>12</v>
      </c>
      <c r="R32" s="240">
        <f>+'Chart II'!$F$49</f>
        <v>12</v>
      </c>
    </row>
    <row r="33" spans="1:18" x14ac:dyDescent="0.3">
      <c r="A33" s="297" t="s">
        <v>48</v>
      </c>
      <c r="B33" s="224">
        <f>+'Chart II'!$F58</f>
        <v>96172091</v>
      </c>
      <c r="C33" s="224">
        <f>+'Chart II'!$F59</f>
        <v>65676068</v>
      </c>
      <c r="D33" s="224">
        <f>+'Chart II'!$F60</f>
        <v>67016961</v>
      </c>
      <c r="E33" s="224">
        <f>+'Chart II'!$F61</f>
        <v>80518764</v>
      </c>
      <c r="F33" s="224">
        <f>+'Chart II'!$F62</f>
        <v>103869997</v>
      </c>
      <c r="G33" s="224">
        <f>+'Chart II'!$F63</f>
        <v>102433272</v>
      </c>
      <c r="H33" s="224">
        <f>+'Chart II'!$F64</f>
        <v>87237589</v>
      </c>
      <c r="I33" s="224">
        <f>+'Chart II'!$F65</f>
        <v>80783141</v>
      </c>
      <c r="J33" s="224">
        <f>+'Chart II'!$F66</f>
        <v>79908016</v>
      </c>
      <c r="K33" s="224">
        <f>+'Chart II'!$F67</f>
        <v>76828137</v>
      </c>
      <c r="L33" s="224">
        <f>+'Chart II'!$F68</f>
        <v>79176233</v>
      </c>
      <c r="M33" s="223">
        <f>+'Chart II'!$F69</f>
        <v>81400346</v>
      </c>
      <c r="N33" s="224">
        <f ca="1">+'Chart II'!$F70</f>
        <v>88420452.222880453</v>
      </c>
      <c r="O33" s="224">
        <f ca="1">+'Chart II'!$F71</f>
        <v>88120101.619900286</v>
      </c>
      <c r="P33" s="224">
        <f ca="1">+'Chart II'!$F72</f>
        <v>87493646.788693547</v>
      </c>
      <c r="Q33" s="224">
        <f ca="1">+'Chart II'!$F73</f>
        <v>86629348.525226727</v>
      </c>
      <c r="R33" s="240">
        <f ca="1">+'Chart II'!$F74</f>
        <v>85803231.019400969</v>
      </c>
    </row>
    <row r="34" spans="1:18" x14ac:dyDescent="0.3">
      <c r="A34" s="297" t="s">
        <v>49</v>
      </c>
      <c r="B34" s="224">
        <f>+'Chart II'!$D125</f>
        <v>197712.36</v>
      </c>
      <c r="C34" s="224">
        <f>+'Chart II'!$D126</f>
        <v>135213.89000000001</v>
      </c>
      <c r="D34" s="224">
        <f>+'Chart II'!$D127</f>
        <v>142187.47</v>
      </c>
      <c r="E34" s="224">
        <f>+'Chart II'!$D128</f>
        <v>178422</v>
      </c>
      <c r="F34" s="224">
        <f>+'Chart II'!$D129</f>
        <v>214029</v>
      </c>
      <c r="G34" s="224">
        <f>+'Chart II'!$D130</f>
        <v>204487</v>
      </c>
      <c r="H34" s="224">
        <f>+'Chart II'!$D131</f>
        <v>190299</v>
      </c>
      <c r="I34" s="226">
        <f>+'Chart II'!$D132</f>
        <v>195141</v>
      </c>
      <c r="J34" s="226">
        <f>+'Chart II'!$D133</f>
        <v>192700</v>
      </c>
      <c r="K34" s="226">
        <f>+'Chart II'!$D134</f>
        <v>182189</v>
      </c>
      <c r="L34" s="226">
        <f>+'Chart II'!$D135</f>
        <v>184241</v>
      </c>
      <c r="M34" s="225">
        <f>+'Chart II'!D136</f>
        <v>186714</v>
      </c>
      <c r="N34" s="226">
        <f ca="1">+'Chart II'!$D172</f>
        <v>195333.21024632914</v>
      </c>
      <c r="O34" s="226">
        <f ca="1">+'Chart II'!$D173</f>
        <v>194669.69353718983</v>
      </c>
      <c r="P34" s="226">
        <f ca="1">+'Chart II'!$D174</f>
        <v>193285.76673996553</v>
      </c>
      <c r="Q34" s="226">
        <f ca="1">+'Chart II'!$D175</f>
        <v>191376.4103617857</v>
      </c>
      <c r="R34" s="242">
        <f ca="1">+'Chart II'!$D176</f>
        <v>189551.40064517764</v>
      </c>
    </row>
    <row r="35" spans="1:18" x14ac:dyDescent="0.3">
      <c r="A35" s="297"/>
      <c r="B35" s="224"/>
      <c r="C35" s="224"/>
      <c r="D35" s="224"/>
      <c r="E35" s="224"/>
      <c r="F35" s="224"/>
      <c r="G35" s="224"/>
      <c r="H35" s="224"/>
      <c r="I35" s="220"/>
      <c r="J35" s="220"/>
      <c r="K35" s="220"/>
      <c r="L35" s="220"/>
      <c r="M35" s="219"/>
      <c r="N35" s="220"/>
      <c r="O35" s="220"/>
      <c r="P35" s="220"/>
      <c r="Q35" s="220"/>
      <c r="R35" s="235"/>
    </row>
    <row r="36" spans="1:18" x14ac:dyDescent="0.3">
      <c r="A36" s="296" t="str">
        <f>'Rate Class Energy Model'!M2</f>
        <v>Streetlights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1"/>
      <c r="N36" s="222"/>
      <c r="O36" s="222"/>
      <c r="P36" s="222"/>
      <c r="Q36" s="222"/>
      <c r="R36" s="237"/>
    </row>
    <row r="37" spans="1:18" x14ac:dyDescent="0.3">
      <c r="A37" s="297" t="s">
        <v>63</v>
      </c>
      <c r="B37" s="224">
        <f>+'Chart II'!$G$33</f>
        <v>10059</v>
      </c>
      <c r="C37" s="224">
        <f>+'Chart II'!$G$34</f>
        <v>10262</v>
      </c>
      <c r="D37" s="224">
        <f>+'Chart II'!$G$35</f>
        <v>10498.5</v>
      </c>
      <c r="E37" s="224">
        <f>+'Chart II'!$G$36</f>
        <v>10831</v>
      </c>
      <c r="F37" s="224">
        <f>+'Chart II'!$G$37</f>
        <v>11280.5</v>
      </c>
      <c r="G37" s="224">
        <f>+'Chart II'!$G$38</f>
        <v>11621.5</v>
      </c>
      <c r="H37" s="224">
        <f>+'Chart II'!$G$39</f>
        <v>11801</v>
      </c>
      <c r="I37" s="224">
        <f>+'Chart II'!$G$40</f>
        <v>11995.5</v>
      </c>
      <c r="J37" s="224">
        <f>+'Chart II'!$G$41</f>
        <v>12127.5</v>
      </c>
      <c r="K37" s="224">
        <f>+'Chart II'!$G$42</f>
        <v>12213</v>
      </c>
      <c r="L37" s="224">
        <f>+'Chart II'!$G$43</f>
        <v>12332.5</v>
      </c>
      <c r="M37" s="223">
        <f>+'Chart II'!$G$44</f>
        <v>12464.5</v>
      </c>
      <c r="N37" s="224">
        <f>+'Chart II'!$G$45</f>
        <v>12709.846964330369</v>
      </c>
      <c r="O37" s="224">
        <f>+'Chart II'!$G$46</f>
        <v>12960.023254578835</v>
      </c>
      <c r="P37" s="224">
        <f>+'Chart II'!$G$47</f>
        <v>13215.123929548703</v>
      </c>
      <c r="Q37" s="224">
        <f>+'Chart II'!$G$48</f>
        <v>13466.045919148317</v>
      </c>
      <c r="R37" s="240">
        <f>+'Chart II'!$G$49</f>
        <v>13721.988061221264</v>
      </c>
    </row>
    <row r="38" spans="1:18" x14ac:dyDescent="0.3">
      <c r="A38" s="297" t="s">
        <v>48</v>
      </c>
      <c r="B38" s="224">
        <f>+'Chart II'!$G58</f>
        <v>8359780.5</v>
      </c>
      <c r="C38" s="224">
        <f>+'Chart II'!$G59</f>
        <v>8743099.0634733941</v>
      </c>
      <c r="D38" s="224">
        <f>+'Chart II'!$G60</f>
        <v>9182978</v>
      </c>
      <c r="E38" s="224">
        <f>+'Chart II'!$G61</f>
        <v>9398525</v>
      </c>
      <c r="F38" s="224">
        <f>+'Chart II'!$G62</f>
        <v>9704521</v>
      </c>
      <c r="G38" s="224">
        <f>+'Chart II'!$G63</f>
        <v>9725840</v>
      </c>
      <c r="H38" s="224">
        <f>+'Chart II'!$G64</f>
        <v>10202758</v>
      </c>
      <c r="I38" s="224">
        <f>+'Chart II'!$G65</f>
        <v>10427904</v>
      </c>
      <c r="J38" s="224">
        <f>+'Chart II'!$G66</f>
        <v>10253017</v>
      </c>
      <c r="K38" s="224">
        <f>+'Chart II'!$G67</f>
        <v>10139708</v>
      </c>
      <c r="L38" s="224">
        <f>+'Chart II'!$G68</f>
        <v>9082284</v>
      </c>
      <c r="M38" s="223">
        <f>+'Chart II'!$G69</f>
        <v>9155875</v>
      </c>
      <c r="N38" s="224">
        <f>+'Chart II'!$G70</f>
        <v>8578851.707184026</v>
      </c>
      <c r="O38" s="224">
        <f>+'Chart II'!$G71</f>
        <v>5237833.7421617098</v>
      </c>
      <c r="P38" s="224">
        <f>+'Chart II'!$G72</f>
        <v>4853625.207928787</v>
      </c>
      <c r="Q38" s="224">
        <f>+'Chart II'!$G73</f>
        <v>4945783.3519187327</v>
      </c>
      <c r="R38" s="240">
        <f>+'Chart II'!$G74</f>
        <v>5039785.2878187746</v>
      </c>
    </row>
    <row r="39" spans="1:18" x14ac:dyDescent="0.3">
      <c r="A39" s="297" t="s">
        <v>49</v>
      </c>
      <c r="B39" s="224">
        <f>+'Chart II'!$E125</f>
        <v>23226.94</v>
      </c>
      <c r="C39" s="224">
        <f>+'Chart II'!$E126</f>
        <v>23584.5</v>
      </c>
      <c r="D39" s="224">
        <f>+'Chart II'!$E127</f>
        <v>24114.33</v>
      </c>
      <c r="E39" s="224">
        <f>+'Chart II'!$E128</f>
        <v>24802</v>
      </c>
      <c r="F39" s="224">
        <f>+'Chart II'!$E129</f>
        <v>25740</v>
      </c>
      <c r="G39" s="224">
        <f>+'Chart II'!$E130</f>
        <v>26489</v>
      </c>
      <c r="H39" s="224">
        <f>+'Chart II'!$E131</f>
        <v>27041</v>
      </c>
      <c r="I39" s="226">
        <f>+'Chart II'!$E132</f>
        <v>27634</v>
      </c>
      <c r="J39" s="226">
        <f>+'Chart II'!$E133</f>
        <v>27830</v>
      </c>
      <c r="K39" s="226">
        <f>+'Chart II'!$E134</f>
        <v>27720</v>
      </c>
      <c r="L39" s="226">
        <f>+'Chart II'!$E135</f>
        <v>25276</v>
      </c>
      <c r="M39" s="225">
        <f>+'Chart II'!E136</f>
        <v>25520</v>
      </c>
      <c r="N39" s="226">
        <f>+'Chart II'!$E172</f>
        <v>23911.673714127413</v>
      </c>
      <c r="O39" s="226">
        <f>+'Chart II'!$E173</f>
        <v>14599.316515348542</v>
      </c>
      <c r="P39" s="226">
        <f>+'Chart II'!$E174</f>
        <v>13528.419217862043</v>
      </c>
      <c r="Q39" s="226">
        <f>+'Chart II'!$E175</f>
        <v>13785.289897575716</v>
      </c>
      <c r="R39" s="242">
        <f>+'Chart II'!$E176</f>
        <v>14047.299744168102</v>
      </c>
    </row>
    <row r="40" spans="1:18" x14ac:dyDescent="0.3">
      <c r="A40" s="297"/>
      <c r="B40" s="224"/>
      <c r="C40" s="224"/>
      <c r="D40" s="224"/>
      <c r="E40" s="224"/>
      <c r="F40" s="224"/>
      <c r="G40" s="224"/>
      <c r="H40" s="224"/>
      <c r="I40" s="226"/>
      <c r="J40" s="226"/>
      <c r="K40" s="226"/>
      <c r="L40" s="226"/>
      <c r="M40" s="225"/>
      <c r="N40" s="226"/>
      <c r="O40" s="226"/>
      <c r="P40" s="226"/>
      <c r="Q40" s="226"/>
      <c r="R40" s="242"/>
    </row>
    <row r="41" spans="1:18" x14ac:dyDescent="0.3">
      <c r="A41" s="296" t="str">
        <f>'Rate Class Energy Model'!N2</f>
        <v>Sentinels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1"/>
      <c r="N41" s="222"/>
      <c r="O41" s="222"/>
      <c r="P41" s="222"/>
      <c r="Q41" s="222"/>
      <c r="R41" s="237"/>
    </row>
    <row r="42" spans="1:18" x14ac:dyDescent="0.3">
      <c r="A42" s="297" t="s">
        <v>63</v>
      </c>
      <c r="B42" s="224">
        <f>+'Chart II'!$H$33</f>
        <v>34.5</v>
      </c>
      <c r="C42" s="224">
        <f>+'Chart II'!$H$34</f>
        <v>30</v>
      </c>
      <c r="D42" s="224">
        <f>+'Chart II'!$H$35</f>
        <v>29.5</v>
      </c>
      <c r="E42" s="224">
        <f>+'Chart II'!$H$36</f>
        <v>28.5</v>
      </c>
      <c r="F42" s="224">
        <f>+'Chart II'!$H$37</f>
        <v>26.5</v>
      </c>
      <c r="G42" s="224">
        <f>+'Chart II'!$H$38</f>
        <v>26</v>
      </c>
      <c r="H42" s="224">
        <f>+'Chart II'!$H$39</f>
        <v>26</v>
      </c>
      <c r="I42" s="224">
        <f>+'Chart II'!$H$40</f>
        <v>25</v>
      </c>
      <c r="J42" s="224">
        <f>+'Chart II'!$H$41</f>
        <v>24</v>
      </c>
      <c r="K42" s="224">
        <f>+'Chart II'!$H$42</f>
        <v>24</v>
      </c>
      <c r="L42" s="224">
        <f>+'Chart II'!$H$43</f>
        <v>24</v>
      </c>
      <c r="M42" s="223">
        <f>+'Chart II'!$H$44</f>
        <v>24</v>
      </c>
      <c r="N42" s="224">
        <f>+'Chart II'!$H$45</f>
        <v>23.221124933174856</v>
      </c>
      <c r="O42" s="224">
        <f>+'Chart II'!$H$46</f>
        <v>22.46752679842146</v>
      </c>
      <c r="P42" s="224">
        <f>+'Chart II'!$H$47</f>
        <v>21.738385280233285</v>
      </c>
      <c r="Q42" s="224">
        <f>+'Chart II'!$H$48</f>
        <v>21.032906684907768</v>
      </c>
      <c r="R42" s="240">
        <f>+'Chart II'!$H$49</f>
        <v>20.350323076585497</v>
      </c>
    </row>
    <row r="43" spans="1:18" x14ac:dyDescent="0.3">
      <c r="A43" s="297" t="s">
        <v>48</v>
      </c>
      <c r="B43" s="224">
        <f>+'Chart II'!$H58</f>
        <v>45541</v>
      </c>
      <c r="C43" s="224">
        <f>+'Chart II'!$H59</f>
        <v>27821</v>
      </c>
      <c r="D43" s="224">
        <f>+'Chart II'!$H60</f>
        <v>43197</v>
      </c>
      <c r="E43" s="224">
        <f>+'Chart II'!$H61</f>
        <v>42595</v>
      </c>
      <c r="F43" s="224">
        <f>+'Chart II'!$H62</f>
        <v>41408</v>
      </c>
      <c r="G43" s="224">
        <f>+'Chart II'!$H63</f>
        <v>39233</v>
      </c>
      <c r="H43" s="224">
        <f>+'Chart II'!$H64</f>
        <v>36792</v>
      </c>
      <c r="I43" s="224">
        <f>+'Chart II'!$H65</f>
        <v>35812</v>
      </c>
      <c r="J43" s="224">
        <f>+'Chart II'!$H66</f>
        <v>35812</v>
      </c>
      <c r="K43" s="224">
        <f>+'Chart II'!$H67</f>
        <v>35812</v>
      </c>
      <c r="L43" s="224">
        <f>+'Chart II'!$H68</f>
        <v>35812</v>
      </c>
      <c r="M43" s="223">
        <f>+'Chart II'!$H69</f>
        <v>35812</v>
      </c>
      <c r="N43" s="224">
        <f ca="1">+'Chart II'!$H70</f>
        <v>34297.182591568067</v>
      </c>
      <c r="O43" s="224">
        <f ca="1">+'Chart II'!$H71</f>
        <v>32909.529916775595</v>
      </c>
      <c r="P43" s="224">
        <f ca="1">+'Chart II'!$H72</f>
        <v>31630.444959402575</v>
      </c>
      <c r="Q43" s="224">
        <f ca="1">+'Chart II'!$H73</f>
        <v>30311.964036453326</v>
      </c>
      <c r="R43" s="240">
        <f ca="1">+'Chart II'!$H74</f>
        <v>28944.061722496452</v>
      </c>
    </row>
    <row r="44" spans="1:18" x14ac:dyDescent="0.3">
      <c r="A44" s="297" t="s">
        <v>49</v>
      </c>
      <c r="B44" s="224">
        <f>+'Chart II'!$F125</f>
        <v>126.50277777777779</v>
      </c>
      <c r="C44" s="224">
        <f>+'Chart II'!$F126</f>
        <v>123.24722222222222</v>
      </c>
      <c r="D44" s="224">
        <f>+'Chart II'!$F127</f>
        <v>119.99166666666666</v>
      </c>
      <c r="E44" s="224">
        <f>+'Chart II'!$F128</f>
        <v>118.31944444444447</v>
      </c>
      <c r="F44" s="224">
        <f>+'Chart II'!$F129</f>
        <v>115.0222222222222</v>
      </c>
      <c r="G44" s="224">
        <f>+'Chart II'!$F130</f>
        <v>108.9805555555556</v>
      </c>
      <c r="H44" s="224">
        <f>+'Chart II'!$F131</f>
        <v>102.2</v>
      </c>
      <c r="I44" s="226">
        <f>+'Chart II'!$F132</f>
        <v>99.477777777777803</v>
      </c>
      <c r="J44" s="226">
        <f>+'Chart II'!$F133</f>
        <v>100</v>
      </c>
      <c r="K44" s="226">
        <f>+'Chart II'!$F134</f>
        <v>100</v>
      </c>
      <c r="L44" s="226">
        <f>+'Chart II'!$F135</f>
        <v>100</v>
      </c>
      <c r="M44" s="225">
        <f>+'Chart II'!F136</f>
        <v>100</v>
      </c>
      <c r="N44" s="226">
        <f ca="1">+'Chart II'!$F172</f>
        <v>100.15889621450508</v>
      </c>
      <c r="O44" s="226">
        <f ca="1">+'Chart II'!$F173</f>
        <v>96.106500369299738</v>
      </c>
      <c r="P44" s="226">
        <f ca="1">+'Chart II'!$F174</f>
        <v>92.371157468960305</v>
      </c>
      <c r="Q44" s="226">
        <f ca="1">+'Chart II'!$F175</f>
        <v>88.520765572485843</v>
      </c>
      <c r="R44" s="242">
        <f ca="1">+'Chart II'!$F176</f>
        <v>84.526047186233583</v>
      </c>
    </row>
    <row r="45" spans="1:18" x14ac:dyDescent="0.3">
      <c r="A45" s="297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1"/>
      <c r="N45" s="222"/>
      <c r="O45" s="222"/>
      <c r="P45" s="222"/>
      <c r="Q45" s="222"/>
      <c r="R45" s="237"/>
    </row>
    <row r="46" spans="1:18" x14ac:dyDescent="0.3">
      <c r="A46" s="296" t="str">
        <f>'Rate Class Energy Model'!O2</f>
        <v>USL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1"/>
      <c r="N46" s="222"/>
      <c r="O46" s="222"/>
      <c r="P46" s="222"/>
      <c r="Q46" s="222"/>
      <c r="R46" s="237"/>
    </row>
    <row r="47" spans="1:18" x14ac:dyDescent="0.3">
      <c r="A47" s="297" t="s">
        <v>63</v>
      </c>
      <c r="B47" s="224">
        <f>+'Chart II'!$I$33</f>
        <v>292</v>
      </c>
      <c r="C47" s="224">
        <f>+'Chart II'!$I$34</f>
        <v>294</v>
      </c>
      <c r="D47" s="224">
        <f>+'Chart II'!$I$35</f>
        <v>295</v>
      </c>
      <c r="E47" s="224">
        <f>+'Chart II'!$I$36</f>
        <v>298</v>
      </c>
      <c r="F47" s="224">
        <f>+'Chart II'!$I$37</f>
        <v>301</v>
      </c>
      <c r="G47" s="224">
        <f>+'Chart II'!$I$38</f>
        <v>301</v>
      </c>
      <c r="H47" s="224">
        <f>+'Chart II'!$I$39</f>
        <v>302.5</v>
      </c>
      <c r="I47" s="224">
        <f>+'Chart II'!$I$40</f>
        <v>306.5</v>
      </c>
      <c r="J47" s="224">
        <f>+'Chart II'!$I$41</f>
        <v>302.5</v>
      </c>
      <c r="K47" s="224">
        <f>+'Chart II'!$I$42</f>
        <v>295.5</v>
      </c>
      <c r="L47" s="224">
        <f>+'Chart II'!$I$43</f>
        <v>295</v>
      </c>
      <c r="M47" s="223">
        <f>+'Chart II'!$I$44</f>
        <v>295.5</v>
      </c>
      <c r="N47" s="224">
        <f>+'Chart II'!$I$45</f>
        <v>295.82025457231583</v>
      </c>
      <c r="O47" s="224">
        <f>+'Chart II'!$I$46</f>
        <v>296.14085622751179</v>
      </c>
      <c r="P47" s="224">
        <f>+'Chart II'!$I$47</f>
        <v>296.46180534174658</v>
      </c>
      <c r="Q47" s="224">
        <f>+'Chart II'!$I$48</f>
        <v>296.78310229158649</v>
      </c>
      <c r="R47" s="240">
        <f>+'Chart II'!$I$49</f>
        <v>297.10474745400597</v>
      </c>
    </row>
    <row r="48" spans="1:18" x14ac:dyDescent="0.3">
      <c r="A48" s="297" t="s">
        <v>48</v>
      </c>
      <c r="B48" s="224">
        <f>+'Chart II'!$I58</f>
        <v>2920000</v>
      </c>
      <c r="C48" s="224">
        <f>+'Chart II'!$I59</f>
        <v>2940000</v>
      </c>
      <c r="D48" s="224">
        <f>+'Chart II'!$I60</f>
        <v>2950000</v>
      </c>
      <c r="E48" s="224">
        <f>+'Chart II'!$I61</f>
        <v>3705188</v>
      </c>
      <c r="F48" s="224">
        <f>+'Chart II'!$I62</f>
        <v>3818865</v>
      </c>
      <c r="G48" s="224">
        <f>+'Chart II'!$I63</f>
        <v>3372873</v>
      </c>
      <c r="H48" s="224">
        <f>+'Chart II'!$I64</f>
        <v>2825455</v>
      </c>
      <c r="I48" s="224">
        <f>+'Chart II'!$I65</f>
        <v>2831501</v>
      </c>
      <c r="J48" s="224">
        <f>+'Chart II'!$I66</f>
        <v>2769028</v>
      </c>
      <c r="K48" s="224">
        <f>+'Chart II'!$I67</f>
        <v>2745701</v>
      </c>
      <c r="L48" s="224">
        <f>+'Chart II'!$I68</f>
        <v>2752416</v>
      </c>
      <c r="M48" s="223">
        <f>+'Chart II'!$I69</f>
        <v>2711219</v>
      </c>
      <c r="N48" s="224">
        <f ca="1">+'Chart II'!$I70</f>
        <v>2686537.3140891874</v>
      </c>
      <c r="O48" s="224">
        <f ca="1">+'Chart II'!$I71</f>
        <v>2667193.4637021297</v>
      </c>
      <c r="P48" s="224">
        <f ca="1">+'Chart II'!$I72</f>
        <v>2652384.9112346303</v>
      </c>
      <c r="Q48" s="224">
        <f ca="1">+'Chart II'!$I73</f>
        <v>2629927.232790201</v>
      </c>
      <c r="R48" s="240">
        <f ca="1">+'Chart II'!$I74</f>
        <v>2598289.5028448366</v>
      </c>
    </row>
    <row r="49" spans="1:18" x14ac:dyDescent="0.3">
      <c r="A49" s="297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1"/>
      <c r="N49" s="222"/>
      <c r="O49" s="222"/>
      <c r="P49" s="222"/>
      <c r="Q49" s="222"/>
      <c r="R49" s="237"/>
    </row>
    <row r="50" spans="1:18" x14ac:dyDescent="0.3">
      <c r="A50" s="296" t="s">
        <v>64</v>
      </c>
      <c r="B50" s="224"/>
      <c r="C50" s="224"/>
      <c r="D50" s="224"/>
      <c r="E50" s="224"/>
      <c r="F50" s="222"/>
      <c r="G50" s="224"/>
      <c r="H50" s="224"/>
      <c r="I50" s="224"/>
      <c r="J50" s="224"/>
      <c r="K50" s="224"/>
      <c r="L50" s="224"/>
      <c r="M50" s="223"/>
      <c r="N50" s="224"/>
      <c r="O50" s="224"/>
      <c r="P50" s="224"/>
      <c r="Q50" s="224"/>
      <c r="R50" s="240"/>
    </row>
    <row r="51" spans="1:18" x14ac:dyDescent="0.3">
      <c r="A51" s="297" t="s">
        <v>51</v>
      </c>
      <c r="B51" s="224">
        <f>B14+B18+B22+B27+B32+B37+B47+B42</f>
        <v>57960.5</v>
      </c>
      <c r="C51" s="224">
        <f t="shared" ref="C51:Q51" si="1">C14+C18+C22+C27+C32+C37+C47+C42</f>
        <v>58730.5</v>
      </c>
      <c r="D51" s="224">
        <f t="shared" si="1"/>
        <v>59614.5</v>
      </c>
      <c r="E51" s="224">
        <f t="shared" si="1"/>
        <v>60872.5</v>
      </c>
      <c r="F51" s="224">
        <f t="shared" si="1"/>
        <v>62211</v>
      </c>
      <c r="G51" s="224">
        <f t="shared" si="1"/>
        <v>63344.5</v>
      </c>
      <c r="H51" s="224">
        <f t="shared" si="1"/>
        <v>64128</v>
      </c>
      <c r="I51" s="224">
        <f t="shared" si="1"/>
        <v>64894</v>
      </c>
      <c r="J51" s="224">
        <f t="shared" si="1"/>
        <v>65524.5</v>
      </c>
      <c r="K51" s="224">
        <f t="shared" si="1"/>
        <v>65927</v>
      </c>
      <c r="L51" s="224">
        <f t="shared" si="1"/>
        <v>66584</v>
      </c>
      <c r="M51" s="223">
        <f t="shared" si="1"/>
        <v>67453.5</v>
      </c>
      <c r="N51" s="224">
        <f t="shared" si="1"/>
        <v>68528.684052257042</v>
      </c>
      <c r="O51" s="224">
        <f t="shared" si="1"/>
        <v>69610.723355824943</v>
      </c>
      <c r="P51" s="224">
        <f t="shared" si="1"/>
        <v>70710.136538212828</v>
      </c>
      <c r="Q51" s="224">
        <f t="shared" si="1"/>
        <v>72046.845796300433</v>
      </c>
      <c r="R51" s="240">
        <f>R14+R18+R22+R27+R32+R37+R47+R42</f>
        <v>73409.476954820086</v>
      </c>
    </row>
    <row r="52" spans="1:18" x14ac:dyDescent="0.3">
      <c r="A52" s="297" t="s">
        <v>48</v>
      </c>
      <c r="B52" s="224">
        <f>B15+B19+B23+B28+B33+B38+B48+B43</f>
        <v>1136840307.5</v>
      </c>
      <c r="C52" s="224">
        <f t="shared" ref="C52:R52" si="2">C15+C19+C23+C28+C33+C38+C48+C43</f>
        <v>1128300513.0634735</v>
      </c>
      <c r="D52" s="224">
        <f t="shared" si="2"/>
        <v>1125931170</v>
      </c>
      <c r="E52" s="224">
        <f t="shared" si="2"/>
        <v>1110963247</v>
      </c>
      <c r="F52" s="224">
        <f t="shared" si="2"/>
        <v>1143760516</v>
      </c>
      <c r="G52" s="224">
        <f t="shared" si="2"/>
        <v>1117251257</v>
      </c>
      <c r="H52" s="224">
        <f t="shared" si="2"/>
        <v>1082664508</v>
      </c>
      <c r="I52" s="224">
        <f t="shared" si="2"/>
        <v>1090938483</v>
      </c>
      <c r="J52" s="224">
        <f t="shared" si="2"/>
        <v>1110518847</v>
      </c>
      <c r="K52" s="224">
        <f t="shared" si="2"/>
        <v>1073783871</v>
      </c>
      <c r="L52" s="224">
        <f t="shared" si="2"/>
        <v>1078161209</v>
      </c>
      <c r="M52" s="223">
        <f t="shared" si="2"/>
        <v>1091642390</v>
      </c>
      <c r="N52" s="224">
        <f t="shared" ca="1" si="2"/>
        <v>1102042241.3540516</v>
      </c>
      <c r="O52" s="224">
        <f t="shared" ca="1" si="2"/>
        <v>1105604445.0975072</v>
      </c>
      <c r="P52" s="224">
        <f t="shared" ca="1" si="2"/>
        <v>1107833050.7016122</v>
      </c>
      <c r="Q52" s="224">
        <f t="shared" ca="1" si="2"/>
        <v>1111201027.7711666</v>
      </c>
      <c r="R52" s="240">
        <f t="shared" ca="1" si="2"/>
        <v>1115391817.0133681</v>
      </c>
    </row>
    <row r="53" spans="1:18" x14ac:dyDescent="0.3">
      <c r="A53" s="297" t="s">
        <v>50</v>
      </c>
      <c r="B53" s="224">
        <f t="shared" ref="B53:R53" si="3">B24+B29+B34+B39+B44</f>
        <v>1376310.4427777778</v>
      </c>
      <c r="C53" s="224">
        <f t="shared" si="3"/>
        <v>1359503.3072222222</v>
      </c>
      <c r="D53" s="224">
        <f t="shared" si="3"/>
        <v>1235025.9316666666</v>
      </c>
      <c r="E53" s="224">
        <f t="shared" si="3"/>
        <v>1231537.3194444445</v>
      </c>
      <c r="F53" s="224">
        <f t="shared" si="3"/>
        <v>1262855.0222222223</v>
      </c>
      <c r="G53" s="224">
        <f t="shared" si="3"/>
        <v>1231679.9805555556</v>
      </c>
      <c r="H53" s="224">
        <f t="shared" si="3"/>
        <v>1167952.2</v>
      </c>
      <c r="I53" s="224">
        <f t="shared" si="3"/>
        <v>1165174.4777777777</v>
      </c>
      <c r="J53" s="224">
        <f t="shared" si="3"/>
        <v>1171404</v>
      </c>
      <c r="K53" s="224">
        <f t="shared" si="3"/>
        <v>1146022</v>
      </c>
      <c r="L53" s="224">
        <f t="shared" si="3"/>
        <v>1145530</v>
      </c>
      <c r="M53" s="223">
        <f t="shared" si="3"/>
        <v>1137326</v>
      </c>
      <c r="N53" s="224">
        <f t="shared" ca="1" si="3"/>
        <v>1167749.3739043719</v>
      </c>
      <c r="O53" s="224">
        <f t="shared" ca="1" si="3"/>
        <v>1166261.4222089821</v>
      </c>
      <c r="P53" s="224">
        <f t="shared" ca="1" si="3"/>
        <v>1169156.6144512808</v>
      </c>
      <c r="Q53" s="224">
        <f t="shared" ca="1" si="3"/>
        <v>1173433.9082862486</v>
      </c>
      <c r="R53" s="240">
        <f t="shared" ca="1" si="3"/>
        <v>1178527.9124127266</v>
      </c>
    </row>
    <row r="54" spans="1:18" x14ac:dyDescent="0.3">
      <c r="A54" s="297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1"/>
      <c r="N54" s="222"/>
      <c r="O54" s="222"/>
      <c r="P54" s="222"/>
      <c r="Q54" s="222"/>
      <c r="R54" s="237"/>
    </row>
    <row r="55" spans="1:18" x14ac:dyDescent="0.3">
      <c r="A55" s="296" t="s">
        <v>65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1"/>
      <c r="N55" s="222"/>
      <c r="O55" s="222"/>
      <c r="P55" s="222"/>
      <c r="Q55" s="222"/>
      <c r="R55" s="237"/>
    </row>
    <row r="56" spans="1:18" x14ac:dyDescent="0.3">
      <c r="A56" s="297" t="s">
        <v>51</v>
      </c>
      <c r="B56" s="224">
        <f>+'Chart II'!$J$33</f>
        <v>57960.5</v>
      </c>
      <c r="C56" s="224">
        <f>+'Chart II'!$J$34</f>
        <v>58730.5</v>
      </c>
      <c r="D56" s="224">
        <f>+'Chart II'!$J$35</f>
        <v>59614.5</v>
      </c>
      <c r="E56" s="224">
        <f>+'Chart II'!$J$36</f>
        <v>60872.5</v>
      </c>
      <c r="F56" s="224">
        <f>+'Chart II'!$J$37</f>
        <v>62211</v>
      </c>
      <c r="G56" s="224">
        <f>+'Chart II'!$J$38</f>
        <v>63344.5</v>
      </c>
      <c r="H56" s="224">
        <f>+'Chart II'!$J$39</f>
        <v>64128</v>
      </c>
      <c r="I56" s="224">
        <f>+'Chart II'!$J$40</f>
        <v>64894</v>
      </c>
      <c r="J56" s="224">
        <f>+'Chart II'!$J$41</f>
        <v>65524.5</v>
      </c>
      <c r="K56" s="224">
        <f>+'Chart II'!$J$42</f>
        <v>65927</v>
      </c>
      <c r="L56" s="224">
        <f>+'Chart II'!$J$43</f>
        <v>66584</v>
      </c>
      <c r="M56" s="223">
        <f>+'Chart II'!$J$44</f>
        <v>67453.5</v>
      </c>
      <c r="N56" s="224">
        <f>+'Chart II'!$J$45</f>
        <v>68528.684052257042</v>
      </c>
      <c r="O56" s="224">
        <f>+'Chart II'!$J$46</f>
        <v>69610.723355824943</v>
      </c>
      <c r="P56" s="224">
        <f>+'Chart II'!$J$47</f>
        <v>70710.136538212828</v>
      </c>
      <c r="Q56" s="224">
        <f>+'Chart II'!$J$48</f>
        <v>72046.845796300433</v>
      </c>
      <c r="R56" s="240">
        <f>+'Chart II'!$J$49</f>
        <v>73409.476954820086</v>
      </c>
    </row>
    <row r="57" spans="1:18" x14ac:dyDescent="0.3">
      <c r="A57" s="297" t="s">
        <v>48</v>
      </c>
      <c r="B57" s="224">
        <f>+B9</f>
        <v>1136840307.5</v>
      </c>
      <c r="C57" s="224">
        <f t="shared" ref="C57:R57" si="4">+C9</f>
        <v>1128300513.0634735</v>
      </c>
      <c r="D57" s="224">
        <f t="shared" si="4"/>
        <v>1125931170</v>
      </c>
      <c r="E57" s="224">
        <f t="shared" si="4"/>
        <v>1110963247</v>
      </c>
      <c r="F57" s="224">
        <f t="shared" si="4"/>
        <v>1143760516</v>
      </c>
      <c r="G57" s="224">
        <f t="shared" si="4"/>
        <v>1117251257</v>
      </c>
      <c r="H57" s="224">
        <f t="shared" si="4"/>
        <v>1082664508</v>
      </c>
      <c r="I57" s="224">
        <f t="shared" si="4"/>
        <v>1090938483</v>
      </c>
      <c r="J57" s="224">
        <f t="shared" si="4"/>
        <v>1110518847</v>
      </c>
      <c r="K57" s="224">
        <f t="shared" si="4"/>
        <v>1073783871</v>
      </c>
      <c r="L57" s="224">
        <f t="shared" si="4"/>
        <v>1078161209</v>
      </c>
      <c r="M57" s="223">
        <f t="shared" si="4"/>
        <v>1091642390</v>
      </c>
      <c r="N57" s="224">
        <f t="shared" ca="1" si="4"/>
        <v>1102042241.3540516</v>
      </c>
      <c r="O57" s="224">
        <f t="shared" ca="1" si="4"/>
        <v>1105604445.0975072</v>
      </c>
      <c r="P57" s="224">
        <f t="shared" ca="1" si="4"/>
        <v>1107833050.7016122</v>
      </c>
      <c r="Q57" s="224">
        <f t="shared" ca="1" si="4"/>
        <v>1111201027.7711666</v>
      </c>
      <c r="R57" s="240">
        <f t="shared" ca="1" si="4"/>
        <v>1115391817.0133681</v>
      </c>
    </row>
    <row r="58" spans="1:18" x14ac:dyDescent="0.3">
      <c r="A58" s="297" t="s">
        <v>50</v>
      </c>
      <c r="B58" s="224">
        <f>+B10</f>
        <v>1376310.4427777778</v>
      </c>
      <c r="C58" s="224">
        <f t="shared" ref="C58:R58" si="5">+C10</f>
        <v>1359503.3072222222</v>
      </c>
      <c r="D58" s="224">
        <f t="shared" si="5"/>
        <v>1235025.9316666666</v>
      </c>
      <c r="E58" s="224">
        <f t="shared" si="5"/>
        <v>1231537.3194444445</v>
      </c>
      <c r="F58" s="224">
        <f t="shared" si="5"/>
        <v>1262855.0222222223</v>
      </c>
      <c r="G58" s="224">
        <f t="shared" si="5"/>
        <v>1231679.9805555556</v>
      </c>
      <c r="H58" s="224">
        <f t="shared" si="5"/>
        <v>1167952.2</v>
      </c>
      <c r="I58" s="226">
        <f t="shared" si="5"/>
        <v>1165174.4777777777</v>
      </c>
      <c r="J58" s="226">
        <f t="shared" si="5"/>
        <v>1171404</v>
      </c>
      <c r="K58" s="226">
        <f t="shared" si="5"/>
        <v>1146022</v>
      </c>
      <c r="L58" s="226">
        <f t="shared" si="5"/>
        <v>1145530</v>
      </c>
      <c r="M58" s="225">
        <f t="shared" si="5"/>
        <v>1137326</v>
      </c>
      <c r="N58" s="226">
        <f t="shared" ca="1" si="5"/>
        <v>1167749.3739043719</v>
      </c>
      <c r="O58" s="226">
        <f t="shared" ca="1" si="5"/>
        <v>1166261.4222089821</v>
      </c>
      <c r="P58" s="226">
        <f t="shared" ca="1" si="5"/>
        <v>1169156.6144512808</v>
      </c>
      <c r="Q58" s="226">
        <f t="shared" ca="1" si="5"/>
        <v>1173433.9082862486</v>
      </c>
      <c r="R58" s="242">
        <f t="shared" ca="1" si="5"/>
        <v>1178527.9124127266</v>
      </c>
    </row>
    <row r="59" spans="1:18" x14ac:dyDescent="0.3">
      <c r="A59" s="297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1"/>
      <c r="N59" s="222"/>
      <c r="O59" s="222"/>
      <c r="P59" s="222"/>
      <c r="Q59" s="222"/>
      <c r="R59" s="237"/>
    </row>
    <row r="60" spans="1:18" x14ac:dyDescent="0.3">
      <c r="A60" s="296" t="s">
        <v>66</v>
      </c>
      <c r="B60" s="224"/>
      <c r="C60" s="224"/>
      <c r="D60" s="224"/>
      <c r="E60" s="224"/>
      <c r="F60" s="224"/>
      <c r="G60" s="224"/>
      <c r="H60" s="224"/>
      <c r="I60" s="222"/>
      <c r="J60" s="222"/>
      <c r="K60" s="222"/>
      <c r="L60" s="222"/>
      <c r="M60" s="221"/>
      <c r="N60" s="222"/>
      <c r="O60" s="222"/>
      <c r="P60" s="222"/>
      <c r="Q60" s="222"/>
      <c r="R60" s="237"/>
    </row>
    <row r="61" spans="1:18" x14ac:dyDescent="0.3">
      <c r="A61" s="297" t="s">
        <v>51</v>
      </c>
      <c r="B61" s="224">
        <f>B51-B56</f>
        <v>0</v>
      </c>
      <c r="C61" s="224">
        <f t="shared" ref="C61:R63" si="6">C51-C56</f>
        <v>0</v>
      </c>
      <c r="D61" s="224">
        <f t="shared" si="6"/>
        <v>0</v>
      </c>
      <c r="E61" s="224">
        <f t="shared" si="6"/>
        <v>0</v>
      </c>
      <c r="F61" s="224">
        <f t="shared" si="6"/>
        <v>0</v>
      </c>
      <c r="G61" s="224">
        <f t="shared" si="6"/>
        <v>0</v>
      </c>
      <c r="H61" s="224">
        <f t="shared" si="6"/>
        <v>0</v>
      </c>
      <c r="I61" s="224">
        <f t="shared" si="6"/>
        <v>0</v>
      </c>
      <c r="J61" s="224">
        <f t="shared" si="6"/>
        <v>0</v>
      </c>
      <c r="K61" s="224">
        <f t="shared" si="6"/>
        <v>0</v>
      </c>
      <c r="L61" s="224">
        <f t="shared" si="6"/>
        <v>0</v>
      </c>
      <c r="M61" s="223">
        <f t="shared" si="6"/>
        <v>0</v>
      </c>
      <c r="N61" s="224">
        <f t="shared" si="6"/>
        <v>0</v>
      </c>
      <c r="O61" s="224">
        <f t="shared" si="6"/>
        <v>0</v>
      </c>
      <c r="P61" s="224">
        <f t="shared" si="6"/>
        <v>0</v>
      </c>
      <c r="Q61" s="224">
        <f t="shared" si="6"/>
        <v>0</v>
      </c>
      <c r="R61" s="240">
        <f t="shared" si="6"/>
        <v>0</v>
      </c>
    </row>
    <row r="62" spans="1:18" x14ac:dyDescent="0.3">
      <c r="A62" s="297" t="s">
        <v>48</v>
      </c>
      <c r="B62" s="224">
        <f t="shared" ref="B62:I63" si="7">B52-B57</f>
        <v>0</v>
      </c>
      <c r="C62" s="224">
        <f t="shared" si="7"/>
        <v>0</v>
      </c>
      <c r="D62" s="224">
        <f t="shared" si="7"/>
        <v>0</v>
      </c>
      <c r="E62" s="224">
        <f t="shared" si="7"/>
        <v>0</v>
      </c>
      <c r="F62" s="224">
        <f t="shared" si="7"/>
        <v>0</v>
      </c>
      <c r="G62" s="224">
        <f t="shared" si="7"/>
        <v>0</v>
      </c>
      <c r="H62" s="224">
        <f t="shared" si="7"/>
        <v>0</v>
      </c>
      <c r="I62" s="224">
        <f t="shared" si="7"/>
        <v>0</v>
      </c>
      <c r="J62" s="224">
        <f t="shared" si="6"/>
        <v>0</v>
      </c>
      <c r="K62" s="224">
        <f t="shared" si="6"/>
        <v>0</v>
      </c>
      <c r="L62" s="224">
        <f t="shared" si="6"/>
        <v>0</v>
      </c>
      <c r="M62" s="223">
        <f t="shared" si="6"/>
        <v>0</v>
      </c>
      <c r="N62" s="224">
        <f t="shared" ca="1" si="6"/>
        <v>0</v>
      </c>
      <c r="O62" s="224">
        <f t="shared" ca="1" si="6"/>
        <v>0</v>
      </c>
      <c r="P62" s="224">
        <f t="shared" ca="1" si="6"/>
        <v>0</v>
      </c>
      <c r="Q62" s="224">
        <f t="shared" ca="1" si="6"/>
        <v>0</v>
      </c>
      <c r="R62" s="240">
        <f t="shared" ca="1" si="6"/>
        <v>0</v>
      </c>
    </row>
    <row r="63" spans="1:18" ht="12.9" thickBot="1" x14ac:dyDescent="0.35">
      <c r="A63" s="299" t="s">
        <v>50</v>
      </c>
      <c r="B63" s="245">
        <f t="shared" si="7"/>
        <v>0</v>
      </c>
      <c r="C63" s="245">
        <f t="shared" si="7"/>
        <v>0</v>
      </c>
      <c r="D63" s="245">
        <f t="shared" si="7"/>
        <v>0</v>
      </c>
      <c r="E63" s="245">
        <f t="shared" si="7"/>
        <v>0</v>
      </c>
      <c r="F63" s="245">
        <f t="shared" si="7"/>
        <v>0</v>
      </c>
      <c r="G63" s="245">
        <f t="shared" si="7"/>
        <v>0</v>
      </c>
      <c r="H63" s="245">
        <f t="shared" si="7"/>
        <v>0</v>
      </c>
      <c r="I63" s="245">
        <f t="shared" si="7"/>
        <v>0</v>
      </c>
      <c r="J63" s="245">
        <f t="shared" si="6"/>
        <v>0</v>
      </c>
      <c r="K63" s="245">
        <f t="shared" si="6"/>
        <v>0</v>
      </c>
      <c r="L63" s="245">
        <f t="shared" si="6"/>
        <v>0</v>
      </c>
      <c r="M63" s="246">
        <f t="shared" si="6"/>
        <v>0</v>
      </c>
      <c r="N63" s="245">
        <f t="shared" ca="1" si="6"/>
        <v>0</v>
      </c>
      <c r="O63" s="245">
        <f t="shared" ca="1" si="6"/>
        <v>0</v>
      </c>
      <c r="P63" s="245">
        <f t="shared" ca="1" si="6"/>
        <v>0</v>
      </c>
      <c r="Q63" s="245">
        <f t="shared" ca="1" si="6"/>
        <v>0</v>
      </c>
      <c r="R63" s="247">
        <f t="shared" ca="1" si="6"/>
        <v>0</v>
      </c>
    </row>
    <row r="65" spans="1:17" ht="12.9" thickBot="1" x14ac:dyDescent="0.35"/>
    <row r="66" spans="1:17" x14ac:dyDescent="0.3">
      <c r="A66" s="308"/>
      <c r="B66" s="311" t="s">
        <v>253</v>
      </c>
      <c r="C66" s="311" t="s">
        <v>253</v>
      </c>
      <c r="D66" s="496" t="s">
        <v>206</v>
      </c>
      <c r="E66" s="497"/>
      <c r="F66" s="497"/>
      <c r="G66" s="497"/>
      <c r="H66" s="497"/>
      <c r="I66" s="498"/>
      <c r="J66" s="309" t="s">
        <v>254</v>
      </c>
      <c r="K66" s="496" t="s">
        <v>255</v>
      </c>
      <c r="L66" s="497"/>
      <c r="M66" s="497"/>
      <c r="N66" s="497"/>
      <c r="O66" s="499"/>
    </row>
    <row r="67" spans="1:17" ht="12.9" thickBot="1" x14ac:dyDescent="0.35">
      <c r="A67" s="310" t="s">
        <v>112</v>
      </c>
      <c r="B67" s="320">
        <v>2008</v>
      </c>
      <c r="C67" s="320">
        <v>2012</v>
      </c>
      <c r="D67" s="321">
        <v>2008</v>
      </c>
      <c r="E67" s="321">
        <v>2009</v>
      </c>
      <c r="F67" s="321">
        <v>2010</v>
      </c>
      <c r="G67" s="321">
        <v>2011</v>
      </c>
      <c r="H67" s="321">
        <v>2012</v>
      </c>
      <c r="I67" s="321">
        <v>2013</v>
      </c>
      <c r="J67" s="321">
        <v>2014</v>
      </c>
      <c r="K67" s="321">
        <v>2015</v>
      </c>
      <c r="L67" s="321">
        <v>2016</v>
      </c>
      <c r="M67" s="321">
        <v>2017</v>
      </c>
      <c r="N67" s="321">
        <v>2018</v>
      </c>
      <c r="O67" s="322">
        <v>2019</v>
      </c>
    </row>
    <row r="68" spans="1:17" x14ac:dyDescent="0.3">
      <c r="A68" s="294" t="s">
        <v>52</v>
      </c>
      <c r="B68" s="312">
        <f>+'Chart II'!B5</f>
        <v>1192455603</v>
      </c>
      <c r="C68" s="312">
        <f>+'Chart II'!B6</f>
        <v>1161936612</v>
      </c>
      <c r="D68" s="312">
        <f t="shared" ref="D68:O70" si="8">+G5</f>
        <v>1158881926</v>
      </c>
      <c r="E68" s="312">
        <f t="shared" si="8"/>
        <v>1128390784.5107694</v>
      </c>
      <c r="F68" s="312">
        <f t="shared" si="8"/>
        <v>1148489331.8146157</v>
      </c>
      <c r="G68" s="312">
        <f t="shared" si="8"/>
        <v>1148632387.3953846</v>
      </c>
      <c r="H68" s="312">
        <f t="shared" si="8"/>
        <v>1136211952.670979</v>
      </c>
      <c r="I68" s="312">
        <f t="shared" si="8"/>
        <v>1130407041.6666667</v>
      </c>
      <c r="J68" s="312">
        <f t="shared" si="8"/>
        <v>1134970142.7733078</v>
      </c>
      <c r="K68" s="312">
        <f t="shared" si="8"/>
        <v>0</v>
      </c>
      <c r="L68" s="312">
        <f t="shared" si="8"/>
        <v>0</v>
      </c>
      <c r="M68" s="312">
        <f t="shared" si="8"/>
        <v>0</v>
      </c>
      <c r="N68" s="312">
        <f t="shared" si="8"/>
        <v>0</v>
      </c>
      <c r="O68" s="313">
        <f t="shared" si="8"/>
        <v>0</v>
      </c>
    </row>
    <row r="69" spans="1:17" x14ac:dyDescent="0.3">
      <c r="A69" s="294" t="s">
        <v>53</v>
      </c>
      <c r="B69" s="312"/>
      <c r="C69" s="153"/>
      <c r="D69" s="312">
        <f t="shared" si="8"/>
        <v>1104122225.6612682</v>
      </c>
      <c r="E69" s="312">
        <f t="shared" si="8"/>
        <v>1123059224.0894532</v>
      </c>
      <c r="F69" s="312">
        <f t="shared" si="8"/>
        <v>1129587697.9506867</v>
      </c>
      <c r="G69" s="312">
        <f t="shared" si="8"/>
        <v>1161830633.4946833</v>
      </c>
      <c r="H69" s="312">
        <f t="shared" si="8"/>
        <v>1150989222.1932878</v>
      </c>
      <c r="I69" s="312">
        <f t="shared" ca="1" si="8"/>
        <v>1157767974.9881625</v>
      </c>
      <c r="J69" s="312">
        <f t="shared" si="8"/>
        <v>1171374402.7386408</v>
      </c>
      <c r="K69" s="312">
        <f t="shared" ca="1" si="8"/>
        <v>1155695984.2165191</v>
      </c>
      <c r="L69" s="312">
        <f t="shared" ca="1" si="8"/>
        <v>1159527660.9021561</v>
      </c>
      <c r="M69" s="312">
        <f t="shared" ca="1" si="8"/>
        <v>1161962823.0962443</v>
      </c>
      <c r="N69" s="312">
        <f t="shared" ca="1" si="8"/>
        <v>1165591120.8811669</v>
      </c>
      <c r="O69" s="313">
        <f t="shared" ca="1" si="8"/>
        <v>1170084152.9105246</v>
      </c>
    </row>
    <row r="70" spans="1:17" x14ac:dyDescent="0.3">
      <c r="A70" s="294" t="s">
        <v>8</v>
      </c>
      <c r="B70" s="314"/>
      <c r="C70" s="153"/>
      <c r="D70" s="315">
        <f t="shared" si="8"/>
        <v>-4.7252182565087106E-2</v>
      </c>
      <c r="E70" s="315">
        <f t="shared" si="8"/>
        <v>-4.7249237538108078E-3</v>
      </c>
      <c r="F70" s="315">
        <f t="shared" si="8"/>
        <v>-1.645782275928015E-2</v>
      </c>
      <c r="G70" s="315">
        <f t="shared" si="8"/>
        <v>1.1490400448507977E-2</v>
      </c>
      <c r="H70" s="315">
        <f t="shared" si="8"/>
        <v>1.3005733206353608E-2</v>
      </c>
      <c r="I70" s="315">
        <f t="shared" ca="1" si="8"/>
        <v>2.4204496533527377E-2</v>
      </c>
      <c r="J70" s="315">
        <f t="shared" si="8"/>
        <v>3.2075081619661737E-2</v>
      </c>
      <c r="K70" s="315">
        <f t="shared" si="8"/>
        <v>0</v>
      </c>
      <c r="L70" s="315">
        <f t="shared" si="8"/>
        <v>0</v>
      </c>
      <c r="M70" s="315">
        <f t="shared" si="8"/>
        <v>0</v>
      </c>
      <c r="N70" s="315">
        <f t="shared" si="8"/>
        <v>0</v>
      </c>
      <c r="O70" s="316">
        <f t="shared" si="8"/>
        <v>0</v>
      </c>
    </row>
    <row r="71" spans="1:17" x14ac:dyDescent="0.3">
      <c r="A71" s="294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317"/>
    </row>
    <row r="72" spans="1:17" x14ac:dyDescent="0.3">
      <c r="A72" s="294" t="s">
        <v>55</v>
      </c>
      <c r="B72" s="312">
        <f>+'Chart II'!J55</f>
        <v>1141200155</v>
      </c>
      <c r="C72" s="312">
        <f>+'Chart II'!J56</f>
        <v>1114000000</v>
      </c>
      <c r="D72" s="312">
        <f t="shared" ref="D72:O72" si="9">+G9</f>
        <v>1117251257</v>
      </c>
      <c r="E72" s="312">
        <f t="shared" si="9"/>
        <v>1082664508</v>
      </c>
      <c r="F72" s="312">
        <f t="shared" si="9"/>
        <v>1090938483</v>
      </c>
      <c r="G72" s="312">
        <f t="shared" si="9"/>
        <v>1110518847</v>
      </c>
      <c r="H72" s="312">
        <f t="shared" si="9"/>
        <v>1073783871</v>
      </c>
      <c r="I72" s="312">
        <f t="shared" si="9"/>
        <v>1078161209</v>
      </c>
      <c r="J72" s="312">
        <f t="shared" si="9"/>
        <v>1091642390</v>
      </c>
      <c r="K72" s="312">
        <f t="shared" ca="1" si="9"/>
        <v>1102042241.3540516</v>
      </c>
      <c r="L72" s="312">
        <f t="shared" ca="1" si="9"/>
        <v>1105604445.0975072</v>
      </c>
      <c r="M72" s="312">
        <f t="shared" ca="1" si="9"/>
        <v>1107833050.7016122</v>
      </c>
      <c r="N72" s="312">
        <f t="shared" ca="1" si="9"/>
        <v>1111201027.7711666</v>
      </c>
      <c r="O72" s="313">
        <f t="shared" ca="1" si="9"/>
        <v>1115391817.0133681</v>
      </c>
      <c r="Q72" s="397"/>
    </row>
    <row r="73" spans="1:17" x14ac:dyDescent="0.3">
      <c r="A73" s="294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317"/>
    </row>
    <row r="74" spans="1:17" ht="15.45" x14ac:dyDescent="0.4">
      <c r="A74" s="295" t="s">
        <v>54</v>
      </c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317"/>
    </row>
    <row r="75" spans="1:17" x14ac:dyDescent="0.3">
      <c r="A75" s="296" t="str">
        <f>+A13</f>
        <v>Residential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317"/>
    </row>
    <row r="76" spans="1:17" x14ac:dyDescent="0.3">
      <c r="A76" s="297" t="s">
        <v>47</v>
      </c>
      <c r="B76" s="312">
        <f t="shared" ref="B76" si="10">+E14</f>
        <v>45439</v>
      </c>
      <c r="C76" s="312">
        <f t="shared" ref="C76" si="11">+F14</f>
        <v>46320</v>
      </c>
      <c r="D76" s="312">
        <f t="shared" ref="D76:O77" si="12">+G14</f>
        <v>47057.5</v>
      </c>
      <c r="E76" s="312">
        <f t="shared" si="12"/>
        <v>47602.5</v>
      </c>
      <c r="F76" s="312">
        <f t="shared" si="12"/>
        <v>48114.5</v>
      </c>
      <c r="G76" s="312">
        <f t="shared" si="12"/>
        <v>48650.5</v>
      </c>
      <c r="H76" s="312">
        <f t="shared" si="12"/>
        <v>49021</v>
      </c>
      <c r="I76" s="312">
        <f t="shared" si="12"/>
        <v>49516</v>
      </c>
      <c r="J76" s="312">
        <f t="shared" si="12"/>
        <v>50202.5</v>
      </c>
      <c r="K76" s="312">
        <f t="shared" si="12"/>
        <v>50977.327408831858</v>
      </c>
      <c r="L76" s="312">
        <f t="shared" si="12"/>
        <v>51741.998652925271</v>
      </c>
      <c r="M76" s="312">
        <f t="shared" si="12"/>
        <v>52518.137136473488</v>
      </c>
      <c r="N76" s="312">
        <f t="shared" si="12"/>
        <v>53515.967929119157</v>
      </c>
      <c r="O76" s="313">
        <f t="shared" si="12"/>
        <v>54533.01778843104</v>
      </c>
    </row>
    <row r="77" spans="1:17" x14ac:dyDescent="0.3">
      <c r="A77" s="297" t="s">
        <v>48</v>
      </c>
      <c r="B77" s="312">
        <f>+'Chart II'!B55</f>
        <v>487192399</v>
      </c>
      <c r="C77" s="312">
        <f>+'Chart II'!B56</f>
        <v>496447375</v>
      </c>
      <c r="D77" s="312">
        <f t="shared" si="12"/>
        <v>470718851</v>
      </c>
      <c r="E77" s="312">
        <f t="shared" si="12"/>
        <v>467977819</v>
      </c>
      <c r="F77" s="312">
        <f t="shared" si="12"/>
        <v>476941035</v>
      </c>
      <c r="G77" s="312">
        <f t="shared" si="12"/>
        <v>484582022</v>
      </c>
      <c r="H77" s="312">
        <f t="shared" si="12"/>
        <v>473288468</v>
      </c>
      <c r="I77" s="312">
        <f t="shared" si="12"/>
        <v>475282449</v>
      </c>
      <c r="J77" s="312">
        <f t="shared" si="12"/>
        <v>485503507</v>
      </c>
      <c r="K77" s="312">
        <f t="shared" ca="1" si="12"/>
        <v>488310441.84458584</v>
      </c>
      <c r="L77" s="312">
        <f t="shared" ca="1" si="12"/>
        <v>491380160.90018409</v>
      </c>
      <c r="M77" s="312">
        <f t="shared" ca="1" si="12"/>
        <v>492297000.53160763</v>
      </c>
      <c r="N77" s="312">
        <f t="shared" ca="1" si="12"/>
        <v>493730171.21752775</v>
      </c>
      <c r="O77" s="313">
        <f t="shared" ca="1" si="12"/>
        <v>495549475.53843433</v>
      </c>
    </row>
    <row r="78" spans="1:17" x14ac:dyDescent="0.3">
      <c r="A78" s="297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317"/>
    </row>
    <row r="79" spans="1:17" x14ac:dyDescent="0.3">
      <c r="A79" s="296" t="str">
        <f>+A17</f>
        <v>GS&lt;50</v>
      </c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317"/>
    </row>
    <row r="80" spans="1:17" x14ac:dyDescent="0.3">
      <c r="A80" s="297" t="s">
        <v>47</v>
      </c>
      <c r="B80" s="312">
        <f t="shared" ref="B80" si="13">+E18</f>
        <v>3740.5</v>
      </c>
      <c r="C80" s="312">
        <f t="shared" ref="C80" si="14">+F18</f>
        <v>3749</v>
      </c>
      <c r="D80" s="312">
        <f t="shared" ref="D80:O81" si="15">+G18</f>
        <v>3793.5</v>
      </c>
      <c r="E80" s="312">
        <f t="shared" si="15"/>
        <v>3859.5</v>
      </c>
      <c r="F80" s="312">
        <f t="shared" si="15"/>
        <v>3929</v>
      </c>
      <c r="G80" s="312">
        <f t="shared" si="15"/>
        <v>3888.5</v>
      </c>
      <c r="H80" s="312">
        <f t="shared" si="15"/>
        <v>3850.5</v>
      </c>
      <c r="I80" s="312">
        <f t="shared" si="15"/>
        <v>3904.5</v>
      </c>
      <c r="J80" s="312">
        <f t="shared" si="15"/>
        <v>3952.5</v>
      </c>
      <c r="K80" s="312">
        <f t="shared" si="15"/>
        <v>4002.4682995893245</v>
      </c>
      <c r="L80" s="312">
        <f t="shared" si="15"/>
        <v>4062.4930652948956</v>
      </c>
      <c r="M80" s="312">
        <f t="shared" si="15"/>
        <v>4123.3752815686439</v>
      </c>
      <c r="N80" s="312">
        <f t="shared" si="15"/>
        <v>4202.0159390564631</v>
      </c>
      <c r="O80" s="313">
        <f t="shared" si="15"/>
        <v>4282.0160346371858</v>
      </c>
    </row>
    <row r="81" spans="1:15" x14ac:dyDescent="0.3">
      <c r="A81" s="297" t="s">
        <v>48</v>
      </c>
      <c r="B81" s="312">
        <f>+'Chart II'!C55</f>
        <v>140097188</v>
      </c>
      <c r="C81" s="312">
        <f>+'Chart II'!C56</f>
        <v>132319612</v>
      </c>
      <c r="D81" s="312">
        <f t="shared" si="15"/>
        <v>131868017</v>
      </c>
      <c r="E81" s="312">
        <f t="shared" si="15"/>
        <v>128019505</v>
      </c>
      <c r="F81" s="312">
        <f t="shared" si="15"/>
        <v>131282103</v>
      </c>
      <c r="G81" s="312">
        <f t="shared" si="15"/>
        <v>135695878</v>
      </c>
      <c r="H81" s="312">
        <f t="shared" si="15"/>
        <v>131590801</v>
      </c>
      <c r="I81" s="312">
        <f t="shared" si="15"/>
        <v>132382128</v>
      </c>
      <c r="J81" s="312">
        <f t="shared" si="15"/>
        <v>133729082</v>
      </c>
      <c r="K81" s="312">
        <f t="shared" ca="1" si="15"/>
        <v>134064266.11914393</v>
      </c>
      <c r="L81" s="312">
        <f t="shared" ca="1" si="15"/>
        <v>134854491.64774501</v>
      </c>
      <c r="M81" s="312">
        <f t="shared" ca="1" si="15"/>
        <v>135063742.04659477</v>
      </c>
      <c r="N81" s="312">
        <f t="shared" ca="1" si="15"/>
        <v>135448704.96557888</v>
      </c>
      <c r="O81" s="313">
        <f t="shared" ca="1" si="15"/>
        <v>135967584.36597273</v>
      </c>
    </row>
    <row r="82" spans="1:15" x14ac:dyDescent="0.3">
      <c r="A82" s="297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317"/>
    </row>
    <row r="83" spans="1:15" x14ac:dyDescent="0.3">
      <c r="A83" s="296" t="str">
        <f>+A21</f>
        <v>GS&gt;50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317"/>
    </row>
    <row r="84" spans="1:15" x14ac:dyDescent="0.3">
      <c r="A84" s="297" t="s">
        <v>47</v>
      </c>
      <c r="B84" s="312">
        <f t="shared" ref="B84" si="16">+E22</f>
        <v>525</v>
      </c>
      <c r="C84" s="312">
        <f t="shared" ref="C84" si="17">+F22</f>
        <v>523</v>
      </c>
      <c r="D84" s="312">
        <f t="shared" ref="D84:O86" si="18">+G22</f>
        <v>533.5</v>
      </c>
      <c r="E84" s="312">
        <f t="shared" si="18"/>
        <v>525</v>
      </c>
      <c r="F84" s="312">
        <f t="shared" si="18"/>
        <v>512.5</v>
      </c>
      <c r="G84" s="312">
        <f t="shared" si="18"/>
        <v>520.5</v>
      </c>
      <c r="H84" s="312">
        <f t="shared" si="18"/>
        <v>511.5</v>
      </c>
      <c r="I84" s="312">
        <f t="shared" si="18"/>
        <v>500</v>
      </c>
      <c r="J84" s="312">
        <f t="shared" si="18"/>
        <v>502.5</v>
      </c>
      <c r="K84" s="312">
        <f t="shared" si="18"/>
        <v>507</v>
      </c>
      <c r="L84" s="312">
        <f t="shared" si="18"/>
        <v>514.6</v>
      </c>
      <c r="M84" s="312">
        <f t="shared" si="18"/>
        <v>522.29999999999995</v>
      </c>
      <c r="N84" s="312">
        <f t="shared" si="18"/>
        <v>532</v>
      </c>
      <c r="O84" s="313">
        <f t="shared" si="18"/>
        <v>542</v>
      </c>
    </row>
    <row r="85" spans="1:15" x14ac:dyDescent="0.3">
      <c r="A85" s="297" t="s">
        <v>48</v>
      </c>
      <c r="B85" s="312">
        <f>+'Chart II'!D55</f>
        <v>358858375</v>
      </c>
      <c r="C85" s="312">
        <f>+'Chart II'!D56</f>
        <v>359363080</v>
      </c>
      <c r="D85" s="312">
        <f t="shared" si="18"/>
        <v>352632150</v>
      </c>
      <c r="E85" s="312">
        <f t="shared" si="18"/>
        <v>349784301</v>
      </c>
      <c r="F85" s="312">
        <f t="shared" si="18"/>
        <v>355234224</v>
      </c>
      <c r="G85" s="312">
        <f t="shared" si="18"/>
        <v>359534375</v>
      </c>
      <c r="H85" s="312">
        <f t="shared" si="18"/>
        <v>338342507</v>
      </c>
      <c r="I85" s="312">
        <f t="shared" si="18"/>
        <v>337123668</v>
      </c>
      <c r="J85" s="312">
        <f t="shared" si="18"/>
        <v>336406114</v>
      </c>
      <c r="K85" s="312">
        <f t="shared" ca="1" si="18"/>
        <v>337307808.8671304</v>
      </c>
      <c r="L85" s="312">
        <f t="shared" ca="1" si="18"/>
        <v>340651147.74867117</v>
      </c>
      <c r="M85" s="312">
        <f t="shared" ca="1" si="18"/>
        <v>342688526.37423319</v>
      </c>
      <c r="N85" s="312">
        <f t="shared" ca="1" si="18"/>
        <v>345067783.67905658</v>
      </c>
      <c r="O85" s="313">
        <f t="shared" ca="1" si="18"/>
        <v>347872365.19595963</v>
      </c>
    </row>
    <row r="86" spans="1:15" x14ac:dyDescent="0.3">
      <c r="A86" s="297" t="s">
        <v>49</v>
      </c>
      <c r="B86" s="312">
        <f>+B85*0.2454</f>
        <v>88063845.225000009</v>
      </c>
      <c r="C86" s="312">
        <f>+C85*0.2454</f>
        <v>88187699.832000002</v>
      </c>
      <c r="D86" s="312">
        <f t="shared" si="18"/>
        <v>876464</v>
      </c>
      <c r="E86" s="312">
        <f t="shared" si="18"/>
        <v>861503</v>
      </c>
      <c r="F86" s="312">
        <f t="shared" si="18"/>
        <v>871715</v>
      </c>
      <c r="G86" s="312">
        <f t="shared" si="18"/>
        <v>867070</v>
      </c>
      <c r="H86" s="312">
        <f t="shared" si="18"/>
        <v>846459</v>
      </c>
      <c r="I86" s="312">
        <f t="shared" si="18"/>
        <v>843160</v>
      </c>
      <c r="J86" s="312">
        <f t="shared" si="18"/>
        <v>831789</v>
      </c>
      <c r="K86" s="312">
        <f t="shared" ca="1" si="18"/>
        <v>851954.05092458322</v>
      </c>
      <c r="L86" s="312">
        <f t="shared" ca="1" si="18"/>
        <v>860398.47773257422</v>
      </c>
      <c r="M86" s="312">
        <f t="shared" ca="1" si="18"/>
        <v>865544.379866131</v>
      </c>
      <c r="N86" s="312">
        <f t="shared" ca="1" si="18"/>
        <v>871553.78091096319</v>
      </c>
      <c r="O86" s="313">
        <f t="shared" ca="1" si="18"/>
        <v>878637.44313775434</v>
      </c>
    </row>
    <row r="87" spans="1:15" x14ac:dyDescent="0.3">
      <c r="A87" s="297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317"/>
    </row>
    <row r="88" spans="1:15" x14ac:dyDescent="0.3">
      <c r="A88" s="296" t="str">
        <f>+A26</f>
        <v>Large User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317"/>
    </row>
    <row r="89" spans="1:15" x14ac:dyDescent="0.3">
      <c r="A89" s="297" t="s">
        <v>47</v>
      </c>
      <c r="B89" s="312">
        <f t="shared" ref="B89" si="19">+E27</f>
        <v>2</v>
      </c>
      <c r="C89" s="312">
        <f t="shared" ref="C89" si="20">+F27</f>
        <v>2</v>
      </c>
      <c r="D89" s="312">
        <f t="shared" ref="D89:O91" si="21">+G27</f>
        <v>2.5</v>
      </c>
      <c r="E89" s="312">
        <f t="shared" si="21"/>
        <v>2</v>
      </c>
      <c r="F89" s="312">
        <f t="shared" si="21"/>
        <v>1</v>
      </c>
      <c r="G89" s="312">
        <f t="shared" si="21"/>
        <v>1</v>
      </c>
      <c r="H89" s="312">
        <f t="shared" si="21"/>
        <v>1</v>
      </c>
      <c r="I89" s="312">
        <f t="shared" si="21"/>
        <v>1</v>
      </c>
      <c r="J89" s="312">
        <f t="shared" si="21"/>
        <v>1</v>
      </c>
      <c r="K89" s="312">
        <f t="shared" si="21"/>
        <v>1</v>
      </c>
      <c r="L89" s="312">
        <f t="shared" si="21"/>
        <v>1</v>
      </c>
      <c r="M89" s="312">
        <f t="shared" si="21"/>
        <v>1</v>
      </c>
      <c r="N89" s="312">
        <f t="shared" si="21"/>
        <v>1</v>
      </c>
      <c r="O89" s="313">
        <f t="shared" si="21"/>
        <v>1</v>
      </c>
    </row>
    <row r="90" spans="1:15" x14ac:dyDescent="0.3">
      <c r="A90" s="297" t="s">
        <v>48</v>
      </c>
      <c r="B90" s="312">
        <f>+'Chart II'!E55</f>
        <v>60139982</v>
      </c>
      <c r="C90" s="312">
        <f>+'Chart II'!E56</f>
        <v>33402763</v>
      </c>
      <c r="D90" s="312">
        <f t="shared" si="21"/>
        <v>46461021</v>
      </c>
      <c r="E90" s="312">
        <f t="shared" si="21"/>
        <v>36580289</v>
      </c>
      <c r="F90" s="312">
        <f t="shared" si="21"/>
        <v>33402763</v>
      </c>
      <c r="G90" s="312">
        <f t="shared" si="21"/>
        <v>37740699</v>
      </c>
      <c r="H90" s="312">
        <f t="shared" si="21"/>
        <v>40812737</v>
      </c>
      <c r="I90" s="312">
        <f t="shared" si="21"/>
        <v>42326219</v>
      </c>
      <c r="J90" s="312">
        <f t="shared" si="21"/>
        <v>42700435</v>
      </c>
      <c r="K90" s="312">
        <f t="shared" ca="1" si="21"/>
        <v>42639586.096446052</v>
      </c>
      <c r="L90" s="312">
        <f t="shared" ca="1" si="21"/>
        <v>42660606.445226006</v>
      </c>
      <c r="M90" s="312">
        <f t="shared" ca="1" si="21"/>
        <v>42752494.396360196</v>
      </c>
      <c r="N90" s="312">
        <f t="shared" ca="1" si="21"/>
        <v>42718996.835031144</v>
      </c>
      <c r="O90" s="313">
        <f t="shared" ca="1" si="21"/>
        <v>42532142.041214556</v>
      </c>
    </row>
    <row r="91" spans="1:15" x14ac:dyDescent="0.3">
      <c r="A91" s="297" t="s">
        <v>49</v>
      </c>
      <c r="B91" s="312">
        <f>+B90*0.2454</f>
        <v>14758351.582800001</v>
      </c>
      <c r="C91" s="312">
        <f>+C90*0.2113</f>
        <v>7058003.8218999999</v>
      </c>
      <c r="D91" s="312">
        <f t="shared" si="21"/>
        <v>124131</v>
      </c>
      <c r="E91" s="312">
        <f t="shared" si="21"/>
        <v>89007</v>
      </c>
      <c r="F91" s="312">
        <f t="shared" si="21"/>
        <v>70585</v>
      </c>
      <c r="G91" s="312">
        <f t="shared" si="21"/>
        <v>83704</v>
      </c>
      <c r="H91" s="312">
        <f t="shared" si="21"/>
        <v>89554</v>
      </c>
      <c r="I91" s="312">
        <f t="shared" si="21"/>
        <v>92753</v>
      </c>
      <c r="J91" s="312">
        <f t="shared" si="21"/>
        <v>93203</v>
      </c>
      <c r="K91" s="312">
        <f t="shared" ca="1" si="21"/>
        <v>96450.280123117438</v>
      </c>
      <c r="L91" s="312">
        <f t="shared" ca="1" si="21"/>
        <v>96497.827923500081</v>
      </c>
      <c r="M91" s="312">
        <f t="shared" ca="1" si="21"/>
        <v>96705.677469853224</v>
      </c>
      <c r="N91" s="312">
        <f t="shared" ca="1" si="21"/>
        <v>96629.906350351259</v>
      </c>
      <c r="O91" s="313">
        <f t="shared" ca="1" si="21"/>
        <v>96207.242838440201</v>
      </c>
    </row>
    <row r="92" spans="1:15" x14ac:dyDescent="0.3">
      <c r="A92" s="297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317"/>
    </row>
    <row r="93" spans="1:15" x14ac:dyDescent="0.3">
      <c r="A93" s="296" t="str">
        <f>+A31</f>
        <v>I2</v>
      </c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317"/>
    </row>
    <row r="94" spans="1:15" x14ac:dyDescent="0.3">
      <c r="A94" s="298" t="s">
        <v>47</v>
      </c>
      <c r="B94" s="312">
        <f t="shared" ref="B94" si="22">+E32</f>
        <v>8.5</v>
      </c>
      <c r="C94" s="312">
        <f t="shared" ref="C94" si="23">+F32</f>
        <v>9</v>
      </c>
      <c r="D94" s="312">
        <f t="shared" ref="D94:O96" si="24">+G32</f>
        <v>9</v>
      </c>
      <c r="E94" s="312">
        <f t="shared" si="24"/>
        <v>9.5</v>
      </c>
      <c r="F94" s="312">
        <f t="shared" si="24"/>
        <v>10</v>
      </c>
      <c r="G94" s="312">
        <f t="shared" si="24"/>
        <v>10</v>
      </c>
      <c r="H94" s="312">
        <f t="shared" si="24"/>
        <v>10.5</v>
      </c>
      <c r="I94" s="312">
        <f t="shared" si="24"/>
        <v>11</v>
      </c>
      <c r="J94" s="312">
        <f t="shared" si="24"/>
        <v>11</v>
      </c>
      <c r="K94" s="312">
        <f t="shared" si="24"/>
        <v>12</v>
      </c>
      <c r="L94" s="312">
        <f t="shared" si="24"/>
        <v>12</v>
      </c>
      <c r="M94" s="312">
        <f t="shared" si="24"/>
        <v>12</v>
      </c>
      <c r="N94" s="312">
        <f t="shared" si="24"/>
        <v>12</v>
      </c>
      <c r="O94" s="313">
        <f t="shared" si="24"/>
        <v>12</v>
      </c>
    </row>
    <row r="95" spans="1:15" x14ac:dyDescent="0.3">
      <c r="A95" s="297" t="s">
        <v>48</v>
      </c>
      <c r="B95" s="312">
        <f>+'Chart II'!F55</f>
        <v>80956601</v>
      </c>
      <c r="C95" s="312">
        <f>+'Chart II'!F56</f>
        <v>78175306</v>
      </c>
      <c r="D95" s="312">
        <f t="shared" si="24"/>
        <v>102433272</v>
      </c>
      <c r="E95" s="312">
        <f t="shared" si="24"/>
        <v>87237589</v>
      </c>
      <c r="F95" s="312">
        <f t="shared" si="24"/>
        <v>80783141</v>
      </c>
      <c r="G95" s="312">
        <f t="shared" si="24"/>
        <v>79908016</v>
      </c>
      <c r="H95" s="312">
        <f t="shared" si="24"/>
        <v>76828137</v>
      </c>
      <c r="I95" s="312">
        <f t="shared" si="24"/>
        <v>79176233</v>
      </c>
      <c r="J95" s="312">
        <f t="shared" si="24"/>
        <v>81400346</v>
      </c>
      <c r="K95" s="312">
        <f t="shared" ca="1" si="24"/>
        <v>88420452.222880453</v>
      </c>
      <c r="L95" s="312">
        <f t="shared" ca="1" si="24"/>
        <v>88120101.619900286</v>
      </c>
      <c r="M95" s="312">
        <f t="shared" ca="1" si="24"/>
        <v>87493646.788693547</v>
      </c>
      <c r="N95" s="312">
        <f t="shared" ca="1" si="24"/>
        <v>86629348.525226727</v>
      </c>
      <c r="O95" s="313">
        <f t="shared" ca="1" si="24"/>
        <v>85803231.019400969</v>
      </c>
    </row>
    <row r="96" spans="1:15" x14ac:dyDescent="0.3">
      <c r="A96" s="297" t="s">
        <v>49</v>
      </c>
      <c r="B96" s="312">
        <f>+B95*0.2454</f>
        <v>19866749.885400001</v>
      </c>
      <c r="C96" s="312">
        <f>+C95*0.2416</f>
        <v>18887153.9296</v>
      </c>
      <c r="D96" s="312">
        <f t="shared" si="24"/>
        <v>204487</v>
      </c>
      <c r="E96" s="312">
        <f t="shared" si="24"/>
        <v>190299</v>
      </c>
      <c r="F96" s="312">
        <f t="shared" si="24"/>
        <v>195141</v>
      </c>
      <c r="G96" s="312">
        <f t="shared" si="24"/>
        <v>192700</v>
      </c>
      <c r="H96" s="312">
        <f t="shared" si="24"/>
        <v>182189</v>
      </c>
      <c r="I96" s="312">
        <f t="shared" si="24"/>
        <v>184241</v>
      </c>
      <c r="J96" s="312">
        <f t="shared" si="24"/>
        <v>186714</v>
      </c>
      <c r="K96" s="312">
        <f t="shared" ca="1" si="24"/>
        <v>195333.21024632914</v>
      </c>
      <c r="L96" s="312">
        <f t="shared" ca="1" si="24"/>
        <v>194669.69353718983</v>
      </c>
      <c r="M96" s="312">
        <f t="shared" ca="1" si="24"/>
        <v>193285.76673996553</v>
      </c>
      <c r="N96" s="312">
        <f t="shared" ca="1" si="24"/>
        <v>191376.4103617857</v>
      </c>
      <c r="O96" s="313">
        <f t="shared" ca="1" si="24"/>
        <v>189551.40064517764</v>
      </c>
    </row>
    <row r="97" spans="1:17" x14ac:dyDescent="0.3">
      <c r="A97" s="297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317"/>
    </row>
    <row r="98" spans="1:17" x14ac:dyDescent="0.3">
      <c r="A98" s="296" t="str">
        <f>+A36</f>
        <v>Streetlights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317"/>
    </row>
    <row r="99" spans="1:17" x14ac:dyDescent="0.3">
      <c r="A99" s="297" t="s">
        <v>63</v>
      </c>
      <c r="B99" s="312">
        <f t="shared" ref="B99" si="25">+E37</f>
        <v>10831</v>
      </c>
      <c r="C99" s="312">
        <f t="shared" ref="C99" si="26">+F37</f>
        <v>11280.5</v>
      </c>
      <c r="D99" s="312">
        <f t="shared" ref="D99:O101" si="27">+G37</f>
        <v>11621.5</v>
      </c>
      <c r="E99" s="312">
        <f t="shared" si="27"/>
        <v>11801</v>
      </c>
      <c r="F99" s="312">
        <f t="shared" si="27"/>
        <v>11995.5</v>
      </c>
      <c r="G99" s="312">
        <f t="shared" si="27"/>
        <v>12127.5</v>
      </c>
      <c r="H99" s="312">
        <f t="shared" si="27"/>
        <v>12213</v>
      </c>
      <c r="I99" s="312">
        <f t="shared" si="27"/>
        <v>12332.5</v>
      </c>
      <c r="J99" s="312">
        <f t="shared" si="27"/>
        <v>12464.5</v>
      </c>
      <c r="K99" s="312">
        <f t="shared" si="27"/>
        <v>12709.846964330369</v>
      </c>
      <c r="L99" s="312">
        <f t="shared" si="27"/>
        <v>12960.023254578835</v>
      </c>
      <c r="M99" s="312">
        <f t="shared" si="27"/>
        <v>13215.123929548703</v>
      </c>
      <c r="N99" s="312">
        <f t="shared" si="27"/>
        <v>13466.045919148317</v>
      </c>
      <c r="O99" s="313">
        <f t="shared" si="27"/>
        <v>13721.988061221264</v>
      </c>
    </row>
    <row r="100" spans="1:17" x14ac:dyDescent="0.3">
      <c r="A100" s="297" t="s">
        <v>48</v>
      </c>
      <c r="B100" s="312">
        <f>+'Chart II'!G55</f>
        <v>10072853</v>
      </c>
      <c r="C100" s="312">
        <f>+'Chart II'!G56</f>
        <v>11044796</v>
      </c>
      <c r="D100" s="312">
        <f t="shared" si="27"/>
        <v>9725840</v>
      </c>
      <c r="E100" s="312">
        <f t="shared" si="27"/>
        <v>10202758</v>
      </c>
      <c r="F100" s="312">
        <f t="shared" si="27"/>
        <v>10427904</v>
      </c>
      <c r="G100" s="312">
        <f t="shared" si="27"/>
        <v>10253017</v>
      </c>
      <c r="H100" s="312">
        <f t="shared" si="27"/>
        <v>10139708</v>
      </c>
      <c r="I100" s="312">
        <f t="shared" si="27"/>
        <v>9082284</v>
      </c>
      <c r="J100" s="312">
        <f t="shared" si="27"/>
        <v>9155875</v>
      </c>
      <c r="K100" s="312">
        <f t="shared" si="27"/>
        <v>8578851.707184026</v>
      </c>
      <c r="L100" s="312">
        <f t="shared" si="27"/>
        <v>5237833.7421617098</v>
      </c>
      <c r="M100" s="312">
        <f t="shared" si="27"/>
        <v>4853625.207928787</v>
      </c>
      <c r="N100" s="312">
        <f t="shared" si="27"/>
        <v>4945783.3519187327</v>
      </c>
      <c r="O100" s="313">
        <f t="shared" si="27"/>
        <v>5039785.2878187746</v>
      </c>
    </row>
    <row r="101" spans="1:17" x14ac:dyDescent="0.3">
      <c r="A101" s="297" t="s">
        <v>49</v>
      </c>
      <c r="B101" s="312">
        <f>+B100*0.2454</f>
        <v>2471878.1262000003</v>
      </c>
      <c r="C101" s="312">
        <f>+C100*0.265</f>
        <v>2926870.94</v>
      </c>
      <c r="D101" s="312">
        <f t="shared" si="27"/>
        <v>26489</v>
      </c>
      <c r="E101" s="312">
        <f t="shared" si="27"/>
        <v>27041</v>
      </c>
      <c r="F101" s="312">
        <f t="shared" si="27"/>
        <v>27634</v>
      </c>
      <c r="G101" s="312">
        <f t="shared" si="27"/>
        <v>27830</v>
      </c>
      <c r="H101" s="312">
        <f t="shared" si="27"/>
        <v>27720</v>
      </c>
      <c r="I101" s="312">
        <f t="shared" si="27"/>
        <v>25276</v>
      </c>
      <c r="J101" s="312">
        <f t="shared" si="27"/>
        <v>25520</v>
      </c>
      <c r="K101" s="312">
        <f t="shared" si="27"/>
        <v>23911.673714127413</v>
      </c>
      <c r="L101" s="312">
        <f t="shared" si="27"/>
        <v>14599.316515348542</v>
      </c>
      <c r="M101" s="312">
        <f t="shared" si="27"/>
        <v>13528.419217862043</v>
      </c>
      <c r="N101" s="312">
        <f t="shared" si="27"/>
        <v>13785.289897575716</v>
      </c>
      <c r="O101" s="313">
        <f t="shared" si="27"/>
        <v>14047.299744168102</v>
      </c>
    </row>
    <row r="102" spans="1:17" x14ac:dyDescent="0.3">
      <c r="A102" s="297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317"/>
    </row>
    <row r="103" spans="1:17" x14ac:dyDescent="0.3">
      <c r="A103" s="296" t="str">
        <f>+A41</f>
        <v>Sentinels</v>
      </c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317"/>
    </row>
    <row r="104" spans="1:17" x14ac:dyDescent="0.3">
      <c r="A104" s="297" t="s">
        <v>63</v>
      </c>
      <c r="B104" s="312">
        <f t="shared" ref="B104" si="28">+E42</f>
        <v>28.5</v>
      </c>
      <c r="C104" s="312">
        <f t="shared" ref="C104" si="29">+F42</f>
        <v>26.5</v>
      </c>
      <c r="D104" s="312">
        <f t="shared" ref="D104:O106" si="30">+G42</f>
        <v>26</v>
      </c>
      <c r="E104" s="312">
        <f t="shared" si="30"/>
        <v>26</v>
      </c>
      <c r="F104" s="312">
        <f t="shared" si="30"/>
        <v>25</v>
      </c>
      <c r="G104" s="312">
        <f t="shared" si="30"/>
        <v>24</v>
      </c>
      <c r="H104" s="312">
        <f t="shared" si="30"/>
        <v>24</v>
      </c>
      <c r="I104" s="312">
        <f t="shared" si="30"/>
        <v>24</v>
      </c>
      <c r="J104" s="312">
        <f t="shared" si="30"/>
        <v>24</v>
      </c>
      <c r="K104" s="312">
        <f t="shared" si="30"/>
        <v>23.221124933174856</v>
      </c>
      <c r="L104" s="312">
        <f t="shared" si="30"/>
        <v>22.46752679842146</v>
      </c>
      <c r="M104" s="312">
        <f t="shared" si="30"/>
        <v>21.738385280233285</v>
      </c>
      <c r="N104" s="312">
        <f t="shared" si="30"/>
        <v>21.032906684907768</v>
      </c>
      <c r="O104" s="313">
        <f t="shared" si="30"/>
        <v>20.350323076585497</v>
      </c>
    </row>
    <row r="105" spans="1:17" x14ac:dyDescent="0.3">
      <c r="A105" s="297" t="s">
        <v>48</v>
      </c>
      <c r="B105" s="312">
        <f>+'Chart II'!H55</f>
        <v>40813</v>
      </c>
      <c r="C105" s="312">
        <f>+'Chart II'!H56</f>
        <v>38567</v>
      </c>
      <c r="D105" s="312">
        <f t="shared" si="30"/>
        <v>39233</v>
      </c>
      <c r="E105" s="312">
        <f t="shared" si="30"/>
        <v>36792</v>
      </c>
      <c r="F105" s="312">
        <f t="shared" si="30"/>
        <v>35812</v>
      </c>
      <c r="G105" s="312">
        <f t="shared" si="30"/>
        <v>35812</v>
      </c>
      <c r="H105" s="312">
        <f t="shared" si="30"/>
        <v>35812</v>
      </c>
      <c r="I105" s="312">
        <f t="shared" si="30"/>
        <v>35812</v>
      </c>
      <c r="J105" s="312">
        <f t="shared" si="30"/>
        <v>35812</v>
      </c>
      <c r="K105" s="312">
        <f t="shared" ca="1" si="30"/>
        <v>34297.182591568067</v>
      </c>
      <c r="L105" s="312">
        <f t="shared" ca="1" si="30"/>
        <v>32909.529916775595</v>
      </c>
      <c r="M105" s="312">
        <f t="shared" ca="1" si="30"/>
        <v>31630.444959402575</v>
      </c>
      <c r="N105" s="312">
        <f t="shared" ca="1" si="30"/>
        <v>30311.964036453326</v>
      </c>
      <c r="O105" s="313">
        <f t="shared" ca="1" si="30"/>
        <v>28944.061722496452</v>
      </c>
    </row>
    <row r="106" spans="1:17" x14ac:dyDescent="0.3">
      <c r="A106" s="297" t="s">
        <v>49</v>
      </c>
      <c r="B106" s="312">
        <f>+B105*0.2454</f>
        <v>10015.510200000001</v>
      </c>
      <c r="C106" s="312">
        <f>+C105*0.2778</f>
        <v>10713.9126</v>
      </c>
      <c r="D106" s="312">
        <f t="shared" si="30"/>
        <v>108.9805555555556</v>
      </c>
      <c r="E106" s="312">
        <f t="shared" si="30"/>
        <v>102.2</v>
      </c>
      <c r="F106" s="312">
        <f t="shared" si="30"/>
        <v>99.477777777777803</v>
      </c>
      <c r="G106" s="312">
        <f t="shared" si="30"/>
        <v>100</v>
      </c>
      <c r="H106" s="312">
        <f t="shared" si="30"/>
        <v>100</v>
      </c>
      <c r="I106" s="312">
        <f t="shared" si="30"/>
        <v>100</v>
      </c>
      <c r="J106" s="312">
        <f t="shared" si="30"/>
        <v>100</v>
      </c>
      <c r="K106" s="312">
        <f t="shared" ca="1" si="30"/>
        <v>100.15889621450508</v>
      </c>
      <c r="L106" s="312">
        <f t="shared" ca="1" si="30"/>
        <v>96.106500369299738</v>
      </c>
      <c r="M106" s="312">
        <f t="shared" ca="1" si="30"/>
        <v>92.371157468960305</v>
      </c>
      <c r="N106" s="312">
        <f t="shared" ca="1" si="30"/>
        <v>88.520765572485843</v>
      </c>
      <c r="O106" s="313">
        <f t="shared" ca="1" si="30"/>
        <v>84.526047186233583</v>
      </c>
    </row>
    <row r="107" spans="1:17" x14ac:dyDescent="0.3">
      <c r="A107" s="297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317"/>
    </row>
    <row r="108" spans="1:17" x14ac:dyDescent="0.3">
      <c r="A108" s="296" t="str">
        <f>+A46</f>
        <v>USL</v>
      </c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317"/>
    </row>
    <row r="109" spans="1:17" x14ac:dyDescent="0.3">
      <c r="A109" s="297" t="s">
        <v>63</v>
      </c>
      <c r="B109" s="312">
        <f t="shared" ref="B109" si="31">+E47</f>
        <v>298</v>
      </c>
      <c r="C109" s="312">
        <f t="shared" ref="C109" si="32">+F47</f>
        <v>301</v>
      </c>
      <c r="D109" s="312">
        <f t="shared" ref="D109:O110" si="33">+G47</f>
        <v>301</v>
      </c>
      <c r="E109" s="312">
        <f t="shared" si="33"/>
        <v>302.5</v>
      </c>
      <c r="F109" s="312">
        <f t="shared" si="33"/>
        <v>306.5</v>
      </c>
      <c r="G109" s="312">
        <f t="shared" si="33"/>
        <v>302.5</v>
      </c>
      <c r="H109" s="312">
        <f t="shared" si="33"/>
        <v>295.5</v>
      </c>
      <c r="I109" s="312">
        <f t="shared" si="33"/>
        <v>295</v>
      </c>
      <c r="J109" s="312">
        <f t="shared" si="33"/>
        <v>295.5</v>
      </c>
      <c r="K109" s="312">
        <f t="shared" si="33"/>
        <v>295.82025457231583</v>
      </c>
      <c r="L109" s="312">
        <f t="shared" si="33"/>
        <v>296.14085622751179</v>
      </c>
      <c r="M109" s="312">
        <f t="shared" si="33"/>
        <v>296.46180534174658</v>
      </c>
      <c r="N109" s="312">
        <f t="shared" si="33"/>
        <v>296.78310229158649</v>
      </c>
      <c r="O109" s="313">
        <f t="shared" si="33"/>
        <v>297.10474745400597</v>
      </c>
    </row>
    <row r="110" spans="1:17" x14ac:dyDescent="0.3">
      <c r="A110" s="297" t="s">
        <v>48</v>
      </c>
      <c r="B110" s="312">
        <f>+'Chart II'!I55</f>
        <v>3841944</v>
      </c>
      <c r="C110" s="312">
        <f>+'Chart II'!I56</f>
        <v>3208501</v>
      </c>
      <c r="D110" s="312">
        <f t="shared" si="33"/>
        <v>3372873</v>
      </c>
      <c r="E110" s="312">
        <f t="shared" si="33"/>
        <v>2825455</v>
      </c>
      <c r="F110" s="312">
        <f t="shared" si="33"/>
        <v>2831501</v>
      </c>
      <c r="G110" s="312">
        <f t="shared" si="33"/>
        <v>2769028</v>
      </c>
      <c r="H110" s="312">
        <f t="shared" si="33"/>
        <v>2745701</v>
      </c>
      <c r="I110" s="312">
        <f t="shared" si="33"/>
        <v>2752416</v>
      </c>
      <c r="J110" s="312">
        <f t="shared" si="33"/>
        <v>2711219</v>
      </c>
      <c r="K110" s="312">
        <f t="shared" ca="1" si="33"/>
        <v>2686537.3140891874</v>
      </c>
      <c r="L110" s="312">
        <f t="shared" ca="1" si="33"/>
        <v>2667193.4637021297</v>
      </c>
      <c r="M110" s="312">
        <f t="shared" ca="1" si="33"/>
        <v>2652384.9112346303</v>
      </c>
      <c r="N110" s="312">
        <f t="shared" ca="1" si="33"/>
        <v>2629927.232790201</v>
      </c>
      <c r="O110" s="313">
        <f t="shared" ca="1" si="33"/>
        <v>2598289.5028448366</v>
      </c>
    </row>
    <row r="111" spans="1:17" x14ac:dyDescent="0.3">
      <c r="A111" s="297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317"/>
    </row>
    <row r="112" spans="1:17" x14ac:dyDescent="0.3">
      <c r="A112" s="296" t="s">
        <v>64</v>
      </c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317"/>
      <c r="Q112" s="399"/>
    </row>
    <row r="113" spans="1:17" x14ac:dyDescent="0.3">
      <c r="A113" s="297" t="s">
        <v>51</v>
      </c>
      <c r="B113" s="312">
        <f>+B109+B104+B99+B94+B89+B84+B80+B76</f>
        <v>60872.5</v>
      </c>
      <c r="C113" s="312">
        <f>+C109+C104+C99+C94+C89+C84+C80+C76</f>
        <v>62211</v>
      </c>
      <c r="D113" s="312">
        <f t="shared" ref="D113:O113" si="34">+D109+D104+D99+D94+D89+D84+D80+D76</f>
        <v>63344.5</v>
      </c>
      <c r="E113" s="312">
        <f t="shared" si="34"/>
        <v>64128</v>
      </c>
      <c r="F113" s="312">
        <f t="shared" si="34"/>
        <v>64894</v>
      </c>
      <c r="G113" s="312">
        <f t="shared" si="34"/>
        <v>65524.5</v>
      </c>
      <c r="H113" s="312">
        <f t="shared" si="34"/>
        <v>65927</v>
      </c>
      <c r="I113" s="312">
        <f t="shared" si="34"/>
        <v>66584</v>
      </c>
      <c r="J113" s="312">
        <f t="shared" si="34"/>
        <v>67453.5</v>
      </c>
      <c r="K113" s="312">
        <f t="shared" si="34"/>
        <v>68528.684052257042</v>
      </c>
      <c r="L113" s="312">
        <f t="shared" si="34"/>
        <v>69610.723355824943</v>
      </c>
      <c r="M113" s="312">
        <f t="shared" si="34"/>
        <v>70710.136538212813</v>
      </c>
      <c r="N113" s="312">
        <f t="shared" si="34"/>
        <v>72046.845796300433</v>
      </c>
      <c r="O113" s="313">
        <f t="shared" si="34"/>
        <v>73409.476954820086</v>
      </c>
      <c r="Q113" s="396"/>
    </row>
    <row r="114" spans="1:17" x14ac:dyDescent="0.3">
      <c r="A114" s="297" t="s">
        <v>48</v>
      </c>
      <c r="B114" s="312">
        <f t="shared" ref="B114:C115" si="35">+B110+B105+B100+B95+B90+B85+B81+B77</f>
        <v>1141200155</v>
      </c>
      <c r="C114" s="312">
        <f t="shared" si="35"/>
        <v>1114000000</v>
      </c>
      <c r="D114" s="312">
        <f t="shared" ref="D114:O114" si="36">+D110+D105+D100+D95+D90+D85+D81+D77</f>
        <v>1117251257</v>
      </c>
      <c r="E114" s="312">
        <f t="shared" si="36"/>
        <v>1082664508</v>
      </c>
      <c r="F114" s="312">
        <f t="shared" si="36"/>
        <v>1090938483</v>
      </c>
      <c r="G114" s="312">
        <f t="shared" si="36"/>
        <v>1110518847</v>
      </c>
      <c r="H114" s="312">
        <f t="shared" si="36"/>
        <v>1073783871</v>
      </c>
      <c r="I114" s="312">
        <f t="shared" si="36"/>
        <v>1078161209</v>
      </c>
      <c r="J114" s="312">
        <f t="shared" si="36"/>
        <v>1091642390</v>
      </c>
      <c r="K114" s="312">
        <f t="shared" ca="1" si="36"/>
        <v>1102042241.3540514</v>
      </c>
      <c r="L114" s="312">
        <f t="shared" ca="1" si="36"/>
        <v>1105604445.0975072</v>
      </c>
      <c r="M114" s="312">
        <f t="shared" ca="1" si="36"/>
        <v>1107833050.701612</v>
      </c>
      <c r="N114" s="312">
        <f t="shared" ca="1" si="36"/>
        <v>1111201027.7711663</v>
      </c>
      <c r="O114" s="313">
        <f t="shared" ca="1" si="36"/>
        <v>1115391817.0133684</v>
      </c>
      <c r="Q114" s="398"/>
    </row>
    <row r="115" spans="1:17" ht="12.9" thickBot="1" x14ac:dyDescent="0.35">
      <c r="A115" s="299" t="s">
        <v>50</v>
      </c>
      <c r="B115" s="318">
        <f t="shared" si="35"/>
        <v>125170840.32960001</v>
      </c>
      <c r="C115" s="318">
        <f t="shared" si="35"/>
        <v>117070442.43610001</v>
      </c>
      <c r="D115" s="318">
        <f t="shared" ref="D115:O115" si="37">+D111+D106+D101+D96+D91+D86+D82+D78</f>
        <v>1231679.9805555556</v>
      </c>
      <c r="E115" s="318">
        <f t="shared" si="37"/>
        <v>1167952.2</v>
      </c>
      <c r="F115" s="318">
        <f t="shared" si="37"/>
        <v>1165174.4777777777</v>
      </c>
      <c r="G115" s="318">
        <f t="shared" si="37"/>
        <v>1171404</v>
      </c>
      <c r="H115" s="318">
        <f t="shared" si="37"/>
        <v>1146022</v>
      </c>
      <c r="I115" s="318">
        <f t="shared" si="37"/>
        <v>1145530</v>
      </c>
      <c r="J115" s="318">
        <f t="shared" si="37"/>
        <v>1137326</v>
      </c>
      <c r="K115" s="318">
        <f t="shared" ca="1" si="37"/>
        <v>1167749.3739043716</v>
      </c>
      <c r="L115" s="318">
        <f t="shared" ca="1" si="37"/>
        <v>1166261.4222089821</v>
      </c>
      <c r="M115" s="318">
        <f t="shared" ca="1" si="37"/>
        <v>1169156.6144512808</v>
      </c>
      <c r="N115" s="318">
        <f t="shared" ca="1" si="37"/>
        <v>1173433.9082862483</v>
      </c>
      <c r="O115" s="319">
        <f t="shared" ca="1" si="37"/>
        <v>1178527.9124127266</v>
      </c>
      <c r="Q115" s="399"/>
    </row>
  </sheetData>
  <mergeCells count="4">
    <mergeCell ref="B3:L3"/>
    <mergeCell ref="M3:R3"/>
    <mergeCell ref="D66:I66"/>
    <mergeCell ref="K66:O66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206"/>
  <sheetViews>
    <sheetView workbookViewId="0"/>
  </sheetViews>
  <sheetFormatPr defaultRowHeight="12.45" x14ac:dyDescent="0.3"/>
  <cols>
    <col min="1" max="1" width="11.84375" customWidth="1"/>
    <col min="2" max="2" width="18" customWidth="1"/>
    <col min="3" max="3" width="11.69140625" customWidth="1"/>
    <col min="4" max="4" width="13.3828125" customWidth="1"/>
    <col min="5" max="5" width="13.84375" customWidth="1"/>
    <col min="6" max="6" width="13.53515625" customWidth="1"/>
    <col min="7" max="7" width="12.3828125" customWidth="1"/>
    <col min="8" max="8" width="17.53515625" bestFit="1" customWidth="1"/>
    <col min="10" max="10" width="11.84375" customWidth="1"/>
    <col min="11" max="11" width="18" customWidth="1"/>
    <col min="12" max="12" width="11.69140625" customWidth="1"/>
    <col min="13" max="13" width="13.3828125" customWidth="1"/>
    <col min="14" max="14" width="13.84375" customWidth="1"/>
    <col min="15" max="15" width="13.53515625" customWidth="1"/>
    <col min="16" max="16" width="12.3828125" customWidth="1"/>
    <col min="17" max="17" width="17.53515625" bestFit="1" customWidth="1"/>
    <col min="19" max="19" width="11.84375" customWidth="1"/>
    <col min="20" max="20" width="18" customWidth="1"/>
    <col min="21" max="21" width="11.69140625" customWidth="1"/>
    <col min="22" max="22" width="13.3828125" customWidth="1"/>
    <col min="23" max="23" width="13.84375" customWidth="1"/>
    <col min="24" max="24" width="13.53515625" customWidth="1"/>
    <col min="25" max="25" width="12.3828125" customWidth="1"/>
    <col min="26" max="26" width="17.53515625" bestFit="1" customWidth="1"/>
  </cols>
  <sheetData>
    <row r="1" spans="1:26" x14ac:dyDescent="0.3">
      <c r="A1" t="s">
        <v>265</v>
      </c>
      <c r="J1" t="s">
        <v>266</v>
      </c>
      <c r="S1" t="s">
        <v>267</v>
      </c>
    </row>
    <row r="2" spans="1:26" ht="35.15" thickBot="1" x14ac:dyDescent="0.35">
      <c r="A2" s="337" t="s">
        <v>256</v>
      </c>
      <c r="B2" s="321" t="s">
        <v>0</v>
      </c>
      <c r="C2" s="321" t="s">
        <v>3</v>
      </c>
      <c r="D2" s="321" t="s">
        <v>4</v>
      </c>
      <c r="E2" s="321" t="s">
        <v>218</v>
      </c>
      <c r="F2" s="321" t="s">
        <v>5</v>
      </c>
      <c r="G2" s="321" t="s">
        <v>17</v>
      </c>
      <c r="H2" s="322" t="s">
        <v>10</v>
      </c>
      <c r="J2" s="337" t="s">
        <v>256</v>
      </c>
      <c r="K2" s="321" t="s">
        <v>0</v>
      </c>
      <c r="L2" s="321" t="s">
        <v>3</v>
      </c>
      <c r="M2" s="321" t="s">
        <v>4</v>
      </c>
      <c r="N2" s="321" t="s">
        <v>218</v>
      </c>
      <c r="O2" s="321" t="s">
        <v>5</v>
      </c>
      <c r="P2" s="321" t="s">
        <v>17</v>
      </c>
      <c r="Q2" s="322" t="s">
        <v>10</v>
      </c>
      <c r="S2" s="337" t="s">
        <v>256</v>
      </c>
      <c r="T2" s="321" t="s">
        <v>0</v>
      </c>
      <c r="U2" s="321" t="s">
        <v>3</v>
      </c>
      <c r="V2" s="321" t="s">
        <v>4</v>
      </c>
      <c r="W2" s="321" t="s">
        <v>218</v>
      </c>
      <c r="X2" s="321" t="s">
        <v>5</v>
      </c>
      <c r="Y2" s="321" t="s">
        <v>17</v>
      </c>
      <c r="Z2" s="322" t="s">
        <v>10</v>
      </c>
    </row>
    <row r="3" spans="1:26" x14ac:dyDescent="0.3">
      <c r="A3" s="323">
        <f>+'Purchased Power Model '!A3</f>
        <v>37622</v>
      </c>
      <c r="B3" s="324">
        <f>+'Purchased Power Model '!B3</f>
        <v>126011890</v>
      </c>
      <c r="C3" s="325">
        <f>+'Purchased Power Model '!C3</f>
        <v>786</v>
      </c>
      <c r="D3" s="325">
        <f>+'Purchased Power Model '!D3</f>
        <v>0</v>
      </c>
      <c r="E3" s="326">
        <f>+'Purchased Power Model '!E3</f>
        <v>5.2000000000000005E-2</v>
      </c>
      <c r="F3" s="327">
        <f>+'Purchased Power Model '!F3</f>
        <v>31</v>
      </c>
      <c r="G3" s="327">
        <f>+'Purchased Power Model '!G3</f>
        <v>0</v>
      </c>
      <c r="H3" s="328">
        <f>+'Purchased Power Model '!H3</f>
        <v>121608461.13549522</v>
      </c>
      <c r="J3" s="323">
        <f>+'10 Year Average'!A3</f>
        <v>37622</v>
      </c>
      <c r="K3" s="324">
        <f>+'10 Year Average'!B3</f>
        <v>126011890</v>
      </c>
      <c r="L3" s="325">
        <f>+'10 Year Average'!C3</f>
        <v>786</v>
      </c>
      <c r="M3" s="325">
        <f>+'10 Year Average'!D3</f>
        <v>0</v>
      </c>
      <c r="N3" s="326">
        <f>+'10 Year Average'!E3</f>
        <v>5.2000000000000005E-2</v>
      </c>
      <c r="O3" s="327">
        <f>+'10 Year Average'!F3</f>
        <v>31</v>
      </c>
      <c r="P3" s="327">
        <f>+'10 Year Average'!G3</f>
        <v>0</v>
      </c>
      <c r="Q3" s="328">
        <f>+'10 Year Average'!H3</f>
        <v>121608461.13549522</v>
      </c>
      <c r="S3" s="323">
        <f>+'20 Year Trend'!A3</f>
        <v>37622</v>
      </c>
      <c r="T3" s="324">
        <f>+'20 Year Trend'!B3</f>
        <v>126011890</v>
      </c>
      <c r="U3" s="325">
        <f>+'20 Year Trend'!C3</f>
        <v>786</v>
      </c>
      <c r="V3" s="325">
        <f>+'20 Year Trend'!D3</f>
        <v>0</v>
      </c>
      <c r="W3" s="326">
        <f>+'20 Year Trend'!E3</f>
        <v>5.2000000000000005E-2</v>
      </c>
      <c r="X3" s="327">
        <f>+'20 Year Trend'!F3</f>
        <v>31</v>
      </c>
      <c r="Y3" s="327">
        <f>+'20 Year Trend'!G3</f>
        <v>0</v>
      </c>
      <c r="Z3" s="328">
        <f>+'20 Year Trend'!H3</f>
        <v>121608461.13549522</v>
      </c>
    </row>
    <row r="4" spans="1:26" x14ac:dyDescent="0.3">
      <c r="A4" s="323">
        <f>+'Purchased Power Model '!A4</f>
        <v>37653</v>
      </c>
      <c r="B4" s="324">
        <f>+'Purchased Power Model '!B4</f>
        <v>112581000</v>
      </c>
      <c r="C4" s="325">
        <f>+'Purchased Power Model '!C4</f>
        <v>686.5</v>
      </c>
      <c r="D4" s="325">
        <f>+'Purchased Power Model '!D4</f>
        <v>0</v>
      </c>
      <c r="E4" s="326">
        <f>+'Purchased Power Model '!E4</f>
        <v>5.2000000000000005E-2</v>
      </c>
      <c r="F4" s="327">
        <f>+'Purchased Power Model '!F4</f>
        <v>28</v>
      </c>
      <c r="G4" s="327">
        <f>+'Purchased Power Model '!G4</f>
        <v>0</v>
      </c>
      <c r="H4" s="328">
        <f>+'Purchased Power Model '!H4</f>
        <v>109132496.12756082</v>
      </c>
      <c r="J4" s="323">
        <f>+'10 Year Average'!A4</f>
        <v>37653</v>
      </c>
      <c r="K4" s="324">
        <f>+'10 Year Average'!B4</f>
        <v>112581000</v>
      </c>
      <c r="L4" s="325">
        <f>+'10 Year Average'!C4</f>
        <v>686.5</v>
      </c>
      <c r="M4" s="325">
        <f>+'10 Year Average'!D4</f>
        <v>0</v>
      </c>
      <c r="N4" s="326">
        <f>+'10 Year Average'!E4</f>
        <v>5.2000000000000005E-2</v>
      </c>
      <c r="O4" s="327">
        <f>+'10 Year Average'!F4</f>
        <v>28</v>
      </c>
      <c r="P4" s="327">
        <f>+'10 Year Average'!G4</f>
        <v>0</v>
      </c>
      <c r="Q4" s="328">
        <f>+'10 Year Average'!H4</f>
        <v>109132496.12756082</v>
      </c>
      <c r="S4" s="323">
        <f>+'20 Year Trend'!A4</f>
        <v>37653</v>
      </c>
      <c r="T4" s="324">
        <f>+'20 Year Trend'!B4</f>
        <v>112581000</v>
      </c>
      <c r="U4" s="325">
        <f>+'20 Year Trend'!C4</f>
        <v>686.5</v>
      </c>
      <c r="V4" s="325">
        <f>+'20 Year Trend'!D4</f>
        <v>0</v>
      </c>
      <c r="W4" s="326">
        <f>+'20 Year Trend'!E4</f>
        <v>5.2000000000000005E-2</v>
      </c>
      <c r="X4" s="327">
        <f>+'20 Year Trend'!F4</f>
        <v>28</v>
      </c>
      <c r="Y4" s="327">
        <f>+'20 Year Trend'!G4</f>
        <v>0</v>
      </c>
      <c r="Z4" s="328">
        <f>+'20 Year Trend'!H4</f>
        <v>109132496.12756082</v>
      </c>
    </row>
    <row r="5" spans="1:26" x14ac:dyDescent="0.3">
      <c r="A5" s="323">
        <f>+'Purchased Power Model '!A5</f>
        <v>37681</v>
      </c>
      <c r="B5" s="324">
        <f>+'Purchased Power Model '!B5</f>
        <v>110536430</v>
      </c>
      <c r="C5" s="325">
        <f>+'Purchased Power Model '!C5</f>
        <v>572.5</v>
      </c>
      <c r="D5" s="325">
        <f>+'Purchased Power Model '!D5</f>
        <v>0</v>
      </c>
      <c r="E5" s="326">
        <f>+'Purchased Power Model '!E5</f>
        <v>5.2000000000000005E-2</v>
      </c>
      <c r="F5" s="327">
        <f>+'Purchased Power Model '!F5</f>
        <v>31</v>
      </c>
      <c r="G5" s="327">
        <f>+'Purchased Power Model '!G5</f>
        <v>1</v>
      </c>
      <c r="H5" s="328">
        <f>+'Purchased Power Model '!H5</f>
        <v>105879506.48495534</v>
      </c>
      <c r="J5" s="323">
        <f>+'10 Year Average'!A5</f>
        <v>37681</v>
      </c>
      <c r="K5" s="324">
        <f>+'10 Year Average'!B5</f>
        <v>110536430</v>
      </c>
      <c r="L5" s="325">
        <f>+'10 Year Average'!C5</f>
        <v>572.5</v>
      </c>
      <c r="M5" s="325">
        <f>+'10 Year Average'!D5</f>
        <v>0</v>
      </c>
      <c r="N5" s="326">
        <f>+'10 Year Average'!E5</f>
        <v>5.2000000000000005E-2</v>
      </c>
      <c r="O5" s="327">
        <f>+'10 Year Average'!F5</f>
        <v>31</v>
      </c>
      <c r="P5" s="327">
        <f>+'10 Year Average'!G5</f>
        <v>1</v>
      </c>
      <c r="Q5" s="328">
        <f>+'10 Year Average'!H5</f>
        <v>105879506.48495534</v>
      </c>
      <c r="S5" s="323">
        <f>+'20 Year Trend'!A5</f>
        <v>37681</v>
      </c>
      <c r="T5" s="324">
        <f>+'20 Year Trend'!B5</f>
        <v>110536430</v>
      </c>
      <c r="U5" s="325">
        <f>+'20 Year Trend'!C5</f>
        <v>572.5</v>
      </c>
      <c r="V5" s="325">
        <f>+'20 Year Trend'!D5</f>
        <v>0</v>
      </c>
      <c r="W5" s="326">
        <f>+'20 Year Trend'!E5</f>
        <v>5.2000000000000005E-2</v>
      </c>
      <c r="X5" s="327">
        <f>+'20 Year Trend'!F5</f>
        <v>31</v>
      </c>
      <c r="Y5" s="327">
        <f>+'20 Year Trend'!G5</f>
        <v>1</v>
      </c>
      <c r="Z5" s="328">
        <f>+'20 Year Trend'!H5</f>
        <v>105879506.48495534</v>
      </c>
    </row>
    <row r="6" spans="1:26" x14ac:dyDescent="0.3">
      <c r="A6" s="323">
        <f>+'Purchased Power Model '!A6</f>
        <v>37712</v>
      </c>
      <c r="B6" s="324">
        <f>+'Purchased Power Model '!B6</f>
        <v>97712940</v>
      </c>
      <c r="C6" s="325">
        <f>+'Purchased Power Model '!C6</f>
        <v>403.9</v>
      </c>
      <c r="D6" s="325">
        <f>+'Purchased Power Model '!D6</f>
        <v>0</v>
      </c>
      <c r="E6" s="326">
        <f>+'Purchased Power Model '!E6</f>
        <v>5.5999999999999994E-2</v>
      </c>
      <c r="F6" s="327">
        <f>+'Purchased Power Model '!F6</f>
        <v>30</v>
      </c>
      <c r="G6" s="327">
        <f>+'Purchased Power Model '!G6</f>
        <v>1</v>
      </c>
      <c r="H6" s="328">
        <f>+'Purchased Power Model '!H6</f>
        <v>95727068.133391276</v>
      </c>
      <c r="J6" s="323">
        <f>+'10 Year Average'!A6</f>
        <v>37712</v>
      </c>
      <c r="K6" s="324">
        <f>+'10 Year Average'!B6</f>
        <v>97712940</v>
      </c>
      <c r="L6" s="325">
        <f>+'10 Year Average'!C6</f>
        <v>403.9</v>
      </c>
      <c r="M6" s="325">
        <f>+'10 Year Average'!D6</f>
        <v>0</v>
      </c>
      <c r="N6" s="326">
        <f>+'10 Year Average'!E6</f>
        <v>5.5999999999999994E-2</v>
      </c>
      <c r="O6" s="327">
        <f>+'10 Year Average'!F6</f>
        <v>30</v>
      </c>
      <c r="P6" s="327">
        <f>+'10 Year Average'!G6</f>
        <v>1</v>
      </c>
      <c r="Q6" s="328">
        <f>+'10 Year Average'!H6</f>
        <v>95727068.133391276</v>
      </c>
      <c r="S6" s="323">
        <f>+'20 Year Trend'!A6</f>
        <v>37712</v>
      </c>
      <c r="T6" s="324">
        <f>+'20 Year Trend'!B6</f>
        <v>97712940</v>
      </c>
      <c r="U6" s="325">
        <f>+'20 Year Trend'!C6</f>
        <v>403.9</v>
      </c>
      <c r="V6" s="325">
        <f>+'20 Year Trend'!D6</f>
        <v>0</v>
      </c>
      <c r="W6" s="326">
        <f>+'20 Year Trend'!E6</f>
        <v>5.5999999999999994E-2</v>
      </c>
      <c r="X6" s="327">
        <f>+'20 Year Trend'!F6</f>
        <v>30</v>
      </c>
      <c r="Y6" s="327">
        <f>+'20 Year Trend'!G6</f>
        <v>1</v>
      </c>
      <c r="Z6" s="328">
        <f>+'20 Year Trend'!H6</f>
        <v>95727068.133391276</v>
      </c>
    </row>
    <row r="7" spans="1:26" x14ac:dyDescent="0.3">
      <c r="A7" s="323">
        <f>+'Purchased Power Model '!A7</f>
        <v>37742</v>
      </c>
      <c r="B7" s="324">
        <f>+'Purchased Power Model '!B7</f>
        <v>90261150</v>
      </c>
      <c r="C7" s="325">
        <f>+'Purchased Power Model '!C7</f>
        <v>192</v>
      </c>
      <c r="D7" s="325">
        <f>+'Purchased Power Model '!D7</f>
        <v>0</v>
      </c>
      <c r="E7" s="326">
        <f>+'Purchased Power Model '!E7</f>
        <v>5.5999999999999994E-2</v>
      </c>
      <c r="F7" s="327">
        <f>+'Purchased Power Model '!F7</f>
        <v>31</v>
      </c>
      <c r="G7" s="327">
        <f>+'Purchased Power Model '!G7</f>
        <v>1</v>
      </c>
      <c r="H7" s="328">
        <f>+'Purchased Power Model '!H7</f>
        <v>89920096.43658556</v>
      </c>
      <c r="J7" s="323">
        <f>+'10 Year Average'!A7</f>
        <v>37742</v>
      </c>
      <c r="K7" s="324">
        <f>+'10 Year Average'!B7</f>
        <v>90261150</v>
      </c>
      <c r="L7" s="325">
        <f>+'10 Year Average'!C7</f>
        <v>192</v>
      </c>
      <c r="M7" s="325">
        <f>+'10 Year Average'!D7</f>
        <v>0</v>
      </c>
      <c r="N7" s="326">
        <f>+'10 Year Average'!E7</f>
        <v>5.5999999999999994E-2</v>
      </c>
      <c r="O7" s="327">
        <f>+'10 Year Average'!F7</f>
        <v>31</v>
      </c>
      <c r="P7" s="327">
        <f>+'10 Year Average'!G7</f>
        <v>1</v>
      </c>
      <c r="Q7" s="328">
        <f>+'10 Year Average'!H7</f>
        <v>89920096.43658556</v>
      </c>
      <c r="S7" s="323">
        <f>+'20 Year Trend'!A7</f>
        <v>37742</v>
      </c>
      <c r="T7" s="324">
        <f>+'20 Year Trend'!B7</f>
        <v>90261150</v>
      </c>
      <c r="U7" s="325">
        <f>+'20 Year Trend'!C7</f>
        <v>192</v>
      </c>
      <c r="V7" s="325">
        <f>+'20 Year Trend'!D7</f>
        <v>0</v>
      </c>
      <c r="W7" s="326">
        <f>+'20 Year Trend'!E7</f>
        <v>5.5999999999999994E-2</v>
      </c>
      <c r="X7" s="327">
        <f>+'20 Year Trend'!F7</f>
        <v>31</v>
      </c>
      <c r="Y7" s="327">
        <f>+'20 Year Trend'!G7</f>
        <v>1</v>
      </c>
      <c r="Z7" s="328">
        <f>+'20 Year Trend'!H7</f>
        <v>89920096.43658556</v>
      </c>
    </row>
    <row r="8" spans="1:26" x14ac:dyDescent="0.3">
      <c r="A8" s="323">
        <f>+'Purchased Power Model '!A8</f>
        <v>37773</v>
      </c>
      <c r="B8" s="324">
        <f>+'Purchased Power Model '!B8</f>
        <v>92476040</v>
      </c>
      <c r="C8" s="325">
        <f>+'Purchased Power Model '!C8</f>
        <v>55.1</v>
      </c>
      <c r="D8" s="325">
        <f>+'Purchased Power Model '!D8</f>
        <v>31</v>
      </c>
      <c r="E8" s="326">
        <f>+'Purchased Power Model '!E8</f>
        <v>5.5999999999999994E-2</v>
      </c>
      <c r="F8" s="327">
        <f>+'Purchased Power Model '!F8</f>
        <v>30</v>
      </c>
      <c r="G8" s="327">
        <f>+'Purchased Power Model '!G8</f>
        <v>0</v>
      </c>
      <c r="H8" s="328">
        <f>+'Purchased Power Model '!H8</f>
        <v>93060780.436009645</v>
      </c>
      <c r="J8" s="323">
        <f>+'10 Year Average'!A8</f>
        <v>37773</v>
      </c>
      <c r="K8" s="324">
        <f>+'10 Year Average'!B8</f>
        <v>92476040</v>
      </c>
      <c r="L8" s="325">
        <f>+'10 Year Average'!C8</f>
        <v>55.1</v>
      </c>
      <c r="M8" s="325">
        <f>+'10 Year Average'!D8</f>
        <v>31</v>
      </c>
      <c r="N8" s="326">
        <f>+'10 Year Average'!E8</f>
        <v>5.5999999999999994E-2</v>
      </c>
      <c r="O8" s="327">
        <f>+'10 Year Average'!F8</f>
        <v>30</v>
      </c>
      <c r="P8" s="327">
        <f>+'10 Year Average'!G8</f>
        <v>0</v>
      </c>
      <c r="Q8" s="328">
        <f>+'10 Year Average'!H8</f>
        <v>93060780.436009645</v>
      </c>
      <c r="S8" s="323">
        <f>+'20 Year Trend'!A8</f>
        <v>37773</v>
      </c>
      <c r="T8" s="324">
        <f>+'20 Year Trend'!B8</f>
        <v>92476040</v>
      </c>
      <c r="U8" s="325">
        <f>+'20 Year Trend'!C8</f>
        <v>55.1</v>
      </c>
      <c r="V8" s="325">
        <f>+'20 Year Trend'!D8</f>
        <v>31</v>
      </c>
      <c r="W8" s="326">
        <f>+'20 Year Trend'!E8</f>
        <v>5.5999999999999994E-2</v>
      </c>
      <c r="X8" s="327">
        <f>+'20 Year Trend'!F8</f>
        <v>30</v>
      </c>
      <c r="Y8" s="327">
        <f>+'20 Year Trend'!G8</f>
        <v>0</v>
      </c>
      <c r="Z8" s="328">
        <f>+'20 Year Trend'!H8</f>
        <v>93060780.436009645</v>
      </c>
    </row>
    <row r="9" spans="1:26" x14ac:dyDescent="0.3">
      <c r="A9" s="323">
        <f>+'Purchased Power Model '!A9</f>
        <v>37803</v>
      </c>
      <c r="B9" s="324">
        <f>+'Purchased Power Model '!B9</f>
        <v>100371630</v>
      </c>
      <c r="C9" s="325">
        <f>+'Purchased Power Model '!C9</f>
        <v>5.7</v>
      </c>
      <c r="D9" s="325">
        <f>+'Purchased Power Model '!D9</f>
        <v>59.1</v>
      </c>
      <c r="E9" s="326">
        <f>+'Purchased Power Model '!E9</f>
        <v>5.0999999999999997E-2</v>
      </c>
      <c r="F9" s="327">
        <f>+'Purchased Power Model '!F9</f>
        <v>31</v>
      </c>
      <c r="G9" s="327">
        <f>+'Purchased Power Model '!G9</f>
        <v>0</v>
      </c>
      <c r="H9" s="328">
        <f>+'Purchased Power Model '!H9</f>
        <v>98522297.294301718</v>
      </c>
      <c r="J9" s="323">
        <f>+'10 Year Average'!A9</f>
        <v>37803</v>
      </c>
      <c r="K9" s="324">
        <f>+'10 Year Average'!B9</f>
        <v>100371630</v>
      </c>
      <c r="L9" s="325">
        <f>+'10 Year Average'!C9</f>
        <v>5.7</v>
      </c>
      <c r="M9" s="325">
        <f>+'10 Year Average'!D9</f>
        <v>59.1</v>
      </c>
      <c r="N9" s="326">
        <f>+'10 Year Average'!E9</f>
        <v>5.0999999999999997E-2</v>
      </c>
      <c r="O9" s="327">
        <f>+'10 Year Average'!F9</f>
        <v>31</v>
      </c>
      <c r="P9" s="327">
        <f>+'10 Year Average'!G9</f>
        <v>0</v>
      </c>
      <c r="Q9" s="328">
        <f>+'10 Year Average'!H9</f>
        <v>98522297.294301718</v>
      </c>
      <c r="S9" s="323">
        <f>+'20 Year Trend'!A9</f>
        <v>37803</v>
      </c>
      <c r="T9" s="324">
        <f>+'20 Year Trend'!B9</f>
        <v>100371630</v>
      </c>
      <c r="U9" s="325">
        <f>+'20 Year Trend'!C9</f>
        <v>5.7</v>
      </c>
      <c r="V9" s="325">
        <f>+'20 Year Trend'!D9</f>
        <v>59.1</v>
      </c>
      <c r="W9" s="326">
        <f>+'20 Year Trend'!E9</f>
        <v>5.0999999999999997E-2</v>
      </c>
      <c r="X9" s="327">
        <f>+'20 Year Trend'!F9</f>
        <v>31</v>
      </c>
      <c r="Y9" s="327">
        <f>+'20 Year Trend'!G9</f>
        <v>0</v>
      </c>
      <c r="Z9" s="328">
        <f>+'20 Year Trend'!H9</f>
        <v>98522297.294301718</v>
      </c>
    </row>
    <row r="10" spans="1:26" x14ac:dyDescent="0.3">
      <c r="A10" s="323">
        <f>+'Purchased Power Model '!A10</f>
        <v>37834</v>
      </c>
      <c r="B10" s="324">
        <f>+'Purchased Power Model '!B10</f>
        <v>101507680</v>
      </c>
      <c r="C10" s="325">
        <f>+'Purchased Power Model '!C10</f>
        <v>10.4</v>
      </c>
      <c r="D10" s="325">
        <f>+'Purchased Power Model '!D10</f>
        <v>106.5</v>
      </c>
      <c r="E10" s="326">
        <f>+'Purchased Power Model '!E10</f>
        <v>5.0999999999999997E-2</v>
      </c>
      <c r="F10" s="327">
        <f>+'Purchased Power Model '!F10</f>
        <v>31</v>
      </c>
      <c r="G10" s="327">
        <f>+'Purchased Power Model '!G10</f>
        <v>0</v>
      </c>
      <c r="H10" s="328">
        <f>+'Purchased Power Model '!H10</f>
        <v>105549214.85777354</v>
      </c>
      <c r="J10" s="323">
        <f>+'10 Year Average'!A10</f>
        <v>37834</v>
      </c>
      <c r="K10" s="324">
        <f>+'10 Year Average'!B10</f>
        <v>101507680</v>
      </c>
      <c r="L10" s="325">
        <f>+'10 Year Average'!C10</f>
        <v>10.4</v>
      </c>
      <c r="M10" s="325">
        <f>+'10 Year Average'!D10</f>
        <v>106.5</v>
      </c>
      <c r="N10" s="326">
        <f>+'10 Year Average'!E10</f>
        <v>5.0999999999999997E-2</v>
      </c>
      <c r="O10" s="327">
        <f>+'10 Year Average'!F10</f>
        <v>31</v>
      </c>
      <c r="P10" s="327">
        <f>+'10 Year Average'!G10</f>
        <v>0</v>
      </c>
      <c r="Q10" s="328">
        <f>+'10 Year Average'!H10</f>
        <v>105549214.85777354</v>
      </c>
      <c r="S10" s="323">
        <f>+'20 Year Trend'!A10</f>
        <v>37834</v>
      </c>
      <c r="T10" s="324">
        <f>+'20 Year Trend'!B10</f>
        <v>101507680</v>
      </c>
      <c r="U10" s="325">
        <f>+'20 Year Trend'!C10</f>
        <v>10.4</v>
      </c>
      <c r="V10" s="325">
        <f>+'20 Year Trend'!D10</f>
        <v>106.5</v>
      </c>
      <c r="W10" s="326">
        <f>+'20 Year Trend'!E10</f>
        <v>5.0999999999999997E-2</v>
      </c>
      <c r="X10" s="327">
        <f>+'20 Year Trend'!F10</f>
        <v>31</v>
      </c>
      <c r="Y10" s="327">
        <f>+'20 Year Trend'!G10</f>
        <v>0</v>
      </c>
      <c r="Z10" s="328">
        <f>+'20 Year Trend'!H10</f>
        <v>105549214.85777354</v>
      </c>
    </row>
    <row r="11" spans="1:26" x14ac:dyDescent="0.3">
      <c r="A11" s="323">
        <f>+'Purchased Power Model '!A11</f>
        <v>37865</v>
      </c>
      <c r="B11" s="324">
        <f>+'Purchased Power Model '!B11</f>
        <v>91341000</v>
      </c>
      <c r="C11" s="325">
        <f>+'Purchased Power Model '!C11</f>
        <v>55.2</v>
      </c>
      <c r="D11" s="325">
        <f>+'Purchased Power Model '!D11</f>
        <v>12.1</v>
      </c>
      <c r="E11" s="326">
        <f>+'Purchased Power Model '!E11</f>
        <v>5.0999999999999997E-2</v>
      </c>
      <c r="F11" s="327">
        <f>+'Purchased Power Model '!F11</f>
        <v>30</v>
      </c>
      <c r="G11" s="327">
        <f>+'Purchased Power Model '!G11</f>
        <v>1</v>
      </c>
      <c r="H11" s="328">
        <f>+'Purchased Power Model '!H11</f>
        <v>83900187.669904038</v>
      </c>
      <c r="J11" s="323">
        <f>+'10 Year Average'!A11</f>
        <v>37865</v>
      </c>
      <c r="K11" s="324">
        <f>+'10 Year Average'!B11</f>
        <v>91341000</v>
      </c>
      <c r="L11" s="325">
        <f>+'10 Year Average'!C11</f>
        <v>55.2</v>
      </c>
      <c r="M11" s="325">
        <f>+'10 Year Average'!D11</f>
        <v>12.1</v>
      </c>
      <c r="N11" s="326">
        <f>+'10 Year Average'!E11</f>
        <v>5.0999999999999997E-2</v>
      </c>
      <c r="O11" s="327">
        <f>+'10 Year Average'!F11</f>
        <v>30</v>
      </c>
      <c r="P11" s="327">
        <f>+'10 Year Average'!G11</f>
        <v>1</v>
      </c>
      <c r="Q11" s="328">
        <f>+'10 Year Average'!H11</f>
        <v>83900187.669904038</v>
      </c>
      <c r="S11" s="323">
        <f>+'20 Year Trend'!A11</f>
        <v>37865</v>
      </c>
      <c r="T11" s="324">
        <f>+'20 Year Trend'!B11</f>
        <v>91341000</v>
      </c>
      <c r="U11" s="325">
        <f>+'20 Year Trend'!C11</f>
        <v>55.2</v>
      </c>
      <c r="V11" s="325">
        <f>+'20 Year Trend'!D11</f>
        <v>12.1</v>
      </c>
      <c r="W11" s="326">
        <f>+'20 Year Trend'!E11</f>
        <v>5.0999999999999997E-2</v>
      </c>
      <c r="X11" s="327">
        <f>+'20 Year Trend'!F11</f>
        <v>30</v>
      </c>
      <c r="Y11" s="327">
        <f>+'20 Year Trend'!G11</f>
        <v>1</v>
      </c>
      <c r="Z11" s="328">
        <f>+'20 Year Trend'!H11</f>
        <v>83900187.669904038</v>
      </c>
    </row>
    <row r="12" spans="1:26" x14ac:dyDescent="0.3">
      <c r="A12" s="323">
        <f>+'Purchased Power Model '!A12</f>
        <v>37895</v>
      </c>
      <c r="B12" s="324">
        <f>+'Purchased Power Model '!B12</f>
        <v>95672250</v>
      </c>
      <c r="C12" s="325">
        <f>+'Purchased Power Model '!C12</f>
        <v>289.7</v>
      </c>
      <c r="D12" s="325">
        <f>+'Purchased Power Model '!D12</f>
        <v>0</v>
      </c>
      <c r="E12" s="326">
        <f>+'Purchased Power Model '!E12</f>
        <v>4.8000000000000001E-2</v>
      </c>
      <c r="F12" s="327">
        <f>+'Purchased Power Model '!F12</f>
        <v>31</v>
      </c>
      <c r="G12" s="327">
        <f>+'Purchased Power Model '!G12</f>
        <v>1</v>
      </c>
      <c r="H12" s="328">
        <f>+'Purchased Power Model '!H12</f>
        <v>94865847.206289545</v>
      </c>
      <c r="J12" s="323">
        <f>+'10 Year Average'!A12</f>
        <v>37895</v>
      </c>
      <c r="K12" s="324">
        <f>+'10 Year Average'!B12</f>
        <v>95672250</v>
      </c>
      <c r="L12" s="325">
        <f>+'10 Year Average'!C12</f>
        <v>289.7</v>
      </c>
      <c r="M12" s="325">
        <f>+'10 Year Average'!D12</f>
        <v>0</v>
      </c>
      <c r="N12" s="326">
        <f>+'10 Year Average'!E12</f>
        <v>4.8000000000000001E-2</v>
      </c>
      <c r="O12" s="327">
        <f>+'10 Year Average'!F12</f>
        <v>31</v>
      </c>
      <c r="P12" s="327">
        <f>+'10 Year Average'!G12</f>
        <v>1</v>
      </c>
      <c r="Q12" s="328">
        <f>+'10 Year Average'!H12</f>
        <v>94865847.206289545</v>
      </c>
      <c r="S12" s="323">
        <f>+'20 Year Trend'!A12</f>
        <v>37895</v>
      </c>
      <c r="T12" s="324">
        <f>+'20 Year Trend'!B12</f>
        <v>95672250</v>
      </c>
      <c r="U12" s="325">
        <f>+'20 Year Trend'!C12</f>
        <v>289.7</v>
      </c>
      <c r="V12" s="325">
        <f>+'20 Year Trend'!D12</f>
        <v>0</v>
      </c>
      <c r="W12" s="326">
        <f>+'20 Year Trend'!E12</f>
        <v>4.8000000000000001E-2</v>
      </c>
      <c r="X12" s="327">
        <f>+'20 Year Trend'!F12</f>
        <v>31</v>
      </c>
      <c r="Y12" s="327">
        <f>+'20 Year Trend'!G12</f>
        <v>1</v>
      </c>
      <c r="Z12" s="328">
        <f>+'20 Year Trend'!H12</f>
        <v>94865847.206289545</v>
      </c>
    </row>
    <row r="13" spans="1:26" x14ac:dyDescent="0.3">
      <c r="A13" s="323">
        <f>+'Purchased Power Model '!A13</f>
        <v>37926</v>
      </c>
      <c r="B13" s="324">
        <f>+'Purchased Power Model '!B13</f>
        <v>101404920</v>
      </c>
      <c r="C13" s="325">
        <f>+'Purchased Power Model '!C13</f>
        <v>387.6</v>
      </c>
      <c r="D13" s="325">
        <f>+'Purchased Power Model '!D13</f>
        <v>0</v>
      </c>
      <c r="E13" s="326">
        <f>+'Purchased Power Model '!E13</f>
        <v>4.8000000000000001E-2</v>
      </c>
      <c r="F13" s="327">
        <f>+'Purchased Power Model '!F13</f>
        <v>30</v>
      </c>
      <c r="G13" s="327">
        <f>+'Purchased Power Model '!G13</f>
        <v>1</v>
      </c>
      <c r="H13" s="328">
        <f>+'Purchased Power Model '!H13</f>
        <v>96037013.229520619</v>
      </c>
      <c r="J13" s="323">
        <f>+'10 Year Average'!A13</f>
        <v>37926</v>
      </c>
      <c r="K13" s="324">
        <f>+'10 Year Average'!B13</f>
        <v>101404920</v>
      </c>
      <c r="L13" s="325">
        <f>+'10 Year Average'!C13</f>
        <v>387.6</v>
      </c>
      <c r="M13" s="325">
        <f>+'10 Year Average'!D13</f>
        <v>0</v>
      </c>
      <c r="N13" s="326">
        <f>+'10 Year Average'!E13</f>
        <v>4.8000000000000001E-2</v>
      </c>
      <c r="O13" s="327">
        <f>+'10 Year Average'!F13</f>
        <v>30</v>
      </c>
      <c r="P13" s="327">
        <f>+'10 Year Average'!G13</f>
        <v>1</v>
      </c>
      <c r="Q13" s="328">
        <f>+'10 Year Average'!H13</f>
        <v>96037013.229520619</v>
      </c>
      <c r="S13" s="323">
        <f>+'20 Year Trend'!A13</f>
        <v>37926</v>
      </c>
      <c r="T13" s="324">
        <f>+'20 Year Trend'!B13</f>
        <v>101404920</v>
      </c>
      <c r="U13" s="325">
        <f>+'20 Year Trend'!C13</f>
        <v>387.6</v>
      </c>
      <c r="V13" s="325">
        <f>+'20 Year Trend'!D13</f>
        <v>0</v>
      </c>
      <c r="W13" s="326">
        <f>+'20 Year Trend'!E13</f>
        <v>4.8000000000000001E-2</v>
      </c>
      <c r="X13" s="327">
        <f>+'20 Year Trend'!F13</f>
        <v>30</v>
      </c>
      <c r="Y13" s="327">
        <f>+'20 Year Trend'!G13</f>
        <v>1</v>
      </c>
      <c r="Z13" s="328">
        <f>+'20 Year Trend'!H13</f>
        <v>96037013.229520619</v>
      </c>
    </row>
    <row r="14" spans="1:26" x14ac:dyDescent="0.3">
      <c r="A14" s="323">
        <f>+'Purchased Power Model '!A14</f>
        <v>37956</v>
      </c>
      <c r="B14" s="324">
        <f>+'Purchased Power Model '!B14</f>
        <v>112847240</v>
      </c>
      <c r="C14" s="325">
        <f>+'Purchased Power Model '!C14</f>
        <v>548.20000000000005</v>
      </c>
      <c r="D14" s="325">
        <f>+'Purchased Power Model '!D14</f>
        <v>0</v>
      </c>
      <c r="E14" s="326">
        <f>+'Purchased Power Model '!E14</f>
        <v>4.8000000000000001E-2</v>
      </c>
      <c r="F14" s="327">
        <f>+'Purchased Power Model '!F14</f>
        <v>31</v>
      </c>
      <c r="G14" s="327">
        <f>+'Purchased Power Model '!G14</f>
        <v>0</v>
      </c>
      <c r="H14" s="328">
        <f>+'Purchased Power Model '!H14</f>
        <v>112424725.14902994</v>
      </c>
      <c r="J14" s="323">
        <f>+'10 Year Average'!A14</f>
        <v>37956</v>
      </c>
      <c r="K14" s="324">
        <f>+'10 Year Average'!B14</f>
        <v>112847240</v>
      </c>
      <c r="L14" s="325">
        <f>+'10 Year Average'!C14</f>
        <v>548.20000000000005</v>
      </c>
      <c r="M14" s="325">
        <f>+'10 Year Average'!D14</f>
        <v>0</v>
      </c>
      <c r="N14" s="326">
        <f>+'10 Year Average'!E14</f>
        <v>4.8000000000000001E-2</v>
      </c>
      <c r="O14" s="327">
        <f>+'10 Year Average'!F14</f>
        <v>31</v>
      </c>
      <c r="P14" s="327">
        <f>+'10 Year Average'!G14</f>
        <v>0</v>
      </c>
      <c r="Q14" s="328">
        <f>+'10 Year Average'!H14</f>
        <v>112424725.14902994</v>
      </c>
      <c r="S14" s="323">
        <f>+'20 Year Trend'!A14</f>
        <v>37956</v>
      </c>
      <c r="T14" s="324">
        <f>+'20 Year Trend'!B14</f>
        <v>112847240</v>
      </c>
      <c r="U14" s="325">
        <f>+'20 Year Trend'!C14</f>
        <v>548.20000000000005</v>
      </c>
      <c r="V14" s="325">
        <f>+'20 Year Trend'!D14</f>
        <v>0</v>
      </c>
      <c r="W14" s="326">
        <f>+'20 Year Trend'!E14</f>
        <v>4.8000000000000001E-2</v>
      </c>
      <c r="X14" s="327">
        <f>+'20 Year Trend'!F14</f>
        <v>31</v>
      </c>
      <c r="Y14" s="327">
        <f>+'20 Year Trend'!G14</f>
        <v>0</v>
      </c>
      <c r="Z14" s="328">
        <f>+'20 Year Trend'!H14</f>
        <v>112424725.14902994</v>
      </c>
    </row>
    <row r="15" spans="1:26" x14ac:dyDescent="0.3">
      <c r="A15" s="323">
        <f>+'Purchased Power Model '!A15</f>
        <v>37987</v>
      </c>
      <c r="B15" s="324">
        <f>+'Purchased Power Model '!B15</f>
        <v>127196340</v>
      </c>
      <c r="C15" s="325">
        <f>+'Purchased Power Model '!C15</f>
        <v>828.8</v>
      </c>
      <c r="D15" s="325">
        <f>+'Purchased Power Model '!D15</f>
        <v>0</v>
      </c>
      <c r="E15" s="326">
        <f>+'Purchased Power Model '!E15</f>
        <v>5.0999999999999997E-2</v>
      </c>
      <c r="F15" s="327">
        <f>+'Purchased Power Model '!F15</f>
        <v>31</v>
      </c>
      <c r="G15" s="327">
        <f>+'Purchased Power Model '!G15</f>
        <v>0</v>
      </c>
      <c r="H15" s="328">
        <f>+'Purchased Power Model '!H15</f>
        <v>123470519.50837895</v>
      </c>
      <c r="J15" s="323">
        <f>+'10 Year Average'!A15</f>
        <v>37987</v>
      </c>
      <c r="K15" s="324">
        <f>+'10 Year Average'!B15</f>
        <v>127196340</v>
      </c>
      <c r="L15" s="325">
        <f>+'10 Year Average'!C15</f>
        <v>828.8</v>
      </c>
      <c r="M15" s="325">
        <f>+'10 Year Average'!D15</f>
        <v>0</v>
      </c>
      <c r="N15" s="326">
        <f>+'10 Year Average'!E15</f>
        <v>5.0999999999999997E-2</v>
      </c>
      <c r="O15" s="327">
        <f>+'10 Year Average'!F15</f>
        <v>31</v>
      </c>
      <c r="P15" s="327">
        <f>+'10 Year Average'!G15</f>
        <v>0</v>
      </c>
      <c r="Q15" s="328">
        <f>+'10 Year Average'!H15</f>
        <v>123470519.50837895</v>
      </c>
      <c r="S15" s="323">
        <f>+'20 Year Trend'!A15</f>
        <v>37987</v>
      </c>
      <c r="T15" s="324">
        <f>+'20 Year Trend'!B15</f>
        <v>127196340</v>
      </c>
      <c r="U15" s="325">
        <f>+'20 Year Trend'!C15</f>
        <v>828.8</v>
      </c>
      <c r="V15" s="325">
        <f>+'20 Year Trend'!D15</f>
        <v>0</v>
      </c>
      <c r="W15" s="326">
        <f>+'20 Year Trend'!E15</f>
        <v>5.0999999999999997E-2</v>
      </c>
      <c r="X15" s="327">
        <f>+'20 Year Trend'!F15</f>
        <v>31</v>
      </c>
      <c r="Y15" s="327">
        <f>+'20 Year Trend'!G15</f>
        <v>0</v>
      </c>
      <c r="Z15" s="328">
        <f>+'20 Year Trend'!H15</f>
        <v>123470519.50837895</v>
      </c>
    </row>
    <row r="16" spans="1:26" x14ac:dyDescent="0.3">
      <c r="A16" s="323">
        <f>+'Purchased Power Model '!A16</f>
        <v>38018</v>
      </c>
      <c r="B16" s="324">
        <f>+'Purchased Power Model '!B16</f>
        <v>108928270</v>
      </c>
      <c r="C16" s="325">
        <f>+'Purchased Power Model '!C16</f>
        <v>615.6</v>
      </c>
      <c r="D16" s="325">
        <f>+'Purchased Power Model '!D16</f>
        <v>0</v>
      </c>
      <c r="E16" s="326">
        <f>+'Purchased Power Model '!E16</f>
        <v>5.0999999999999997E-2</v>
      </c>
      <c r="F16" s="327">
        <f>+'Purchased Power Model '!F16</f>
        <v>29</v>
      </c>
      <c r="G16" s="327">
        <f>+'Purchased Power Model '!G16</f>
        <v>0</v>
      </c>
      <c r="H16" s="328">
        <f>+'Purchased Power Model '!H16</f>
        <v>109180882.07684086</v>
      </c>
      <c r="J16" s="323">
        <f>+'10 Year Average'!A16</f>
        <v>38018</v>
      </c>
      <c r="K16" s="324">
        <f>+'10 Year Average'!B16</f>
        <v>108928270</v>
      </c>
      <c r="L16" s="325">
        <f>+'10 Year Average'!C16</f>
        <v>615.6</v>
      </c>
      <c r="M16" s="325">
        <f>+'10 Year Average'!D16</f>
        <v>0</v>
      </c>
      <c r="N16" s="326">
        <f>+'10 Year Average'!E16</f>
        <v>5.0999999999999997E-2</v>
      </c>
      <c r="O16" s="327">
        <f>+'10 Year Average'!F16</f>
        <v>29</v>
      </c>
      <c r="P16" s="327">
        <f>+'10 Year Average'!G16</f>
        <v>0</v>
      </c>
      <c r="Q16" s="328">
        <f>+'10 Year Average'!H16</f>
        <v>109180882.07684086</v>
      </c>
      <c r="S16" s="323">
        <f>+'20 Year Trend'!A16</f>
        <v>38018</v>
      </c>
      <c r="T16" s="324">
        <f>+'20 Year Trend'!B16</f>
        <v>108928270</v>
      </c>
      <c r="U16" s="325">
        <f>+'20 Year Trend'!C16</f>
        <v>615.6</v>
      </c>
      <c r="V16" s="325">
        <f>+'20 Year Trend'!D16</f>
        <v>0</v>
      </c>
      <c r="W16" s="326">
        <f>+'20 Year Trend'!E16</f>
        <v>5.0999999999999997E-2</v>
      </c>
      <c r="X16" s="327">
        <f>+'20 Year Trend'!F16</f>
        <v>29</v>
      </c>
      <c r="Y16" s="327">
        <f>+'20 Year Trend'!G16</f>
        <v>0</v>
      </c>
      <c r="Z16" s="328">
        <f>+'20 Year Trend'!H16</f>
        <v>109180882.07684086</v>
      </c>
    </row>
    <row r="17" spans="1:26" x14ac:dyDescent="0.3">
      <c r="A17" s="323">
        <f>+'Purchased Power Model '!A17</f>
        <v>38047</v>
      </c>
      <c r="B17" s="324">
        <f>+'Purchased Power Model '!B17</f>
        <v>105064150</v>
      </c>
      <c r="C17" s="325">
        <f>+'Purchased Power Model '!C17</f>
        <v>487.1</v>
      </c>
      <c r="D17" s="325">
        <f>+'Purchased Power Model '!D17</f>
        <v>0</v>
      </c>
      <c r="E17" s="326">
        <f>+'Purchased Power Model '!E17</f>
        <v>5.0999999999999997E-2</v>
      </c>
      <c r="F17" s="327">
        <f>+'Purchased Power Model '!F17</f>
        <v>31</v>
      </c>
      <c r="G17" s="327">
        <f>+'Purchased Power Model '!G17</f>
        <v>1</v>
      </c>
      <c r="H17" s="328">
        <f>+'Purchased Power Model '!H17</f>
        <v>102528316.72317006</v>
      </c>
      <c r="J17" s="323">
        <f>+'10 Year Average'!A17</f>
        <v>38047</v>
      </c>
      <c r="K17" s="324">
        <f>+'10 Year Average'!B17</f>
        <v>105064150</v>
      </c>
      <c r="L17" s="325">
        <f>+'10 Year Average'!C17</f>
        <v>487.1</v>
      </c>
      <c r="M17" s="325">
        <f>+'10 Year Average'!D17</f>
        <v>0</v>
      </c>
      <c r="N17" s="326">
        <f>+'10 Year Average'!E17</f>
        <v>5.0999999999999997E-2</v>
      </c>
      <c r="O17" s="327">
        <f>+'10 Year Average'!F17</f>
        <v>31</v>
      </c>
      <c r="P17" s="327">
        <f>+'10 Year Average'!G17</f>
        <v>1</v>
      </c>
      <c r="Q17" s="328">
        <f>+'10 Year Average'!H17</f>
        <v>102528316.72317006</v>
      </c>
      <c r="S17" s="323">
        <f>+'20 Year Trend'!A17</f>
        <v>38047</v>
      </c>
      <c r="T17" s="324">
        <f>+'20 Year Trend'!B17</f>
        <v>105064150</v>
      </c>
      <c r="U17" s="325">
        <f>+'20 Year Trend'!C17</f>
        <v>487.1</v>
      </c>
      <c r="V17" s="325">
        <f>+'20 Year Trend'!D17</f>
        <v>0</v>
      </c>
      <c r="W17" s="326">
        <f>+'20 Year Trend'!E17</f>
        <v>5.0999999999999997E-2</v>
      </c>
      <c r="X17" s="327">
        <f>+'20 Year Trend'!F17</f>
        <v>31</v>
      </c>
      <c r="Y17" s="327">
        <f>+'20 Year Trend'!G17</f>
        <v>1</v>
      </c>
      <c r="Z17" s="328">
        <f>+'20 Year Trend'!H17</f>
        <v>102528316.72317006</v>
      </c>
    </row>
    <row r="18" spans="1:26" x14ac:dyDescent="0.3">
      <c r="A18" s="323">
        <f>+'Purchased Power Model '!A18</f>
        <v>38078</v>
      </c>
      <c r="B18" s="324">
        <f>+'Purchased Power Model '!B18</f>
        <v>91322380</v>
      </c>
      <c r="C18" s="325">
        <f>+'Purchased Power Model '!C18</f>
        <v>345</v>
      </c>
      <c r="D18" s="325">
        <f>+'Purchased Power Model '!D18</f>
        <v>0</v>
      </c>
      <c r="E18" s="326">
        <f>+'Purchased Power Model '!E18</f>
        <v>5.2999999999999999E-2</v>
      </c>
      <c r="F18" s="327">
        <f>+'Purchased Power Model '!F18</f>
        <v>30</v>
      </c>
      <c r="G18" s="327">
        <f>+'Purchased Power Model '!G18</f>
        <v>1</v>
      </c>
      <c r="H18" s="328">
        <f>+'Purchased Power Model '!H18</f>
        <v>93696695.860283449</v>
      </c>
      <c r="J18" s="323">
        <f>+'10 Year Average'!A18</f>
        <v>38078</v>
      </c>
      <c r="K18" s="324">
        <f>+'10 Year Average'!B18</f>
        <v>91322380</v>
      </c>
      <c r="L18" s="325">
        <f>+'10 Year Average'!C18</f>
        <v>345</v>
      </c>
      <c r="M18" s="325">
        <f>+'10 Year Average'!D18</f>
        <v>0</v>
      </c>
      <c r="N18" s="326">
        <f>+'10 Year Average'!E18</f>
        <v>5.2999999999999999E-2</v>
      </c>
      <c r="O18" s="327">
        <f>+'10 Year Average'!F18</f>
        <v>30</v>
      </c>
      <c r="P18" s="327">
        <f>+'10 Year Average'!G18</f>
        <v>1</v>
      </c>
      <c r="Q18" s="328">
        <f>+'10 Year Average'!H18</f>
        <v>93696695.860283449</v>
      </c>
      <c r="S18" s="323">
        <f>+'20 Year Trend'!A18</f>
        <v>38078</v>
      </c>
      <c r="T18" s="324">
        <f>+'20 Year Trend'!B18</f>
        <v>91322380</v>
      </c>
      <c r="U18" s="325">
        <f>+'20 Year Trend'!C18</f>
        <v>345</v>
      </c>
      <c r="V18" s="325">
        <f>+'20 Year Trend'!D18</f>
        <v>0</v>
      </c>
      <c r="W18" s="326">
        <f>+'20 Year Trend'!E18</f>
        <v>5.2999999999999999E-2</v>
      </c>
      <c r="X18" s="327">
        <f>+'20 Year Trend'!F18</f>
        <v>30</v>
      </c>
      <c r="Y18" s="327">
        <f>+'20 Year Trend'!G18</f>
        <v>1</v>
      </c>
      <c r="Z18" s="328">
        <f>+'20 Year Trend'!H18</f>
        <v>93696695.860283449</v>
      </c>
    </row>
    <row r="19" spans="1:26" x14ac:dyDescent="0.3">
      <c r="A19" s="323">
        <f>+'Purchased Power Model '!A19</f>
        <v>38108</v>
      </c>
      <c r="B19" s="324">
        <f>+'Purchased Power Model '!B19</f>
        <v>86885250</v>
      </c>
      <c r="C19" s="325">
        <f>+'Purchased Power Model '!C19</f>
        <v>177.5</v>
      </c>
      <c r="D19" s="325">
        <f>+'Purchased Power Model '!D19</f>
        <v>0</v>
      </c>
      <c r="E19" s="326">
        <f>+'Purchased Power Model '!E19</f>
        <v>5.2999999999999999E-2</v>
      </c>
      <c r="F19" s="327">
        <f>+'Purchased Power Model '!F19</f>
        <v>31</v>
      </c>
      <c r="G19" s="327">
        <f>+'Purchased Power Model '!G19</f>
        <v>1</v>
      </c>
      <c r="H19" s="328">
        <f>+'Purchased Power Model '!H19</f>
        <v>89695248.478448913</v>
      </c>
      <c r="J19" s="323">
        <f>+'10 Year Average'!A19</f>
        <v>38108</v>
      </c>
      <c r="K19" s="324">
        <f>+'10 Year Average'!B19</f>
        <v>86885250</v>
      </c>
      <c r="L19" s="325">
        <f>+'10 Year Average'!C19</f>
        <v>177.5</v>
      </c>
      <c r="M19" s="325">
        <f>+'10 Year Average'!D19</f>
        <v>0</v>
      </c>
      <c r="N19" s="326">
        <f>+'10 Year Average'!E19</f>
        <v>5.2999999999999999E-2</v>
      </c>
      <c r="O19" s="327">
        <f>+'10 Year Average'!F19</f>
        <v>31</v>
      </c>
      <c r="P19" s="327">
        <f>+'10 Year Average'!G19</f>
        <v>1</v>
      </c>
      <c r="Q19" s="328">
        <f>+'10 Year Average'!H19</f>
        <v>89695248.478448913</v>
      </c>
      <c r="S19" s="323">
        <f>+'20 Year Trend'!A19</f>
        <v>38108</v>
      </c>
      <c r="T19" s="324">
        <f>+'20 Year Trend'!B19</f>
        <v>86885250</v>
      </c>
      <c r="U19" s="325">
        <f>+'20 Year Trend'!C19</f>
        <v>177.5</v>
      </c>
      <c r="V19" s="325">
        <f>+'20 Year Trend'!D19</f>
        <v>0</v>
      </c>
      <c r="W19" s="326">
        <f>+'20 Year Trend'!E19</f>
        <v>5.2999999999999999E-2</v>
      </c>
      <c r="X19" s="327">
        <f>+'20 Year Trend'!F19</f>
        <v>31</v>
      </c>
      <c r="Y19" s="327">
        <f>+'20 Year Trend'!G19</f>
        <v>1</v>
      </c>
      <c r="Z19" s="328">
        <f>+'20 Year Trend'!H19</f>
        <v>89695248.478448913</v>
      </c>
    </row>
    <row r="20" spans="1:26" x14ac:dyDescent="0.3">
      <c r="A20" s="323">
        <f>+'Purchased Power Model '!A20</f>
        <v>38139</v>
      </c>
      <c r="B20" s="324">
        <f>+'Purchased Power Model '!B20</f>
        <v>86876500</v>
      </c>
      <c r="C20" s="325">
        <f>+'Purchased Power Model '!C20</f>
        <v>73.2</v>
      </c>
      <c r="D20" s="325">
        <f>+'Purchased Power Model '!D20</f>
        <v>15.6</v>
      </c>
      <c r="E20" s="326">
        <f>+'Purchased Power Model '!E20</f>
        <v>5.2999999999999999E-2</v>
      </c>
      <c r="F20" s="327">
        <f>+'Purchased Power Model '!F20</f>
        <v>30</v>
      </c>
      <c r="G20" s="327">
        <f>+'Purchased Power Model '!G20</f>
        <v>0</v>
      </c>
      <c r="H20" s="328">
        <f>+'Purchased Power Model '!H20</f>
        <v>91940698.837199494</v>
      </c>
      <c r="J20" s="323">
        <f>+'10 Year Average'!A20</f>
        <v>38139</v>
      </c>
      <c r="K20" s="324">
        <f>+'10 Year Average'!B20</f>
        <v>86876500</v>
      </c>
      <c r="L20" s="325">
        <f>+'10 Year Average'!C20</f>
        <v>73.2</v>
      </c>
      <c r="M20" s="325">
        <f>+'10 Year Average'!D20</f>
        <v>15.6</v>
      </c>
      <c r="N20" s="326">
        <f>+'10 Year Average'!E20</f>
        <v>5.2999999999999999E-2</v>
      </c>
      <c r="O20" s="327">
        <f>+'10 Year Average'!F20</f>
        <v>30</v>
      </c>
      <c r="P20" s="327">
        <f>+'10 Year Average'!G20</f>
        <v>0</v>
      </c>
      <c r="Q20" s="328">
        <f>+'10 Year Average'!H20</f>
        <v>91940698.837199494</v>
      </c>
      <c r="S20" s="323">
        <f>+'20 Year Trend'!A20</f>
        <v>38139</v>
      </c>
      <c r="T20" s="324">
        <f>+'20 Year Trend'!B20</f>
        <v>86876500</v>
      </c>
      <c r="U20" s="325">
        <f>+'20 Year Trend'!C20</f>
        <v>73.2</v>
      </c>
      <c r="V20" s="325">
        <f>+'20 Year Trend'!D20</f>
        <v>15.6</v>
      </c>
      <c r="W20" s="326">
        <f>+'20 Year Trend'!E20</f>
        <v>5.2999999999999999E-2</v>
      </c>
      <c r="X20" s="327">
        <f>+'20 Year Trend'!F20</f>
        <v>30</v>
      </c>
      <c r="Y20" s="327">
        <f>+'20 Year Trend'!G20</f>
        <v>0</v>
      </c>
      <c r="Z20" s="328">
        <f>+'20 Year Trend'!H20</f>
        <v>91940698.837199494</v>
      </c>
    </row>
    <row r="21" spans="1:26" x14ac:dyDescent="0.3">
      <c r="A21" s="323">
        <f>+'Purchased Power Model '!A21</f>
        <v>38169</v>
      </c>
      <c r="B21" s="324">
        <f>+'Purchased Power Model '!B21</f>
        <v>92903530</v>
      </c>
      <c r="C21" s="325">
        <f>+'Purchased Power Model '!C21</f>
        <v>2</v>
      </c>
      <c r="D21" s="325">
        <f>+'Purchased Power Model '!D21</f>
        <v>69.3</v>
      </c>
      <c r="E21" s="326">
        <f>+'Purchased Power Model '!E21</f>
        <v>5.2999999999999999E-2</v>
      </c>
      <c r="F21" s="327">
        <f>+'Purchased Power Model '!F21</f>
        <v>31</v>
      </c>
      <c r="G21" s="327">
        <f>+'Purchased Power Model '!G21</f>
        <v>0</v>
      </c>
      <c r="H21" s="328">
        <f>+'Purchased Power Model '!H21</f>
        <v>99599634.207571</v>
      </c>
      <c r="J21" s="323">
        <f>+'10 Year Average'!A21</f>
        <v>38169</v>
      </c>
      <c r="K21" s="324">
        <f>+'10 Year Average'!B21</f>
        <v>92903530</v>
      </c>
      <c r="L21" s="325">
        <f>+'10 Year Average'!C21</f>
        <v>2</v>
      </c>
      <c r="M21" s="325">
        <f>+'10 Year Average'!D21</f>
        <v>69.3</v>
      </c>
      <c r="N21" s="326">
        <f>+'10 Year Average'!E21</f>
        <v>5.2999999999999999E-2</v>
      </c>
      <c r="O21" s="327">
        <f>+'10 Year Average'!F21</f>
        <v>31</v>
      </c>
      <c r="P21" s="327">
        <f>+'10 Year Average'!G21</f>
        <v>0</v>
      </c>
      <c r="Q21" s="328">
        <f>+'10 Year Average'!H21</f>
        <v>99599634.207571</v>
      </c>
      <c r="S21" s="323">
        <f>+'20 Year Trend'!A21</f>
        <v>38169</v>
      </c>
      <c r="T21" s="324">
        <f>+'20 Year Trend'!B21</f>
        <v>92903530</v>
      </c>
      <c r="U21" s="325">
        <f>+'20 Year Trend'!C21</f>
        <v>2</v>
      </c>
      <c r="V21" s="325">
        <f>+'20 Year Trend'!D21</f>
        <v>69.3</v>
      </c>
      <c r="W21" s="326">
        <f>+'20 Year Trend'!E21</f>
        <v>5.2999999999999999E-2</v>
      </c>
      <c r="X21" s="327">
        <f>+'20 Year Trend'!F21</f>
        <v>31</v>
      </c>
      <c r="Y21" s="327">
        <f>+'20 Year Trend'!G21</f>
        <v>0</v>
      </c>
      <c r="Z21" s="328">
        <f>+'20 Year Trend'!H21</f>
        <v>99599634.207571</v>
      </c>
    </row>
    <row r="22" spans="1:26" x14ac:dyDescent="0.3">
      <c r="A22" s="323">
        <f>+'Purchased Power Model '!A22</f>
        <v>38200</v>
      </c>
      <c r="B22" s="324">
        <f>+'Purchased Power Model '!B22</f>
        <v>94121760</v>
      </c>
      <c r="C22" s="325">
        <f>+'Purchased Power Model '!C22</f>
        <v>19.600000000000001</v>
      </c>
      <c r="D22" s="325">
        <f>+'Purchased Power Model '!D22</f>
        <v>53.6</v>
      </c>
      <c r="E22" s="326">
        <f>+'Purchased Power Model '!E22</f>
        <v>5.2999999999999999E-2</v>
      </c>
      <c r="F22" s="327">
        <f>+'Purchased Power Model '!F22</f>
        <v>31</v>
      </c>
      <c r="G22" s="327">
        <f>+'Purchased Power Model '!G22</f>
        <v>0</v>
      </c>
      <c r="H22" s="328">
        <f>+'Purchased Power Model '!H22</f>
        <v>98051161.628304228</v>
      </c>
      <c r="J22" s="323">
        <f>+'10 Year Average'!A22</f>
        <v>38200</v>
      </c>
      <c r="K22" s="324">
        <f>+'10 Year Average'!B22</f>
        <v>94121760</v>
      </c>
      <c r="L22" s="325">
        <f>+'10 Year Average'!C22</f>
        <v>19.600000000000001</v>
      </c>
      <c r="M22" s="325">
        <f>+'10 Year Average'!D22</f>
        <v>53.6</v>
      </c>
      <c r="N22" s="326">
        <f>+'10 Year Average'!E22</f>
        <v>5.2999999999999999E-2</v>
      </c>
      <c r="O22" s="327">
        <f>+'10 Year Average'!F22</f>
        <v>31</v>
      </c>
      <c r="P22" s="327">
        <f>+'10 Year Average'!G22</f>
        <v>0</v>
      </c>
      <c r="Q22" s="328">
        <f>+'10 Year Average'!H22</f>
        <v>98051161.628304228</v>
      </c>
      <c r="S22" s="323">
        <f>+'20 Year Trend'!A22</f>
        <v>38200</v>
      </c>
      <c r="T22" s="324">
        <f>+'20 Year Trend'!B22</f>
        <v>94121760</v>
      </c>
      <c r="U22" s="325">
        <f>+'20 Year Trend'!C22</f>
        <v>19.600000000000001</v>
      </c>
      <c r="V22" s="325">
        <f>+'20 Year Trend'!D22</f>
        <v>53.6</v>
      </c>
      <c r="W22" s="326">
        <f>+'20 Year Trend'!E22</f>
        <v>5.2999999999999999E-2</v>
      </c>
      <c r="X22" s="327">
        <f>+'20 Year Trend'!F22</f>
        <v>31</v>
      </c>
      <c r="Y22" s="327">
        <f>+'20 Year Trend'!G22</f>
        <v>0</v>
      </c>
      <c r="Z22" s="328">
        <f>+'20 Year Trend'!H22</f>
        <v>98051161.628304228</v>
      </c>
    </row>
    <row r="23" spans="1:26" x14ac:dyDescent="0.3">
      <c r="A23" s="323">
        <f>+'Purchased Power Model '!A23</f>
        <v>38231</v>
      </c>
      <c r="B23" s="324">
        <f>+'Purchased Power Model '!B23</f>
        <v>88536700</v>
      </c>
      <c r="C23" s="325">
        <f>+'Purchased Power Model '!C23</f>
        <v>41.7</v>
      </c>
      <c r="D23" s="325">
        <f>+'Purchased Power Model '!D23</f>
        <v>26.7</v>
      </c>
      <c r="E23" s="326">
        <f>+'Purchased Power Model '!E23</f>
        <v>5.2999999999999999E-2</v>
      </c>
      <c r="F23" s="327">
        <f>+'Purchased Power Model '!F23</f>
        <v>30</v>
      </c>
      <c r="G23" s="327">
        <f>+'Purchased Power Model '!G23</f>
        <v>1</v>
      </c>
      <c r="H23" s="328">
        <f>+'Purchased Power Model '!H23</f>
        <v>85213554.07037057</v>
      </c>
      <c r="J23" s="323">
        <f>+'10 Year Average'!A23</f>
        <v>38231</v>
      </c>
      <c r="K23" s="324">
        <f>+'10 Year Average'!B23</f>
        <v>88536700</v>
      </c>
      <c r="L23" s="325">
        <f>+'10 Year Average'!C23</f>
        <v>41.7</v>
      </c>
      <c r="M23" s="325">
        <f>+'10 Year Average'!D23</f>
        <v>26.7</v>
      </c>
      <c r="N23" s="326">
        <f>+'10 Year Average'!E23</f>
        <v>5.2999999999999999E-2</v>
      </c>
      <c r="O23" s="327">
        <f>+'10 Year Average'!F23</f>
        <v>30</v>
      </c>
      <c r="P23" s="327">
        <f>+'10 Year Average'!G23</f>
        <v>1</v>
      </c>
      <c r="Q23" s="328">
        <f>+'10 Year Average'!H23</f>
        <v>85213554.07037057</v>
      </c>
      <c r="S23" s="323">
        <f>+'20 Year Trend'!A23</f>
        <v>38231</v>
      </c>
      <c r="T23" s="324">
        <f>+'20 Year Trend'!B23</f>
        <v>88536700</v>
      </c>
      <c r="U23" s="325">
        <f>+'20 Year Trend'!C23</f>
        <v>41.7</v>
      </c>
      <c r="V23" s="325">
        <f>+'20 Year Trend'!D23</f>
        <v>26.7</v>
      </c>
      <c r="W23" s="326">
        <f>+'20 Year Trend'!E23</f>
        <v>5.2999999999999999E-2</v>
      </c>
      <c r="X23" s="327">
        <f>+'20 Year Trend'!F23</f>
        <v>30</v>
      </c>
      <c r="Y23" s="327">
        <f>+'20 Year Trend'!G23</f>
        <v>1</v>
      </c>
      <c r="Z23" s="328">
        <f>+'20 Year Trend'!H23</f>
        <v>85213554.07037057</v>
      </c>
    </row>
    <row r="24" spans="1:26" x14ac:dyDescent="0.3">
      <c r="A24" s="323">
        <f>+'Purchased Power Model '!A24</f>
        <v>38261</v>
      </c>
      <c r="B24" s="324">
        <f>+'Purchased Power Model '!B24</f>
        <v>88377710</v>
      </c>
      <c r="C24" s="325">
        <f>+'Purchased Power Model '!C24</f>
        <v>235</v>
      </c>
      <c r="D24" s="325">
        <f>+'Purchased Power Model '!D24</f>
        <v>0</v>
      </c>
      <c r="E24" s="326">
        <f>+'Purchased Power Model '!E24</f>
        <v>5.7999999999999996E-2</v>
      </c>
      <c r="F24" s="327">
        <f>+'Purchased Power Model '!F24</f>
        <v>31</v>
      </c>
      <c r="G24" s="327">
        <f>+'Purchased Power Model '!G24</f>
        <v>1</v>
      </c>
      <c r="H24" s="328">
        <f>+'Purchased Power Model '!H24</f>
        <v>91425493.810306668</v>
      </c>
      <c r="J24" s="323">
        <f>+'10 Year Average'!A24</f>
        <v>38261</v>
      </c>
      <c r="K24" s="324">
        <f>+'10 Year Average'!B24</f>
        <v>88377710</v>
      </c>
      <c r="L24" s="325">
        <f>+'10 Year Average'!C24</f>
        <v>235</v>
      </c>
      <c r="M24" s="325">
        <f>+'10 Year Average'!D24</f>
        <v>0</v>
      </c>
      <c r="N24" s="326">
        <f>+'10 Year Average'!E24</f>
        <v>5.7999999999999996E-2</v>
      </c>
      <c r="O24" s="327">
        <f>+'10 Year Average'!F24</f>
        <v>31</v>
      </c>
      <c r="P24" s="327">
        <f>+'10 Year Average'!G24</f>
        <v>1</v>
      </c>
      <c r="Q24" s="328">
        <f>+'10 Year Average'!H24</f>
        <v>91425493.810306668</v>
      </c>
      <c r="S24" s="323">
        <f>+'20 Year Trend'!A24</f>
        <v>38261</v>
      </c>
      <c r="T24" s="324">
        <f>+'20 Year Trend'!B24</f>
        <v>88377710</v>
      </c>
      <c r="U24" s="325">
        <f>+'20 Year Trend'!C24</f>
        <v>235</v>
      </c>
      <c r="V24" s="325">
        <f>+'20 Year Trend'!D24</f>
        <v>0</v>
      </c>
      <c r="W24" s="326">
        <f>+'20 Year Trend'!E24</f>
        <v>5.7999999999999996E-2</v>
      </c>
      <c r="X24" s="327">
        <f>+'20 Year Trend'!F24</f>
        <v>31</v>
      </c>
      <c r="Y24" s="327">
        <f>+'20 Year Trend'!G24</f>
        <v>1</v>
      </c>
      <c r="Z24" s="328">
        <f>+'20 Year Trend'!H24</f>
        <v>91425493.810306668</v>
      </c>
    </row>
    <row r="25" spans="1:26" x14ac:dyDescent="0.3">
      <c r="A25" s="323">
        <f>+'Purchased Power Model '!A25</f>
        <v>38292</v>
      </c>
      <c r="B25" s="324">
        <f>+'Purchased Power Model '!B25</f>
        <v>94905100</v>
      </c>
      <c r="C25" s="325">
        <f>+'Purchased Power Model '!C25</f>
        <v>385.7</v>
      </c>
      <c r="D25" s="325">
        <f>+'Purchased Power Model '!D25</f>
        <v>0</v>
      </c>
      <c r="E25" s="326">
        <f>+'Purchased Power Model '!E25</f>
        <v>5.7999999999999996E-2</v>
      </c>
      <c r="F25" s="327">
        <f>+'Purchased Power Model '!F25</f>
        <v>30</v>
      </c>
      <c r="G25" s="327">
        <f>+'Purchased Power Model '!G25</f>
        <v>1</v>
      </c>
      <c r="H25" s="328">
        <f>+'Purchased Power Model '!H25</f>
        <v>94743769.829719678</v>
      </c>
      <c r="J25" s="323">
        <f>+'10 Year Average'!A25</f>
        <v>38292</v>
      </c>
      <c r="K25" s="324">
        <f>+'10 Year Average'!B25</f>
        <v>94905100</v>
      </c>
      <c r="L25" s="325">
        <f>+'10 Year Average'!C25</f>
        <v>385.7</v>
      </c>
      <c r="M25" s="325">
        <f>+'10 Year Average'!D25</f>
        <v>0</v>
      </c>
      <c r="N25" s="326">
        <f>+'10 Year Average'!E25</f>
        <v>5.7999999999999996E-2</v>
      </c>
      <c r="O25" s="327">
        <f>+'10 Year Average'!F25</f>
        <v>30</v>
      </c>
      <c r="P25" s="327">
        <f>+'10 Year Average'!G25</f>
        <v>1</v>
      </c>
      <c r="Q25" s="328">
        <f>+'10 Year Average'!H25</f>
        <v>94743769.829719678</v>
      </c>
      <c r="S25" s="323">
        <f>+'20 Year Trend'!A25</f>
        <v>38292</v>
      </c>
      <c r="T25" s="324">
        <f>+'20 Year Trend'!B25</f>
        <v>94905100</v>
      </c>
      <c r="U25" s="325">
        <f>+'20 Year Trend'!C25</f>
        <v>385.7</v>
      </c>
      <c r="V25" s="325">
        <f>+'20 Year Trend'!D25</f>
        <v>0</v>
      </c>
      <c r="W25" s="326">
        <f>+'20 Year Trend'!E25</f>
        <v>5.7999999999999996E-2</v>
      </c>
      <c r="X25" s="327">
        <f>+'20 Year Trend'!F25</f>
        <v>30</v>
      </c>
      <c r="Y25" s="327">
        <f>+'20 Year Trend'!G25</f>
        <v>1</v>
      </c>
      <c r="Z25" s="328">
        <f>+'20 Year Trend'!H25</f>
        <v>94743769.829719678</v>
      </c>
    </row>
    <row r="26" spans="1:26" x14ac:dyDescent="0.3">
      <c r="A26" s="323">
        <f>+'Purchased Power Model '!A26</f>
        <v>38322</v>
      </c>
      <c r="B26" s="324">
        <f>+'Purchased Power Model '!B26</f>
        <v>113323500</v>
      </c>
      <c r="C26" s="325">
        <f>+'Purchased Power Model '!C26</f>
        <v>627.5</v>
      </c>
      <c r="D26" s="325">
        <f>+'Purchased Power Model '!D26</f>
        <v>0</v>
      </c>
      <c r="E26" s="326">
        <f>+'Purchased Power Model '!E26</f>
        <v>5.7999999999999996E-2</v>
      </c>
      <c r="F26" s="327">
        <f>+'Purchased Power Model '!F26</f>
        <v>31</v>
      </c>
      <c r="G26" s="327">
        <f>+'Purchased Power Model '!G26</f>
        <v>0</v>
      </c>
      <c r="H26" s="328">
        <f>+'Purchased Power Model '!H26</f>
        <v>114433476.66759969</v>
      </c>
      <c r="J26" s="323">
        <f>+'10 Year Average'!A26</f>
        <v>38322</v>
      </c>
      <c r="K26" s="324">
        <f>+'10 Year Average'!B26</f>
        <v>113323500</v>
      </c>
      <c r="L26" s="325">
        <f>+'10 Year Average'!C26</f>
        <v>627.5</v>
      </c>
      <c r="M26" s="325">
        <f>+'10 Year Average'!D26</f>
        <v>0</v>
      </c>
      <c r="N26" s="326">
        <f>+'10 Year Average'!E26</f>
        <v>5.7999999999999996E-2</v>
      </c>
      <c r="O26" s="327">
        <f>+'10 Year Average'!F26</f>
        <v>31</v>
      </c>
      <c r="P26" s="327">
        <f>+'10 Year Average'!G26</f>
        <v>0</v>
      </c>
      <c r="Q26" s="328">
        <f>+'10 Year Average'!H26</f>
        <v>114433476.66759969</v>
      </c>
      <c r="S26" s="323">
        <f>+'20 Year Trend'!A26</f>
        <v>38322</v>
      </c>
      <c r="T26" s="324">
        <f>+'20 Year Trend'!B26</f>
        <v>113323500</v>
      </c>
      <c r="U26" s="325">
        <f>+'20 Year Trend'!C26</f>
        <v>627.5</v>
      </c>
      <c r="V26" s="325">
        <f>+'20 Year Trend'!D26</f>
        <v>0</v>
      </c>
      <c r="W26" s="326">
        <f>+'20 Year Trend'!E26</f>
        <v>5.7999999999999996E-2</v>
      </c>
      <c r="X26" s="327">
        <f>+'20 Year Trend'!F26</f>
        <v>31</v>
      </c>
      <c r="Y26" s="327">
        <f>+'20 Year Trend'!G26</f>
        <v>0</v>
      </c>
      <c r="Z26" s="328">
        <f>+'20 Year Trend'!H26</f>
        <v>114433476.66759969</v>
      </c>
    </row>
    <row r="27" spans="1:26" x14ac:dyDescent="0.3">
      <c r="A27" s="323">
        <f>+'Purchased Power Model '!A27</f>
        <v>38353</v>
      </c>
      <c r="B27" s="324">
        <f>+'Purchased Power Model '!B27</f>
        <v>118166820</v>
      </c>
      <c r="C27" s="325">
        <f>+'Purchased Power Model '!C27</f>
        <v>745.5</v>
      </c>
      <c r="D27" s="325">
        <f>+'Purchased Power Model '!D27</f>
        <v>0</v>
      </c>
      <c r="E27" s="326">
        <f>+'Purchased Power Model '!E27</f>
        <v>7.2000000000000008E-2</v>
      </c>
      <c r="F27" s="327">
        <f>+'Purchased Power Model '!F27</f>
        <v>31</v>
      </c>
      <c r="G27" s="327">
        <f>+'Purchased Power Model '!G27</f>
        <v>0</v>
      </c>
      <c r="H27" s="328">
        <f>+'Purchased Power Model '!H27</f>
        <v>117529570.22869869</v>
      </c>
      <c r="J27" s="323">
        <f>+'10 Year Average'!A27</f>
        <v>38353</v>
      </c>
      <c r="K27" s="324">
        <f>+'10 Year Average'!B27</f>
        <v>118166820</v>
      </c>
      <c r="L27" s="325">
        <f>+'10 Year Average'!C27</f>
        <v>745.5</v>
      </c>
      <c r="M27" s="325">
        <f>+'10 Year Average'!D27</f>
        <v>0</v>
      </c>
      <c r="N27" s="326">
        <f>+'10 Year Average'!E27</f>
        <v>7.2000000000000008E-2</v>
      </c>
      <c r="O27" s="327">
        <f>+'10 Year Average'!F27</f>
        <v>31</v>
      </c>
      <c r="P27" s="327">
        <f>+'10 Year Average'!G27</f>
        <v>0</v>
      </c>
      <c r="Q27" s="328">
        <f>+'10 Year Average'!H27</f>
        <v>117529570.22869869</v>
      </c>
      <c r="S27" s="323">
        <f>+'20 Year Trend'!A27</f>
        <v>38353</v>
      </c>
      <c r="T27" s="324">
        <f>+'20 Year Trend'!B27</f>
        <v>118166820</v>
      </c>
      <c r="U27" s="325">
        <f>+'20 Year Trend'!C27</f>
        <v>745.5</v>
      </c>
      <c r="V27" s="325">
        <f>+'20 Year Trend'!D27</f>
        <v>0</v>
      </c>
      <c r="W27" s="326">
        <f>+'20 Year Trend'!E27</f>
        <v>7.2000000000000008E-2</v>
      </c>
      <c r="X27" s="327">
        <f>+'20 Year Trend'!F27</f>
        <v>31</v>
      </c>
      <c r="Y27" s="327">
        <f>+'20 Year Trend'!G27</f>
        <v>0</v>
      </c>
      <c r="Z27" s="328">
        <f>+'20 Year Trend'!H27</f>
        <v>117529570.22869869</v>
      </c>
    </row>
    <row r="28" spans="1:26" x14ac:dyDescent="0.3">
      <c r="A28" s="323">
        <f>+'Purchased Power Model '!A28</f>
        <v>38384</v>
      </c>
      <c r="B28" s="324">
        <f>+'Purchased Power Model '!B28</f>
        <v>100566840</v>
      </c>
      <c r="C28" s="325">
        <f>+'Purchased Power Model '!C28</f>
        <v>589.5</v>
      </c>
      <c r="D28" s="325">
        <f>+'Purchased Power Model '!D28</f>
        <v>0</v>
      </c>
      <c r="E28" s="326">
        <f>+'Purchased Power Model '!E28</f>
        <v>7.2000000000000008E-2</v>
      </c>
      <c r="F28" s="327">
        <f>+'Purchased Power Model '!F28</f>
        <v>28</v>
      </c>
      <c r="G28" s="327">
        <f>+'Purchased Power Model '!G28</f>
        <v>0</v>
      </c>
      <c r="H28" s="328">
        <f>+'Purchased Power Model '!H28</f>
        <v>102756034.86500144</v>
      </c>
      <c r="J28" s="323">
        <f>+'10 Year Average'!A28</f>
        <v>38384</v>
      </c>
      <c r="K28" s="324">
        <f>+'10 Year Average'!B28</f>
        <v>100566840</v>
      </c>
      <c r="L28" s="325">
        <f>+'10 Year Average'!C28</f>
        <v>589.5</v>
      </c>
      <c r="M28" s="325">
        <f>+'10 Year Average'!D28</f>
        <v>0</v>
      </c>
      <c r="N28" s="326">
        <f>+'10 Year Average'!E28</f>
        <v>7.2000000000000008E-2</v>
      </c>
      <c r="O28" s="327">
        <f>+'10 Year Average'!F28</f>
        <v>28</v>
      </c>
      <c r="P28" s="327">
        <f>+'10 Year Average'!G28</f>
        <v>0</v>
      </c>
      <c r="Q28" s="328">
        <f>+'10 Year Average'!H28</f>
        <v>102756034.86500144</v>
      </c>
      <c r="S28" s="323">
        <f>+'20 Year Trend'!A28</f>
        <v>38384</v>
      </c>
      <c r="T28" s="324">
        <f>+'20 Year Trend'!B28</f>
        <v>100566840</v>
      </c>
      <c r="U28" s="325">
        <f>+'20 Year Trend'!C28</f>
        <v>589.5</v>
      </c>
      <c r="V28" s="325">
        <f>+'20 Year Trend'!D28</f>
        <v>0</v>
      </c>
      <c r="W28" s="326">
        <f>+'20 Year Trend'!E28</f>
        <v>7.2000000000000008E-2</v>
      </c>
      <c r="X28" s="327">
        <f>+'20 Year Trend'!F28</f>
        <v>28</v>
      </c>
      <c r="Y28" s="327">
        <f>+'20 Year Trend'!G28</f>
        <v>0</v>
      </c>
      <c r="Z28" s="328">
        <f>+'20 Year Trend'!H28</f>
        <v>102756034.86500144</v>
      </c>
    </row>
    <row r="29" spans="1:26" x14ac:dyDescent="0.3">
      <c r="A29" s="323">
        <f>+'Purchased Power Model '!A29</f>
        <v>38412</v>
      </c>
      <c r="B29" s="324">
        <f>+'Purchased Power Model '!B29</f>
        <v>104158730</v>
      </c>
      <c r="C29" s="325">
        <f>+'Purchased Power Model '!C29</f>
        <v>578.29999999999995</v>
      </c>
      <c r="D29" s="325">
        <f>+'Purchased Power Model '!D29</f>
        <v>0</v>
      </c>
      <c r="E29" s="326">
        <f>+'Purchased Power Model '!E29</f>
        <v>7.2000000000000008E-2</v>
      </c>
      <c r="F29" s="327">
        <f>+'Purchased Power Model '!F29</f>
        <v>31</v>
      </c>
      <c r="G29" s="327">
        <f>+'Purchased Power Model '!G29</f>
        <v>1</v>
      </c>
      <c r="H29" s="328">
        <f>+'Purchased Power Model '!H29</f>
        <v>103683403.32102288</v>
      </c>
      <c r="J29" s="323">
        <f>+'10 Year Average'!A29</f>
        <v>38412</v>
      </c>
      <c r="K29" s="324">
        <f>+'10 Year Average'!B29</f>
        <v>104158730</v>
      </c>
      <c r="L29" s="325">
        <f>+'10 Year Average'!C29</f>
        <v>578.29999999999995</v>
      </c>
      <c r="M29" s="325">
        <f>+'10 Year Average'!D29</f>
        <v>0</v>
      </c>
      <c r="N29" s="326">
        <f>+'10 Year Average'!E29</f>
        <v>7.2000000000000008E-2</v>
      </c>
      <c r="O29" s="327">
        <f>+'10 Year Average'!F29</f>
        <v>31</v>
      </c>
      <c r="P29" s="327">
        <f>+'10 Year Average'!G29</f>
        <v>1</v>
      </c>
      <c r="Q29" s="328">
        <f>+'10 Year Average'!H29</f>
        <v>103683403.32102288</v>
      </c>
      <c r="S29" s="323">
        <f>+'20 Year Trend'!A29</f>
        <v>38412</v>
      </c>
      <c r="T29" s="324">
        <f>+'20 Year Trend'!B29</f>
        <v>104158730</v>
      </c>
      <c r="U29" s="325">
        <f>+'20 Year Trend'!C29</f>
        <v>578.29999999999995</v>
      </c>
      <c r="V29" s="325">
        <f>+'20 Year Trend'!D29</f>
        <v>0</v>
      </c>
      <c r="W29" s="326">
        <f>+'20 Year Trend'!E29</f>
        <v>7.2000000000000008E-2</v>
      </c>
      <c r="X29" s="327">
        <f>+'20 Year Trend'!F29</f>
        <v>31</v>
      </c>
      <c r="Y29" s="327">
        <f>+'20 Year Trend'!G29</f>
        <v>1</v>
      </c>
      <c r="Z29" s="328">
        <f>+'20 Year Trend'!H29</f>
        <v>103683403.32102288</v>
      </c>
    </row>
    <row r="30" spans="1:26" x14ac:dyDescent="0.3">
      <c r="A30" s="323">
        <f>+'Purchased Power Model '!A30</f>
        <v>38443</v>
      </c>
      <c r="B30" s="324">
        <f>+'Purchased Power Model '!B30</f>
        <v>84434840</v>
      </c>
      <c r="C30" s="325">
        <f>+'Purchased Power Model '!C30</f>
        <v>325.3</v>
      </c>
      <c r="D30" s="325">
        <f>+'Purchased Power Model '!D30</f>
        <v>0</v>
      </c>
      <c r="E30" s="326">
        <f>+'Purchased Power Model '!E30</f>
        <v>6.3E-2</v>
      </c>
      <c r="F30" s="327">
        <f>+'Purchased Power Model '!F30</f>
        <v>30</v>
      </c>
      <c r="G30" s="327">
        <f>+'Purchased Power Model '!G30</f>
        <v>1</v>
      </c>
      <c r="H30" s="328">
        <f>+'Purchased Power Model '!H30</f>
        <v>91679616.136012077</v>
      </c>
      <c r="J30" s="323">
        <f>+'10 Year Average'!A30</f>
        <v>38443</v>
      </c>
      <c r="K30" s="324">
        <f>+'10 Year Average'!B30</f>
        <v>84434840</v>
      </c>
      <c r="L30" s="325">
        <f>+'10 Year Average'!C30</f>
        <v>325.3</v>
      </c>
      <c r="M30" s="325">
        <f>+'10 Year Average'!D30</f>
        <v>0</v>
      </c>
      <c r="N30" s="326">
        <f>+'10 Year Average'!E30</f>
        <v>6.3E-2</v>
      </c>
      <c r="O30" s="327">
        <f>+'10 Year Average'!F30</f>
        <v>30</v>
      </c>
      <c r="P30" s="327">
        <f>+'10 Year Average'!G30</f>
        <v>1</v>
      </c>
      <c r="Q30" s="328">
        <f>+'10 Year Average'!H30</f>
        <v>91679616.136012077</v>
      </c>
      <c r="S30" s="323">
        <f>+'20 Year Trend'!A30</f>
        <v>38443</v>
      </c>
      <c r="T30" s="324">
        <f>+'20 Year Trend'!B30</f>
        <v>84434840</v>
      </c>
      <c r="U30" s="325">
        <f>+'20 Year Trend'!C30</f>
        <v>325.3</v>
      </c>
      <c r="V30" s="325">
        <f>+'20 Year Trend'!D30</f>
        <v>0</v>
      </c>
      <c r="W30" s="326">
        <f>+'20 Year Trend'!E30</f>
        <v>6.3E-2</v>
      </c>
      <c r="X30" s="327">
        <f>+'20 Year Trend'!F30</f>
        <v>30</v>
      </c>
      <c r="Y30" s="327">
        <f>+'20 Year Trend'!G30</f>
        <v>1</v>
      </c>
      <c r="Z30" s="328">
        <f>+'20 Year Trend'!H30</f>
        <v>91679616.136012077</v>
      </c>
    </row>
    <row r="31" spans="1:26" x14ac:dyDescent="0.3">
      <c r="A31" s="323">
        <f>+'Purchased Power Model '!A31</f>
        <v>38473</v>
      </c>
      <c r="B31" s="324">
        <f>+'Purchased Power Model '!B31</f>
        <v>81831370</v>
      </c>
      <c r="C31" s="325">
        <f>+'Purchased Power Model '!C31</f>
        <v>216.1</v>
      </c>
      <c r="D31" s="325">
        <f>+'Purchased Power Model '!D31</f>
        <v>0.3</v>
      </c>
      <c r="E31" s="326">
        <f>+'Purchased Power Model '!E31</f>
        <v>6.3E-2</v>
      </c>
      <c r="F31" s="327">
        <f>+'Purchased Power Model '!F31</f>
        <v>31</v>
      </c>
      <c r="G31" s="327">
        <f>+'Purchased Power Model '!G31</f>
        <v>1</v>
      </c>
      <c r="H31" s="328">
        <f>+'Purchased Power Model '!H31</f>
        <v>90092200.549488187</v>
      </c>
      <c r="J31" s="323">
        <f>+'10 Year Average'!A31</f>
        <v>38473</v>
      </c>
      <c r="K31" s="324">
        <f>+'10 Year Average'!B31</f>
        <v>81831370</v>
      </c>
      <c r="L31" s="325">
        <f>+'10 Year Average'!C31</f>
        <v>216.1</v>
      </c>
      <c r="M31" s="325">
        <f>+'10 Year Average'!D31</f>
        <v>0.3</v>
      </c>
      <c r="N31" s="326">
        <f>+'10 Year Average'!E31</f>
        <v>6.3E-2</v>
      </c>
      <c r="O31" s="327">
        <f>+'10 Year Average'!F31</f>
        <v>31</v>
      </c>
      <c r="P31" s="327">
        <f>+'10 Year Average'!G31</f>
        <v>1</v>
      </c>
      <c r="Q31" s="328">
        <f>+'10 Year Average'!H31</f>
        <v>90092200.549488187</v>
      </c>
      <c r="S31" s="323">
        <f>+'20 Year Trend'!A31</f>
        <v>38473</v>
      </c>
      <c r="T31" s="324">
        <f>+'20 Year Trend'!B31</f>
        <v>81831370</v>
      </c>
      <c r="U31" s="325">
        <f>+'20 Year Trend'!C31</f>
        <v>216.1</v>
      </c>
      <c r="V31" s="325">
        <f>+'20 Year Trend'!D31</f>
        <v>0.3</v>
      </c>
      <c r="W31" s="326">
        <f>+'20 Year Trend'!E31</f>
        <v>6.3E-2</v>
      </c>
      <c r="X31" s="327">
        <f>+'20 Year Trend'!F31</f>
        <v>31</v>
      </c>
      <c r="Y31" s="327">
        <f>+'20 Year Trend'!G31</f>
        <v>1</v>
      </c>
      <c r="Z31" s="328">
        <f>+'20 Year Trend'!H31</f>
        <v>90092200.549488187</v>
      </c>
    </row>
    <row r="32" spans="1:26" x14ac:dyDescent="0.3">
      <c r="A32" s="323">
        <f>+'Purchased Power Model '!A32</f>
        <v>38504</v>
      </c>
      <c r="B32" s="324">
        <f>+'Purchased Power Model '!B32</f>
        <v>98362500</v>
      </c>
      <c r="C32" s="325">
        <f>+'Purchased Power Model '!C32</f>
        <v>13.7</v>
      </c>
      <c r="D32" s="325">
        <f>+'Purchased Power Model '!D32</f>
        <v>89.9</v>
      </c>
      <c r="E32" s="326">
        <f>+'Purchased Power Model '!E32</f>
        <v>6.3E-2</v>
      </c>
      <c r="F32" s="327">
        <f>+'Purchased Power Model '!F32</f>
        <v>30</v>
      </c>
      <c r="G32" s="327">
        <f>+'Purchased Power Model '!G32</f>
        <v>0</v>
      </c>
      <c r="H32" s="328">
        <f>+'Purchased Power Model '!H32</f>
        <v>99020330.06998232</v>
      </c>
      <c r="J32" s="323">
        <f>+'10 Year Average'!A32</f>
        <v>38504</v>
      </c>
      <c r="K32" s="324">
        <f>+'10 Year Average'!B32</f>
        <v>98362500</v>
      </c>
      <c r="L32" s="325">
        <f>+'10 Year Average'!C32</f>
        <v>13.7</v>
      </c>
      <c r="M32" s="325">
        <f>+'10 Year Average'!D32</f>
        <v>89.9</v>
      </c>
      <c r="N32" s="326">
        <f>+'10 Year Average'!E32</f>
        <v>6.3E-2</v>
      </c>
      <c r="O32" s="327">
        <f>+'10 Year Average'!F32</f>
        <v>30</v>
      </c>
      <c r="P32" s="327">
        <f>+'10 Year Average'!G32</f>
        <v>0</v>
      </c>
      <c r="Q32" s="328">
        <f>+'10 Year Average'!H32</f>
        <v>99020330.06998232</v>
      </c>
      <c r="S32" s="323">
        <f>+'20 Year Trend'!A32</f>
        <v>38504</v>
      </c>
      <c r="T32" s="324">
        <f>+'20 Year Trend'!B32</f>
        <v>98362500</v>
      </c>
      <c r="U32" s="325">
        <f>+'20 Year Trend'!C32</f>
        <v>13.7</v>
      </c>
      <c r="V32" s="325">
        <f>+'20 Year Trend'!D32</f>
        <v>89.9</v>
      </c>
      <c r="W32" s="326">
        <f>+'20 Year Trend'!E32</f>
        <v>6.3E-2</v>
      </c>
      <c r="X32" s="327">
        <f>+'20 Year Trend'!F32</f>
        <v>30</v>
      </c>
      <c r="Y32" s="327">
        <f>+'20 Year Trend'!G32</f>
        <v>0</v>
      </c>
      <c r="Z32" s="328">
        <f>+'20 Year Trend'!H32</f>
        <v>99020330.06998232</v>
      </c>
    </row>
    <row r="33" spans="1:26" x14ac:dyDescent="0.3">
      <c r="A33" s="323">
        <f>+'Purchased Power Model '!A33</f>
        <v>38534</v>
      </c>
      <c r="B33" s="324">
        <f>+'Purchased Power Model '!B33</f>
        <v>103745750</v>
      </c>
      <c r="C33" s="325">
        <f>+'Purchased Power Model '!C33</f>
        <v>2.2000000000000002</v>
      </c>
      <c r="D33" s="325">
        <f>+'Purchased Power Model '!D33</f>
        <v>153</v>
      </c>
      <c r="E33" s="326">
        <f>+'Purchased Power Model '!E33</f>
        <v>5.7000000000000002E-2</v>
      </c>
      <c r="F33" s="327">
        <f>+'Purchased Power Model '!F33</f>
        <v>31</v>
      </c>
      <c r="G33" s="327">
        <f>+'Purchased Power Model '!G33</f>
        <v>0</v>
      </c>
      <c r="H33" s="328">
        <f>+'Purchased Power Model '!H33</f>
        <v>111192172.90409043</v>
      </c>
      <c r="J33" s="323">
        <f>+'10 Year Average'!A33</f>
        <v>38534</v>
      </c>
      <c r="K33" s="324">
        <f>+'10 Year Average'!B33</f>
        <v>103745750</v>
      </c>
      <c r="L33" s="325">
        <f>+'10 Year Average'!C33</f>
        <v>2.2000000000000002</v>
      </c>
      <c r="M33" s="325">
        <f>+'10 Year Average'!D33</f>
        <v>153</v>
      </c>
      <c r="N33" s="326">
        <f>+'10 Year Average'!E33</f>
        <v>5.7000000000000002E-2</v>
      </c>
      <c r="O33" s="327">
        <f>+'10 Year Average'!F33</f>
        <v>31</v>
      </c>
      <c r="P33" s="327">
        <f>+'10 Year Average'!G33</f>
        <v>0</v>
      </c>
      <c r="Q33" s="328">
        <f>+'10 Year Average'!H33</f>
        <v>111192172.90409043</v>
      </c>
      <c r="S33" s="323">
        <f>+'20 Year Trend'!A33</f>
        <v>38534</v>
      </c>
      <c r="T33" s="324">
        <f>+'20 Year Trend'!B33</f>
        <v>103745750</v>
      </c>
      <c r="U33" s="325">
        <f>+'20 Year Trend'!C33</f>
        <v>2.2000000000000002</v>
      </c>
      <c r="V33" s="325">
        <f>+'20 Year Trend'!D33</f>
        <v>153</v>
      </c>
      <c r="W33" s="326">
        <f>+'20 Year Trend'!E33</f>
        <v>5.7000000000000002E-2</v>
      </c>
      <c r="X33" s="327">
        <f>+'20 Year Trend'!F33</f>
        <v>31</v>
      </c>
      <c r="Y33" s="327">
        <f>+'20 Year Trend'!G33</f>
        <v>0</v>
      </c>
      <c r="Z33" s="328">
        <f>+'20 Year Trend'!H33</f>
        <v>111192172.90409043</v>
      </c>
    </row>
    <row r="34" spans="1:26" x14ac:dyDescent="0.3">
      <c r="A34" s="323">
        <f>+'Purchased Power Model '!A34</f>
        <v>38565</v>
      </c>
      <c r="B34" s="324">
        <f>+'Purchased Power Model '!B34</f>
        <v>101425330</v>
      </c>
      <c r="C34" s="325">
        <f>+'Purchased Power Model '!C34</f>
        <v>0</v>
      </c>
      <c r="D34" s="325">
        <f>+'Purchased Power Model '!D34</f>
        <v>108</v>
      </c>
      <c r="E34" s="326">
        <f>+'Purchased Power Model '!E34</f>
        <v>5.7000000000000002E-2</v>
      </c>
      <c r="F34" s="327">
        <f>+'Purchased Power Model '!F34</f>
        <v>31</v>
      </c>
      <c r="G34" s="327">
        <f>+'Purchased Power Model '!G34</f>
        <v>0</v>
      </c>
      <c r="H34" s="328">
        <f>+'Purchased Power Model '!H34</f>
        <v>104613033.80861895</v>
      </c>
      <c r="J34" s="323">
        <f>+'10 Year Average'!A34</f>
        <v>38565</v>
      </c>
      <c r="K34" s="324">
        <f>+'10 Year Average'!B34</f>
        <v>101425330</v>
      </c>
      <c r="L34" s="325">
        <f>+'10 Year Average'!C34</f>
        <v>0</v>
      </c>
      <c r="M34" s="325">
        <f>+'10 Year Average'!D34</f>
        <v>108</v>
      </c>
      <c r="N34" s="326">
        <f>+'10 Year Average'!E34</f>
        <v>5.7000000000000002E-2</v>
      </c>
      <c r="O34" s="327">
        <f>+'10 Year Average'!F34</f>
        <v>31</v>
      </c>
      <c r="P34" s="327">
        <f>+'10 Year Average'!G34</f>
        <v>0</v>
      </c>
      <c r="Q34" s="328">
        <f>+'10 Year Average'!H34</f>
        <v>104613033.80861895</v>
      </c>
      <c r="S34" s="323">
        <f>+'20 Year Trend'!A34</f>
        <v>38565</v>
      </c>
      <c r="T34" s="324">
        <f>+'20 Year Trend'!B34</f>
        <v>101425330</v>
      </c>
      <c r="U34" s="325">
        <f>+'20 Year Trend'!C34</f>
        <v>0</v>
      </c>
      <c r="V34" s="325">
        <f>+'20 Year Trend'!D34</f>
        <v>108</v>
      </c>
      <c r="W34" s="326">
        <f>+'20 Year Trend'!E34</f>
        <v>5.7000000000000002E-2</v>
      </c>
      <c r="X34" s="327">
        <f>+'20 Year Trend'!F34</f>
        <v>31</v>
      </c>
      <c r="Y34" s="327">
        <f>+'20 Year Trend'!G34</f>
        <v>0</v>
      </c>
      <c r="Z34" s="328">
        <f>+'20 Year Trend'!H34</f>
        <v>104613033.80861895</v>
      </c>
    </row>
    <row r="35" spans="1:26" x14ac:dyDescent="0.3">
      <c r="A35" s="323">
        <f>+'Purchased Power Model '!A35</f>
        <v>38596</v>
      </c>
      <c r="B35" s="324">
        <f>+'Purchased Power Model '!B35</f>
        <v>87813850</v>
      </c>
      <c r="C35" s="325">
        <f>+'Purchased Power Model '!C35</f>
        <v>36.700000000000003</v>
      </c>
      <c r="D35" s="325">
        <f>+'Purchased Power Model '!D35</f>
        <v>32.799999999999997</v>
      </c>
      <c r="E35" s="326">
        <f>+'Purchased Power Model '!E35</f>
        <v>5.7000000000000002E-2</v>
      </c>
      <c r="F35" s="327">
        <f>+'Purchased Power Model '!F35</f>
        <v>30</v>
      </c>
      <c r="G35" s="327">
        <f>+'Purchased Power Model '!G35</f>
        <v>1</v>
      </c>
      <c r="H35" s="328">
        <f>+'Purchased Power Model '!H35</f>
        <v>85403548.931177959</v>
      </c>
      <c r="J35" s="323">
        <f>+'10 Year Average'!A35</f>
        <v>38596</v>
      </c>
      <c r="K35" s="324">
        <f>+'10 Year Average'!B35</f>
        <v>87813850</v>
      </c>
      <c r="L35" s="325">
        <f>+'10 Year Average'!C35</f>
        <v>36.700000000000003</v>
      </c>
      <c r="M35" s="325">
        <f>+'10 Year Average'!D35</f>
        <v>32.799999999999997</v>
      </c>
      <c r="N35" s="326">
        <f>+'10 Year Average'!E35</f>
        <v>5.7000000000000002E-2</v>
      </c>
      <c r="O35" s="327">
        <f>+'10 Year Average'!F35</f>
        <v>30</v>
      </c>
      <c r="P35" s="327">
        <f>+'10 Year Average'!G35</f>
        <v>1</v>
      </c>
      <c r="Q35" s="328">
        <f>+'10 Year Average'!H35</f>
        <v>85403548.931177959</v>
      </c>
      <c r="S35" s="323">
        <f>+'20 Year Trend'!A35</f>
        <v>38596</v>
      </c>
      <c r="T35" s="324">
        <f>+'20 Year Trend'!B35</f>
        <v>87813850</v>
      </c>
      <c r="U35" s="325">
        <f>+'20 Year Trend'!C35</f>
        <v>36.700000000000003</v>
      </c>
      <c r="V35" s="325">
        <f>+'20 Year Trend'!D35</f>
        <v>32.799999999999997</v>
      </c>
      <c r="W35" s="326">
        <f>+'20 Year Trend'!E35</f>
        <v>5.7000000000000002E-2</v>
      </c>
      <c r="X35" s="327">
        <f>+'20 Year Trend'!F35</f>
        <v>30</v>
      </c>
      <c r="Y35" s="327">
        <f>+'20 Year Trend'!G35</f>
        <v>1</v>
      </c>
      <c r="Z35" s="328">
        <f>+'20 Year Trend'!H35</f>
        <v>85403548.931177959</v>
      </c>
    </row>
    <row r="36" spans="1:26" x14ac:dyDescent="0.3">
      <c r="A36" s="323">
        <f>+'Purchased Power Model '!A36</f>
        <v>38626</v>
      </c>
      <c r="B36" s="324">
        <f>+'Purchased Power Model '!B36</f>
        <v>87350690</v>
      </c>
      <c r="C36" s="325">
        <f>+'Purchased Power Model '!C36</f>
        <v>223.8</v>
      </c>
      <c r="D36" s="325">
        <f>+'Purchased Power Model '!D36</f>
        <v>0.5</v>
      </c>
      <c r="E36" s="326">
        <f>+'Purchased Power Model '!E36</f>
        <v>6.7000000000000004E-2</v>
      </c>
      <c r="F36" s="327">
        <f>+'Purchased Power Model '!F36</f>
        <v>31</v>
      </c>
      <c r="G36" s="327">
        <f>+'Purchased Power Model '!G36</f>
        <v>1</v>
      </c>
      <c r="H36" s="328">
        <f>+'Purchased Power Model '!H36</f>
        <v>89947771.77374135</v>
      </c>
      <c r="J36" s="323">
        <f>+'10 Year Average'!A36</f>
        <v>38626</v>
      </c>
      <c r="K36" s="324">
        <f>+'10 Year Average'!B36</f>
        <v>87350690</v>
      </c>
      <c r="L36" s="325">
        <f>+'10 Year Average'!C36</f>
        <v>223.8</v>
      </c>
      <c r="M36" s="325">
        <f>+'10 Year Average'!D36</f>
        <v>0.5</v>
      </c>
      <c r="N36" s="326">
        <f>+'10 Year Average'!E36</f>
        <v>6.7000000000000004E-2</v>
      </c>
      <c r="O36" s="327">
        <f>+'10 Year Average'!F36</f>
        <v>31</v>
      </c>
      <c r="P36" s="327">
        <f>+'10 Year Average'!G36</f>
        <v>1</v>
      </c>
      <c r="Q36" s="328">
        <f>+'10 Year Average'!H36</f>
        <v>89947771.77374135</v>
      </c>
      <c r="S36" s="323">
        <f>+'20 Year Trend'!A36</f>
        <v>38626</v>
      </c>
      <c r="T36" s="324">
        <f>+'20 Year Trend'!B36</f>
        <v>87350690</v>
      </c>
      <c r="U36" s="325">
        <f>+'20 Year Trend'!C36</f>
        <v>223.8</v>
      </c>
      <c r="V36" s="325">
        <f>+'20 Year Trend'!D36</f>
        <v>0.5</v>
      </c>
      <c r="W36" s="326">
        <f>+'20 Year Trend'!E36</f>
        <v>6.7000000000000004E-2</v>
      </c>
      <c r="X36" s="327">
        <f>+'20 Year Trend'!F36</f>
        <v>31</v>
      </c>
      <c r="Y36" s="327">
        <f>+'20 Year Trend'!G36</f>
        <v>1</v>
      </c>
      <c r="Z36" s="328">
        <f>+'20 Year Trend'!H36</f>
        <v>89947771.77374135</v>
      </c>
    </row>
    <row r="37" spans="1:26" x14ac:dyDescent="0.3">
      <c r="A37" s="323">
        <f>+'Purchased Power Model '!A37</f>
        <v>38657</v>
      </c>
      <c r="B37" s="324">
        <f>+'Purchased Power Model '!B37</f>
        <v>94515140</v>
      </c>
      <c r="C37" s="325">
        <f>+'Purchased Power Model '!C37</f>
        <v>398.5</v>
      </c>
      <c r="D37" s="325">
        <f>+'Purchased Power Model '!D37</f>
        <v>0</v>
      </c>
      <c r="E37" s="326">
        <f>+'Purchased Power Model '!E37</f>
        <v>6.7000000000000004E-2</v>
      </c>
      <c r="F37" s="327">
        <f>+'Purchased Power Model '!F37</f>
        <v>30</v>
      </c>
      <c r="G37" s="327">
        <f>+'Purchased Power Model '!G37</f>
        <v>1</v>
      </c>
      <c r="H37" s="328">
        <f>+'Purchased Power Model '!H37</f>
        <v>94169899.369228378</v>
      </c>
      <c r="J37" s="323">
        <f>+'10 Year Average'!A37</f>
        <v>38657</v>
      </c>
      <c r="K37" s="324">
        <f>+'10 Year Average'!B37</f>
        <v>94515140</v>
      </c>
      <c r="L37" s="325">
        <f>+'10 Year Average'!C37</f>
        <v>398.5</v>
      </c>
      <c r="M37" s="325">
        <f>+'10 Year Average'!D37</f>
        <v>0</v>
      </c>
      <c r="N37" s="326">
        <f>+'10 Year Average'!E37</f>
        <v>6.7000000000000004E-2</v>
      </c>
      <c r="O37" s="327">
        <f>+'10 Year Average'!F37</f>
        <v>30</v>
      </c>
      <c r="P37" s="327">
        <f>+'10 Year Average'!G37</f>
        <v>1</v>
      </c>
      <c r="Q37" s="328">
        <f>+'10 Year Average'!H37</f>
        <v>94169899.369228378</v>
      </c>
      <c r="S37" s="323">
        <f>+'20 Year Trend'!A37</f>
        <v>38657</v>
      </c>
      <c r="T37" s="324">
        <f>+'20 Year Trend'!B37</f>
        <v>94515140</v>
      </c>
      <c r="U37" s="325">
        <f>+'20 Year Trend'!C37</f>
        <v>398.5</v>
      </c>
      <c r="V37" s="325">
        <f>+'20 Year Trend'!D37</f>
        <v>0</v>
      </c>
      <c r="W37" s="326">
        <f>+'20 Year Trend'!E37</f>
        <v>6.7000000000000004E-2</v>
      </c>
      <c r="X37" s="327">
        <f>+'20 Year Trend'!F37</f>
        <v>30</v>
      </c>
      <c r="Y37" s="327">
        <f>+'20 Year Trend'!G37</f>
        <v>1</v>
      </c>
      <c r="Z37" s="328">
        <f>+'20 Year Trend'!H37</f>
        <v>94169899.369228378</v>
      </c>
    </row>
    <row r="38" spans="1:26" x14ac:dyDescent="0.3">
      <c r="A38" s="323">
        <f>+'Purchased Power Model '!A38</f>
        <v>38687</v>
      </c>
      <c r="B38" s="324">
        <f>+'Purchased Power Model '!B38</f>
        <v>112129490</v>
      </c>
      <c r="C38" s="325">
        <f>+'Purchased Power Model '!C38</f>
        <v>641.1</v>
      </c>
      <c r="D38" s="325">
        <f>+'Purchased Power Model '!D38</f>
        <v>0</v>
      </c>
      <c r="E38" s="326">
        <f>+'Purchased Power Model '!E38</f>
        <v>6.7000000000000004E-2</v>
      </c>
      <c r="F38" s="327">
        <f>+'Purchased Power Model '!F38</f>
        <v>31</v>
      </c>
      <c r="G38" s="327">
        <f>+'Purchased Power Model '!G38</f>
        <v>0</v>
      </c>
      <c r="H38" s="328">
        <f>+'Purchased Power Model '!H38</f>
        <v>113892138.17674752</v>
      </c>
      <c r="J38" s="323">
        <f>+'10 Year Average'!A38</f>
        <v>38687</v>
      </c>
      <c r="K38" s="324">
        <f>+'10 Year Average'!B38</f>
        <v>112129490</v>
      </c>
      <c r="L38" s="325">
        <f>+'10 Year Average'!C38</f>
        <v>641.1</v>
      </c>
      <c r="M38" s="325">
        <f>+'10 Year Average'!D38</f>
        <v>0</v>
      </c>
      <c r="N38" s="326">
        <f>+'10 Year Average'!E38</f>
        <v>6.7000000000000004E-2</v>
      </c>
      <c r="O38" s="327">
        <f>+'10 Year Average'!F38</f>
        <v>31</v>
      </c>
      <c r="P38" s="327">
        <f>+'10 Year Average'!G38</f>
        <v>0</v>
      </c>
      <c r="Q38" s="328">
        <f>+'10 Year Average'!H38</f>
        <v>113892138.17674752</v>
      </c>
      <c r="S38" s="323">
        <f>+'20 Year Trend'!A38</f>
        <v>38687</v>
      </c>
      <c r="T38" s="324">
        <f>+'20 Year Trend'!B38</f>
        <v>112129490</v>
      </c>
      <c r="U38" s="325">
        <f>+'20 Year Trend'!C38</f>
        <v>641.1</v>
      </c>
      <c r="V38" s="325">
        <f>+'20 Year Trend'!D38</f>
        <v>0</v>
      </c>
      <c r="W38" s="326">
        <f>+'20 Year Trend'!E38</f>
        <v>6.7000000000000004E-2</v>
      </c>
      <c r="X38" s="327">
        <f>+'20 Year Trend'!F38</f>
        <v>31</v>
      </c>
      <c r="Y38" s="327">
        <f>+'20 Year Trend'!G38</f>
        <v>0</v>
      </c>
      <c r="Z38" s="328">
        <f>+'20 Year Trend'!H38</f>
        <v>113892138.17674752</v>
      </c>
    </row>
    <row r="39" spans="1:26" x14ac:dyDescent="0.3">
      <c r="A39" s="323">
        <f>+'Purchased Power Model '!A39</f>
        <v>38718</v>
      </c>
      <c r="B39" s="329">
        <f>+'Purchased Power Model '!B39</f>
        <v>108586490</v>
      </c>
      <c r="C39" s="325">
        <f>+'Purchased Power Model '!C39</f>
        <v>558.20000000000005</v>
      </c>
      <c r="D39" s="325">
        <f>+'Purchased Power Model '!D39</f>
        <v>0</v>
      </c>
      <c r="E39" s="326">
        <f>+'Purchased Power Model '!E39</f>
        <v>6.7000000000000004E-2</v>
      </c>
      <c r="F39" s="327">
        <f>+'Purchased Power Model '!F39</f>
        <v>31</v>
      </c>
      <c r="G39" s="327">
        <f>+'Purchased Power Model '!G39</f>
        <v>0</v>
      </c>
      <c r="H39" s="328">
        <f>+'Purchased Power Model '!H39</f>
        <v>110521012.82289368</v>
      </c>
      <c r="J39" s="323">
        <f>+'10 Year Average'!A39</f>
        <v>38718</v>
      </c>
      <c r="K39" s="329">
        <f>+'10 Year Average'!B39</f>
        <v>108586490</v>
      </c>
      <c r="L39" s="325">
        <f>+'10 Year Average'!C39</f>
        <v>558.20000000000005</v>
      </c>
      <c r="M39" s="325">
        <f>+'10 Year Average'!D39</f>
        <v>0</v>
      </c>
      <c r="N39" s="326">
        <f>+'10 Year Average'!E39</f>
        <v>6.7000000000000004E-2</v>
      </c>
      <c r="O39" s="327">
        <f>+'10 Year Average'!F39</f>
        <v>31</v>
      </c>
      <c r="P39" s="327">
        <f>+'10 Year Average'!G39</f>
        <v>0</v>
      </c>
      <c r="Q39" s="328">
        <f>+'10 Year Average'!H39</f>
        <v>110521012.82289368</v>
      </c>
      <c r="S39" s="323">
        <f>+'20 Year Trend'!A39</f>
        <v>38718</v>
      </c>
      <c r="T39" s="329">
        <f>+'20 Year Trend'!B39</f>
        <v>108586490</v>
      </c>
      <c r="U39" s="325">
        <f>+'20 Year Trend'!C39</f>
        <v>558.20000000000005</v>
      </c>
      <c r="V39" s="325">
        <f>+'20 Year Trend'!D39</f>
        <v>0</v>
      </c>
      <c r="W39" s="326">
        <f>+'20 Year Trend'!E39</f>
        <v>6.7000000000000004E-2</v>
      </c>
      <c r="X39" s="327">
        <f>+'20 Year Trend'!F39</f>
        <v>31</v>
      </c>
      <c r="Y39" s="327">
        <f>+'20 Year Trend'!G39</f>
        <v>0</v>
      </c>
      <c r="Z39" s="328">
        <f>+'20 Year Trend'!H39</f>
        <v>110521012.82289368</v>
      </c>
    </row>
    <row r="40" spans="1:26" x14ac:dyDescent="0.3">
      <c r="A40" s="323">
        <f>+'Purchased Power Model '!A40</f>
        <v>38749</v>
      </c>
      <c r="B40" s="329">
        <f>+'Purchased Power Model '!B40</f>
        <v>101769990</v>
      </c>
      <c r="C40" s="325">
        <f>+'Purchased Power Model '!C40</f>
        <v>608.79999999999995</v>
      </c>
      <c r="D40" s="325">
        <f>+'Purchased Power Model '!D40</f>
        <v>0</v>
      </c>
      <c r="E40" s="326">
        <f>+'Purchased Power Model '!E40</f>
        <v>6.7000000000000004E-2</v>
      </c>
      <c r="F40" s="327">
        <f>+'Purchased Power Model '!F40</f>
        <v>28</v>
      </c>
      <c r="G40" s="327">
        <f>+'Purchased Power Model '!G40</f>
        <v>0</v>
      </c>
      <c r="H40" s="328">
        <f>+'Purchased Power Model '!H40</f>
        <v>104148858.61849922</v>
      </c>
      <c r="J40" s="323">
        <f>+'10 Year Average'!A40</f>
        <v>38749</v>
      </c>
      <c r="K40" s="329">
        <f>+'10 Year Average'!B40</f>
        <v>101769990</v>
      </c>
      <c r="L40" s="325">
        <f>+'10 Year Average'!C40</f>
        <v>608.79999999999995</v>
      </c>
      <c r="M40" s="325">
        <f>+'10 Year Average'!D40</f>
        <v>0</v>
      </c>
      <c r="N40" s="326">
        <f>+'10 Year Average'!E40</f>
        <v>6.7000000000000004E-2</v>
      </c>
      <c r="O40" s="327">
        <f>+'10 Year Average'!F40</f>
        <v>28</v>
      </c>
      <c r="P40" s="327">
        <f>+'10 Year Average'!G40</f>
        <v>0</v>
      </c>
      <c r="Q40" s="328">
        <f>+'10 Year Average'!H40</f>
        <v>104148858.61849922</v>
      </c>
      <c r="S40" s="323">
        <f>+'20 Year Trend'!A40</f>
        <v>38749</v>
      </c>
      <c r="T40" s="329">
        <f>+'20 Year Trend'!B40</f>
        <v>101769990</v>
      </c>
      <c r="U40" s="325">
        <f>+'20 Year Trend'!C40</f>
        <v>608.79999999999995</v>
      </c>
      <c r="V40" s="325">
        <f>+'20 Year Trend'!D40</f>
        <v>0</v>
      </c>
      <c r="W40" s="326">
        <f>+'20 Year Trend'!E40</f>
        <v>6.7000000000000004E-2</v>
      </c>
      <c r="X40" s="327">
        <f>+'20 Year Trend'!F40</f>
        <v>28</v>
      </c>
      <c r="Y40" s="327">
        <f>+'20 Year Trend'!G40</f>
        <v>0</v>
      </c>
      <c r="Z40" s="328">
        <f>+'20 Year Trend'!H40</f>
        <v>104148858.61849922</v>
      </c>
    </row>
    <row r="41" spans="1:26" x14ac:dyDescent="0.3">
      <c r="A41" s="323">
        <f>+'Purchased Power Model '!A41</f>
        <v>38777</v>
      </c>
      <c r="B41" s="329">
        <f>+'Purchased Power Model '!B41</f>
        <v>102729300</v>
      </c>
      <c r="C41" s="325">
        <f>+'Purchased Power Model '!C41</f>
        <v>534</v>
      </c>
      <c r="D41" s="325">
        <f>+'Purchased Power Model '!D41</f>
        <v>0</v>
      </c>
      <c r="E41" s="326">
        <f>+'Purchased Power Model '!E41</f>
        <v>6.7000000000000004E-2</v>
      </c>
      <c r="F41" s="327">
        <f>+'Purchased Power Model '!F41</f>
        <v>31</v>
      </c>
      <c r="G41" s="327">
        <f>+'Purchased Power Model '!G41</f>
        <v>1</v>
      </c>
      <c r="H41" s="328">
        <f>+'Purchased Power Model '!H41</f>
        <v>102489935.48821063</v>
      </c>
      <c r="J41" s="323">
        <f>+'10 Year Average'!A41</f>
        <v>38777</v>
      </c>
      <c r="K41" s="329">
        <f>+'10 Year Average'!B41</f>
        <v>102729300</v>
      </c>
      <c r="L41" s="325">
        <f>+'10 Year Average'!C41</f>
        <v>534</v>
      </c>
      <c r="M41" s="325">
        <f>+'10 Year Average'!D41</f>
        <v>0</v>
      </c>
      <c r="N41" s="326">
        <f>+'10 Year Average'!E41</f>
        <v>6.7000000000000004E-2</v>
      </c>
      <c r="O41" s="327">
        <f>+'10 Year Average'!F41</f>
        <v>31</v>
      </c>
      <c r="P41" s="327">
        <f>+'10 Year Average'!G41</f>
        <v>1</v>
      </c>
      <c r="Q41" s="328">
        <f>+'10 Year Average'!H41</f>
        <v>102489935.48821063</v>
      </c>
      <c r="S41" s="323">
        <f>+'20 Year Trend'!A41</f>
        <v>38777</v>
      </c>
      <c r="T41" s="329">
        <f>+'20 Year Trend'!B41</f>
        <v>102729300</v>
      </c>
      <c r="U41" s="325">
        <f>+'20 Year Trend'!C41</f>
        <v>534</v>
      </c>
      <c r="V41" s="325">
        <f>+'20 Year Trend'!D41</f>
        <v>0</v>
      </c>
      <c r="W41" s="326">
        <f>+'20 Year Trend'!E41</f>
        <v>6.7000000000000004E-2</v>
      </c>
      <c r="X41" s="327">
        <f>+'20 Year Trend'!F41</f>
        <v>31</v>
      </c>
      <c r="Y41" s="327">
        <f>+'20 Year Trend'!G41</f>
        <v>1</v>
      </c>
      <c r="Z41" s="328">
        <f>+'20 Year Trend'!H41</f>
        <v>102489935.48821063</v>
      </c>
    </row>
    <row r="42" spans="1:26" x14ac:dyDescent="0.3">
      <c r="A42" s="323">
        <f>+'Purchased Power Model '!A42</f>
        <v>38808</v>
      </c>
      <c r="B42" s="329">
        <f>+'Purchased Power Model '!B42</f>
        <v>85245280</v>
      </c>
      <c r="C42" s="325">
        <f>+'Purchased Power Model '!C42</f>
        <v>323.60000000000002</v>
      </c>
      <c r="D42" s="325">
        <f>+'Purchased Power Model '!D42</f>
        <v>0</v>
      </c>
      <c r="E42" s="326">
        <f>+'Purchased Power Model '!E42</f>
        <v>6.3E-2</v>
      </c>
      <c r="F42" s="327">
        <f>+'Purchased Power Model '!F42</f>
        <v>30</v>
      </c>
      <c r="G42" s="327">
        <f>+'Purchased Power Model '!G42</f>
        <v>1</v>
      </c>
      <c r="H42" s="328">
        <f>+'Purchased Power Model '!H42</f>
        <v>91610485.700528949</v>
      </c>
      <c r="J42" s="323">
        <f>+'10 Year Average'!A42</f>
        <v>38808</v>
      </c>
      <c r="K42" s="329">
        <f>+'10 Year Average'!B42</f>
        <v>85245280</v>
      </c>
      <c r="L42" s="325">
        <f>+'10 Year Average'!C42</f>
        <v>323.60000000000002</v>
      </c>
      <c r="M42" s="325">
        <f>+'10 Year Average'!D42</f>
        <v>0</v>
      </c>
      <c r="N42" s="326">
        <f>+'10 Year Average'!E42</f>
        <v>6.3E-2</v>
      </c>
      <c r="O42" s="327">
        <f>+'10 Year Average'!F42</f>
        <v>30</v>
      </c>
      <c r="P42" s="327">
        <f>+'10 Year Average'!G42</f>
        <v>1</v>
      </c>
      <c r="Q42" s="328">
        <f>+'10 Year Average'!H42</f>
        <v>91610485.700528949</v>
      </c>
      <c r="S42" s="323">
        <f>+'20 Year Trend'!A42</f>
        <v>38808</v>
      </c>
      <c r="T42" s="329">
        <f>+'20 Year Trend'!B42</f>
        <v>85245280</v>
      </c>
      <c r="U42" s="325">
        <f>+'20 Year Trend'!C42</f>
        <v>323.60000000000002</v>
      </c>
      <c r="V42" s="325">
        <f>+'20 Year Trend'!D42</f>
        <v>0</v>
      </c>
      <c r="W42" s="326">
        <f>+'20 Year Trend'!E42</f>
        <v>6.3E-2</v>
      </c>
      <c r="X42" s="327">
        <f>+'20 Year Trend'!F42</f>
        <v>30</v>
      </c>
      <c r="Y42" s="327">
        <f>+'20 Year Trend'!G42</f>
        <v>1</v>
      </c>
      <c r="Z42" s="328">
        <f>+'20 Year Trend'!H42</f>
        <v>91610485.700528949</v>
      </c>
    </row>
    <row r="43" spans="1:26" x14ac:dyDescent="0.3">
      <c r="A43" s="323">
        <f>+'Purchased Power Model '!A43</f>
        <v>38838</v>
      </c>
      <c r="B43" s="329">
        <f>+'Purchased Power Model '!B43</f>
        <v>85191000</v>
      </c>
      <c r="C43" s="325">
        <f>+'Purchased Power Model '!C43</f>
        <v>172.6</v>
      </c>
      <c r="D43" s="325">
        <f>+'Purchased Power Model '!D43</f>
        <v>12.8</v>
      </c>
      <c r="E43" s="326">
        <f>+'Purchased Power Model '!E43</f>
        <v>6.3E-2</v>
      </c>
      <c r="F43" s="327">
        <f>+'Purchased Power Model '!F43</f>
        <v>31</v>
      </c>
      <c r="G43" s="327">
        <f>+'Purchased Power Model '!G43</f>
        <v>1</v>
      </c>
      <c r="H43" s="328">
        <f>+'Purchased Power Model '!H43</f>
        <v>90125962.527851</v>
      </c>
      <c r="J43" s="323">
        <f>+'10 Year Average'!A43</f>
        <v>38838</v>
      </c>
      <c r="K43" s="329">
        <f>+'10 Year Average'!B43</f>
        <v>85191000</v>
      </c>
      <c r="L43" s="325">
        <f>+'10 Year Average'!C43</f>
        <v>172.6</v>
      </c>
      <c r="M43" s="325">
        <f>+'10 Year Average'!D43</f>
        <v>12.8</v>
      </c>
      <c r="N43" s="326">
        <f>+'10 Year Average'!E43</f>
        <v>6.3E-2</v>
      </c>
      <c r="O43" s="327">
        <f>+'10 Year Average'!F43</f>
        <v>31</v>
      </c>
      <c r="P43" s="327">
        <f>+'10 Year Average'!G43</f>
        <v>1</v>
      </c>
      <c r="Q43" s="328">
        <f>+'10 Year Average'!H43</f>
        <v>90125962.527851</v>
      </c>
      <c r="S43" s="323">
        <f>+'20 Year Trend'!A43</f>
        <v>38838</v>
      </c>
      <c r="T43" s="329">
        <f>+'20 Year Trend'!B43</f>
        <v>85191000</v>
      </c>
      <c r="U43" s="325">
        <f>+'20 Year Trend'!C43</f>
        <v>172.6</v>
      </c>
      <c r="V43" s="325">
        <f>+'20 Year Trend'!D43</f>
        <v>12.8</v>
      </c>
      <c r="W43" s="326">
        <f>+'20 Year Trend'!E43</f>
        <v>6.3E-2</v>
      </c>
      <c r="X43" s="327">
        <f>+'20 Year Trend'!F43</f>
        <v>31</v>
      </c>
      <c r="Y43" s="327">
        <f>+'20 Year Trend'!G43</f>
        <v>1</v>
      </c>
      <c r="Z43" s="328">
        <f>+'20 Year Trend'!H43</f>
        <v>90125962.527851</v>
      </c>
    </row>
    <row r="44" spans="1:26" x14ac:dyDescent="0.3">
      <c r="A44" s="323">
        <f>+'Purchased Power Model '!A44</f>
        <v>38869</v>
      </c>
      <c r="B44" s="329">
        <f>+'Purchased Power Model '!B44</f>
        <v>91808310</v>
      </c>
      <c r="C44" s="325">
        <f>+'Purchased Power Model '!C44</f>
        <v>22.6</v>
      </c>
      <c r="D44" s="325">
        <f>+'Purchased Power Model '!D44</f>
        <v>36.200000000000003</v>
      </c>
      <c r="E44" s="326">
        <f>+'Purchased Power Model '!E44</f>
        <v>6.3E-2</v>
      </c>
      <c r="F44" s="327">
        <f>+'Purchased Power Model '!F44</f>
        <v>30</v>
      </c>
      <c r="G44" s="327">
        <f>+'Purchased Power Model '!G44</f>
        <v>0</v>
      </c>
      <c r="H44" s="328">
        <f>+'Purchased Power Model '!H44</f>
        <v>91637901.325320587</v>
      </c>
      <c r="J44" s="323">
        <f>+'10 Year Average'!A44</f>
        <v>38869</v>
      </c>
      <c r="K44" s="329">
        <f>+'10 Year Average'!B44</f>
        <v>91808310</v>
      </c>
      <c r="L44" s="325">
        <f>+'10 Year Average'!C44</f>
        <v>22.6</v>
      </c>
      <c r="M44" s="325">
        <f>+'10 Year Average'!D44</f>
        <v>36.200000000000003</v>
      </c>
      <c r="N44" s="326">
        <f>+'10 Year Average'!E44</f>
        <v>6.3E-2</v>
      </c>
      <c r="O44" s="327">
        <f>+'10 Year Average'!F44</f>
        <v>30</v>
      </c>
      <c r="P44" s="327">
        <f>+'10 Year Average'!G44</f>
        <v>0</v>
      </c>
      <c r="Q44" s="328">
        <f>+'10 Year Average'!H44</f>
        <v>91637901.325320587</v>
      </c>
      <c r="S44" s="323">
        <f>+'20 Year Trend'!A44</f>
        <v>38869</v>
      </c>
      <c r="T44" s="329">
        <f>+'20 Year Trend'!B44</f>
        <v>91808310</v>
      </c>
      <c r="U44" s="325">
        <f>+'20 Year Trend'!C44</f>
        <v>22.6</v>
      </c>
      <c r="V44" s="325">
        <f>+'20 Year Trend'!D44</f>
        <v>36.200000000000003</v>
      </c>
      <c r="W44" s="326">
        <f>+'20 Year Trend'!E44</f>
        <v>6.3E-2</v>
      </c>
      <c r="X44" s="327">
        <f>+'20 Year Trend'!F44</f>
        <v>30</v>
      </c>
      <c r="Y44" s="327">
        <f>+'20 Year Trend'!G44</f>
        <v>0</v>
      </c>
      <c r="Z44" s="328">
        <f>+'20 Year Trend'!H44</f>
        <v>91637901.325320587</v>
      </c>
    </row>
    <row r="45" spans="1:26" x14ac:dyDescent="0.3">
      <c r="A45" s="323">
        <f>+'Purchased Power Model '!A45</f>
        <v>38899</v>
      </c>
      <c r="B45" s="329">
        <f>+'Purchased Power Model '!B45</f>
        <v>103610940</v>
      </c>
      <c r="C45" s="325">
        <f>+'Purchased Power Model '!C45</f>
        <v>1.7</v>
      </c>
      <c r="D45" s="325">
        <f>+'Purchased Power Model '!D45</f>
        <v>107.6</v>
      </c>
      <c r="E45" s="326">
        <f>+'Purchased Power Model '!E45</f>
        <v>6.6000000000000003E-2</v>
      </c>
      <c r="F45" s="327">
        <f>+'Purchased Power Model '!F45</f>
        <v>31</v>
      </c>
      <c r="G45" s="327">
        <f>+'Purchased Power Model '!G45</f>
        <v>0</v>
      </c>
      <c r="H45" s="328">
        <f>+'Purchased Power Model '!H45</f>
        <v>103530096.25890517</v>
      </c>
      <c r="J45" s="323">
        <f>+'10 Year Average'!A45</f>
        <v>38899</v>
      </c>
      <c r="K45" s="329">
        <f>+'10 Year Average'!B45</f>
        <v>103610940</v>
      </c>
      <c r="L45" s="325">
        <f>+'10 Year Average'!C45</f>
        <v>1.7</v>
      </c>
      <c r="M45" s="325">
        <f>+'10 Year Average'!D45</f>
        <v>107.6</v>
      </c>
      <c r="N45" s="326">
        <f>+'10 Year Average'!E45</f>
        <v>6.6000000000000003E-2</v>
      </c>
      <c r="O45" s="327">
        <f>+'10 Year Average'!F45</f>
        <v>31</v>
      </c>
      <c r="P45" s="327">
        <f>+'10 Year Average'!G45</f>
        <v>0</v>
      </c>
      <c r="Q45" s="328">
        <f>+'10 Year Average'!H45</f>
        <v>103530096.25890517</v>
      </c>
      <c r="S45" s="323">
        <f>+'20 Year Trend'!A45</f>
        <v>38899</v>
      </c>
      <c r="T45" s="329">
        <f>+'20 Year Trend'!B45</f>
        <v>103610940</v>
      </c>
      <c r="U45" s="325">
        <f>+'20 Year Trend'!C45</f>
        <v>1.7</v>
      </c>
      <c r="V45" s="325">
        <f>+'20 Year Trend'!D45</f>
        <v>107.6</v>
      </c>
      <c r="W45" s="326">
        <f>+'20 Year Trend'!E45</f>
        <v>6.6000000000000003E-2</v>
      </c>
      <c r="X45" s="327">
        <f>+'20 Year Trend'!F45</f>
        <v>31</v>
      </c>
      <c r="Y45" s="327">
        <f>+'20 Year Trend'!G45</f>
        <v>0</v>
      </c>
      <c r="Z45" s="328">
        <f>+'20 Year Trend'!H45</f>
        <v>103530096.25890517</v>
      </c>
    </row>
    <row r="46" spans="1:26" x14ac:dyDescent="0.3">
      <c r="A46" s="323">
        <f>+'Purchased Power Model '!A46</f>
        <v>38930</v>
      </c>
      <c r="B46" s="329">
        <f>+'Purchased Power Model '!B46</f>
        <v>98252830</v>
      </c>
      <c r="C46" s="325">
        <f>+'Purchased Power Model '!C46</f>
        <v>4.4000000000000004</v>
      </c>
      <c r="D46" s="325">
        <f>+'Purchased Power Model '!D46</f>
        <v>82.1</v>
      </c>
      <c r="E46" s="326">
        <f>+'Purchased Power Model '!E46</f>
        <v>6.6000000000000003E-2</v>
      </c>
      <c r="F46" s="327">
        <f>+'Purchased Power Model '!F46</f>
        <v>31</v>
      </c>
      <c r="G46" s="327">
        <f>+'Purchased Power Model '!G46</f>
        <v>0</v>
      </c>
      <c r="H46" s="328">
        <f>+'Purchased Power Model '!H46</f>
        <v>99962408.488357648</v>
      </c>
      <c r="J46" s="323">
        <f>+'10 Year Average'!A46</f>
        <v>38930</v>
      </c>
      <c r="K46" s="329">
        <f>+'10 Year Average'!B46</f>
        <v>98252830</v>
      </c>
      <c r="L46" s="325">
        <f>+'10 Year Average'!C46</f>
        <v>4.4000000000000004</v>
      </c>
      <c r="M46" s="325">
        <f>+'10 Year Average'!D46</f>
        <v>82.1</v>
      </c>
      <c r="N46" s="326">
        <f>+'10 Year Average'!E46</f>
        <v>6.6000000000000003E-2</v>
      </c>
      <c r="O46" s="327">
        <f>+'10 Year Average'!F46</f>
        <v>31</v>
      </c>
      <c r="P46" s="327">
        <f>+'10 Year Average'!G46</f>
        <v>0</v>
      </c>
      <c r="Q46" s="328">
        <f>+'10 Year Average'!H46</f>
        <v>99962408.488357648</v>
      </c>
      <c r="S46" s="323">
        <f>+'20 Year Trend'!A46</f>
        <v>38930</v>
      </c>
      <c r="T46" s="329">
        <f>+'20 Year Trend'!B46</f>
        <v>98252830</v>
      </c>
      <c r="U46" s="325">
        <f>+'20 Year Trend'!C46</f>
        <v>4.4000000000000004</v>
      </c>
      <c r="V46" s="325">
        <f>+'20 Year Trend'!D46</f>
        <v>82.1</v>
      </c>
      <c r="W46" s="326">
        <f>+'20 Year Trend'!E46</f>
        <v>6.6000000000000003E-2</v>
      </c>
      <c r="X46" s="327">
        <f>+'20 Year Trend'!F46</f>
        <v>31</v>
      </c>
      <c r="Y46" s="327">
        <f>+'20 Year Trend'!G46</f>
        <v>0</v>
      </c>
      <c r="Z46" s="328">
        <f>+'20 Year Trend'!H46</f>
        <v>99962408.488357648</v>
      </c>
    </row>
    <row r="47" spans="1:26" x14ac:dyDescent="0.3">
      <c r="A47" s="323">
        <f>+'Purchased Power Model '!A47</f>
        <v>38961</v>
      </c>
      <c r="B47" s="329">
        <f>+'Purchased Power Model '!B47</f>
        <v>83090470</v>
      </c>
      <c r="C47" s="325">
        <f>+'Purchased Power Model '!C47</f>
        <v>70.7</v>
      </c>
      <c r="D47" s="325">
        <f>+'Purchased Power Model '!D47</f>
        <v>5.0999999999999996</v>
      </c>
      <c r="E47" s="326">
        <f>+'Purchased Power Model '!E47</f>
        <v>6.6000000000000003E-2</v>
      </c>
      <c r="F47" s="327">
        <f>+'Purchased Power Model '!F47</f>
        <v>30</v>
      </c>
      <c r="G47" s="327">
        <f>+'Purchased Power Model '!G47</f>
        <v>1</v>
      </c>
      <c r="H47" s="328">
        <f>+'Purchased Power Model '!H47</f>
        <v>81697019.440405563</v>
      </c>
      <c r="J47" s="323">
        <f>+'10 Year Average'!A47</f>
        <v>38961</v>
      </c>
      <c r="K47" s="329">
        <f>+'10 Year Average'!B47</f>
        <v>83090470</v>
      </c>
      <c r="L47" s="325">
        <f>+'10 Year Average'!C47</f>
        <v>70.7</v>
      </c>
      <c r="M47" s="325">
        <f>+'10 Year Average'!D47</f>
        <v>5.0999999999999996</v>
      </c>
      <c r="N47" s="326">
        <f>+'10 Year Average'!E47</f>
        <v>6.6000000000000003E-2</v>
      </c>
      <c r="O47" s="327">
        <f>+'10 Year Average'!F47</f>
        <v>30</v>
      </c>
      <c r="P47" s="327">
        <f>+'10 Year Average'!G47</f>
        <v>1</v>
      </c>
      <c r="Q47" s="328">
        <f>+'10 Year Average'!H47</f>
        <v>81697019.440405563</v>
      </c>
      <c r="S47" s="323">
        <f>+'20 Year Trend'!A47</f>
        <v>38961</v>
      </c>
      <c r="T47" s="329">
        <f>+'20 Year Trend'!B47</f>
        <v>83090470</v>
      </c>
      <c r="U47" s="325">
        <f>+'20 Year Trend'!C47</f>
        <v>70.7</v>
      </c>
      <c r="V47" s="325">
        <f>+'20 Year Trend'!D47</f>
        <v>5.0999999999999996</v>
      </c>
      <c r="W47" s="326">
        <f>+'20 Year Trend'!E47</f>
        <v>6.6000000000000003E-2</v>
      </c>
      <c r="X47" s="327">
        <f>+'20 Year Trend'!F47</f>
        <v>30</v>
      </c>
      <c r="Y47" s="327">
        <f>+'20 Year Trend'!G47</f>
        <v>1</v>
      </c>
      <c r="Z47" s="328">
        <f>+'20 Year Trend'!H47</f>
        <v>81697019.440405563</v>
      </c>
    </row>
    <row r="48" spans="1:26" x14ac:dyDescent="0.3">
      <c r="A48" s="323">
        <f>+'Purchased Power Model '!A48</f>
        <v>38991</v>
      </c>
      <c r="B48" s="329">
        <f>+'Purchased Power Model '!B48</f>
        <v>90859410</v>
      </c>
      <c r="C48" s="325">
        <f>+'Purchased Power Model '!C48</f>
        <v>274.60000000000002</v>
      </c>
      <c r="D48" s="325">
        <f>+'Purchased Power Model '!D48</f>
        <v>0</v>
      </c>
      <c r="E48" s="326">
        <f>+'Purchased Power Model '!E48</f>
        <v>6.7000000000000004E-2</v>
      </c>
      <c r="F48" s="327">
        <f>+'Purchased Power Model '!F48</f>
        <v>31</v>
      </c>
      <c r="G48" s="327">
        <f>+'Purchased Power Model '!G48</f>
        <v>1</v>
      </c>
      <c r="H48" s="328">
        <f>+'Purchased Power Model '!H48</f>
        <v>91941444.332725883</v>
      </c>
      <c r="J48" s="323">
        <f>+'10 Year Average'!A48</f>
        <v>38991</v>
      </c>
      <c r="K48" s="329">
        <f>+'10 Year Average'!B48</f>
        <v>90859410</v>
      </c>
      <c r="L48" s="325">
        <f>+'10 Year Average'!C48</f>
        <v>274.60000000000002</v>
      </c>
      <c r="M48" s="325">
        <f>+'10 Year Average'!D48</f>
        <v>0</v>
      </c>
      <c r="N48" s="326">
        <f>+'10 Year Average'!E48</f>
        <v>6.7000000000000004E-2</v>
      </c>
      <c r="O48" s="327">
        <f>+'10 Year Average'!F48</f>
        <v>31</v>
      </c>
      <c r="P48" s="327">
        <f>+'10 Year Average'!G48</f>
        <v>1</v>
      </c>
      <c r="Q48" s="328">
        <f>+'10 Year Average'!H48</f>
        <v>91941444.332725883</v>
      </c>
      <c r="S48" s="323">
        <f>+'20 Year Trend'!A48</f>
        <v>38991</v>
      </c>
      <c r="T48" s="329">
        <f>+'20 Year Trend'!B48</f>
        <v>90859410</v>
      </c>
      <c r="U48" s="325">
        <f>+'20 Year Trend'!C48</f>
        <v>274.60000000000002</v>
      </c>
      <c r="V48" s="325">
        <f>+'20 Year Trend'!D48</f>
        <v>0</v>
      </c>
      <c r="W48" s="326">
        <f>+'20 Year Trend'!E48</f>
        <v>6.7000000000000004E-2</v>
      </c>
      <c r="X48" s="327">
        <f>+'20 Year Trend'!F48</f>
        <v>31</v>
      </c>
      <c r="Y48" s="327">
        <f>+'20 Year Trend'!G48</f>
        <v>1</v>
      </c>
      <c r="Z48" s="328">
        <f>+'20 Year Trend'!H48</f>
        <v>91941444.332725883</v>
      </c>
    </row>
    <row r="49" spans="1:26" x14ac:dyDescent="0.3">
      <c r="A49" s="323">
        <f>+'Purchased Power Model '!A49</f>
        <v>39022</v>
      </c>
      <c r="B49" s="329">
        <f>+'Purchased Power Model '!B49</f>
        <v>95117460</v>
      </c>
      <c r="C49" s="325">
        <f>+'Purchased Power Model '!C49</f>
        <v>367.5</v>
      </c>
      <c r="D49" s="325">
        <f>+'Purchased Power Model '!D49</f>
        <v>0</v>
      </c>
      <c r="E49" s="326">
        <f>+'Purchased Power Model '!E49</f>
        <v>6.7000000000000004E-2</v>
      </c>
      <c r="F49" s="327">
        <f>+'Purchased Power Model '!F49</f>
        <v>30</v>
      </c>
      <c r="G49" s="327">
        <f>+'Purchased Power Model '!G49</f>
        <v>1</v>
      </c>
      <c r="H49" s="328">
        <f>+'Purchased Power Model '!H49</f>
        <v>92909285.545712456</v>
      </c>
      <c r="J49" s="323">
        <f>+'10 Year Average'!A49</f>
        <v>39022</v>
      </c>
      <c r="K49" s="329">
        <f>+'10 Year Average'!B49</f>
        <v>95117460</v>
      </c>
      <c r="L49" s="325">
        <f>+'10 Year Average'!C49</f>
        <v>367.5</v>
      </c>
      <c r="M49" s="325">
        <f>+'10 Year Average'!D49</f>
        <v>0</v>
      </c>
      <c r="N49" s="326">
        <f>+'10 Year Average'!E49</f>
        <v>6.7000000000000004E-2</v>
      </c>
      <c r="O49" s="327">
        <f>+'10 Year Average'!F49</f>
        <v>30</v>
      </c>
      <c r="P49" s="327">
        <f>+'10 Year Average'!G49</f>
        <v>1</v>
      </c>
      <c r="Q49" s="328">
        <f>+'10 Year Average'!H49</f>
        <v>92909285.545712456</v>
      </c>
      <c r="S49" s="323">
        <f>+'20 Year Trend'!A49</f>
        <v>39022</v>
      </c>
      <c r="T49" s="329">
        <f>+'20 Year Trend'!B49</f>
        <v>95117460</v>
      </c>
      <c r="U49" s="325">
        <f>+'20 Year Trend'!C49</f>
        <v>367.5</v>
      </c>
      <c r="V49" s="325">
        <f>+'20 Year Trend'!D49</f>
        <v>0</v>
      </c>
      <c r="W49" s="326">
        <f>+'20 Year Trend'!E49</f>
        <v>6.7000000000000004E-2</v>
      </c>
      <c r="X49" s="327">
        <f>+'20 Year Trend'!F49</f>
        <v>30</v>
      </c>
      <c r="Y49" s="327">
        <f>+'20 Year Trend'!G49</f>
        <v>1</v>
      </c>
      <c r="Z49" s="328">
        <f>+'20 Year Trend'!H49</f>
        <v>92909285.545712456</v>
      </c>
    </row>
    <row r="50" spans="1:26" x14ac:dyDescent="0.3">
      <c r="A50" s="323">
        <f>+'Purchased Power Model '!A50</f>
        <v>39052</v>
      </c>
      <c r="B50" s="329">
        <f>+'Purchased Power Model '!B50</f>
        <v>105098960</v>
      </c>
      <c r="C50" s="325">
        <f>+'Purchased Power Model '!C50</f>
        <v>471.5</v>
      </c>
      <c r="D50" s="325">
        <f>+'Purchased Power Model '!D50</f>
        <v>0</v>
      </c>
      <c r="E50" s="326">
        <f>+'Purchased Power Model '!E50</f>
        <v>6.7000000000000004E-2</v>
      </c>
      <c r="F50" s="327">
        <f>+'Purchased Power Model '!F50</f>
        <v>31</v>
      </c>
      <c r="G50" s="327">
        <f>+'Purchased Power Model '!G50</f>
        <v>0</v>
      </c>
      <c r="H50" s="328">
        <f>+'Purchased Power Model '!H50</f>
        <v>106995360.61325401</v>
      </c>
      <c r="J50" s="323">
        <f>+'10 Year Average'!A50</f>
        <v>39052</v>
      </c>
      <c r="K50" s="329">
        <f>+'10 Year Average'!B50</f>
        <v>105098960</v>
      </c>
      <c r="L50" s="325">
        <f>+'10 Year Average'!C50</f>
        <v>471.5</v>
      </c>
      <c r="M50" s="325">
        <f>+'10 Year Average'!D50</f>
        <v>0</v>
      </c>
      <c r="N50" s="326">
        <f>+'10 Year Average'!E50</f>
        <v>6.7000000000000004E-2</v>
      </c>
      <c r="O50" s="327">
        <f>+'10 Year Average'!F50</f>
        <v>31</v>
      </c>
      <c r="P50" s="327">
        <f>+'10 Year Average'!G50</f>
        <v>0</v>
      </c>
      <c r="Q50" s="328">
        <f>+'10 Year Average'!H50</f>
        <v>106995360.61325401</v>
      </c>
      <c r="S50" s="323">
        <f>+'20 Year Trend'!A50</f>
        <v>39052</v>
      </c>
      <c r="T50" s="329">
        <f>+'20 Year Trend'!B50</f>
        <v>105098960</v>
      </c>
      <c r="U50" s="325">
        <f>+'20 Year Trend'!C50</f>
        <v>471.5</v>
      </c>
      <c r="V50" s="325">
        <f>+'20 Year Trend'!D50</f>
        <v>0</v>
      </c>
      <c r="W50" s="326">
        <f>+'20 Year Trend'!E50</f>
        <v>6.7000000000000004E-2</v>
      </c>
      <c r="X50" s="327">
        <f>+'20 Year Trend'!F50</f>
        <v>31</v>
      </c>
      <c r="Y50" s="327">
        <f>+'20 Year Trend'!G50</f>
        <v>0</v>
      </c>
      <c r="Z50" s="328">
        <f>+'20 Year Trend'!H50</f>
        <v>106995360.61325401</v>
      </c>
    </row>
    <row r="51" spans="1:26" x14ac:dyDescent="0.3">
      <c r="A51" s="323">
        <f>+'Purchased Power Model '!A51</f>
        <v>39083</v>
      </c>
      <c r="B51" s="329">
        <f>+'Purchased Power Model '!B51</f>
        <v>112093789.99999999</v>
      </c>
      <c r="C51" s="325">
        <f>+'Purchased Power Model '!C51</f>
        <v>573.1</v>
      </c>
      <c r="D51" s="325">
        <f>+'Purchased Power Model '!D51</f>
        <v>0</v>
      </c>
      <c r="E51" s="326">
        <f>+'Purchased Power Model '!E51</f>
        <v>6.2E-2</v>
      </c>
      <c r="F51" s="327">
        <f>+'Purchased Power Model '!F51</f>
        <v>31</v>
      </c>
      <c r="G51" s="327">
        <f>+'Purchased Power Model '!G51</f>
        <v>0</v>
      </c>
      <c r="H51" s="328">
        <f>+'Purchased Power Model '!H51</f>
        <v>111734910.74337631</v>
      </c>
      <c r="J51" s="323">
        <f>+'10 Year Average'!A51</f>
        <v>39083</v>
      </c>
      <c r="K51" s="329">
        <f>+'10 Year Average'!B51</f>
        <v>112093789.99999999</v>
      </c>
      <c r="L51" s="325">
        <f>+'10 Year Average'!C51</f>
        <v>573.1</v>
      </c>
      <c r="M51" s="325">
        <f>+'10 Year Average'!D51</f>
        <v>0</v>
      </c>
      <c r="N51" s="326">
        <f>+'10 Year Average'!E51</f>
        <v>6.2E-2</v>
      </c>
      <c r="O51" s="327">
        <f>+'10 Year Average'!F51</f>
        <v>31</v>
      </c>
      <c r="P51" s="327">
        <f>+'10 Year Average'!G51</f>
        <v>0</v>
      </c>
      <c r="Q51" s="328">
        <f>+'10 Year Average'!H51</f>
        <v>111734910.74337631</v>
      </c>
      <c r="S51" s="323">
        <f>+'20 Year Trend'!A51</f>
        <v>39083</v>
      </c>
      <c r="T51" s="329">
        <f>+'20 Year Trend'!B51</f>
        <v>112093789.99999999</v>
      </c>
      <c r="U51" s="325">
        <f>+'20 Year Trend'!C51</f>
        <v>573.1</v>
      </c>
      <c r="V51" s="325">
        <f>+'20 Year Trend'!D51</f>
        <v>0</v>
      </c>
      <c r="W51" s="326">
        <f>+'20 Year Trend'!E51</f>
        <v>6.2E-2</v>
      </c>
      <c r="X51" s="327">
        <f>+'20 Year Trend'!F51</f>
        <v>31</v>
      </c>
      <c r="Y51" s="327">
        <f>+'20 Year Trend'!G51</f>
        <v>0</v>
      </c>
      <c r="Z51" s="328">
        <f>+'20 Year Trend'!H51</f>
        <v>111734910.74337631</v>
      </c>
    </row>
    <row r="52" spans="1:26" x14ac:dyDescent="0.3">
      <c r="A52" s="323">
        <f>+'Purchased Power Model '!A52</f>
        <v>39114</v>
      </c>
      <c r="B52" s="329">
        <f>+'Purchased Power Model '!B52</f>
        <v>109302770</v>
      </c>
      <c r="C52" s="325">
        <f>+'Purchased Power Model '!C52</f>
        <v>693.5</v>
      </c>
      <c r="D52" s="325">
        <f>+'Purchased Power Model '!D52</f>
        <v>0</v>
      </c>
      <c r="E52" s="326">
        <f>+'Purchased Power Model '!E52</f>
        <v>6.2E-2</v>
      </c>
      <c r="F52" s="327">
        <f>+'Purchased Power Model '!F52</f>
        <v>28</v>
      </c>
      <c r="G52" s="327">
        <f>+'Purchased Power Model '!G52</f>
        <v>0</v>
      </c>
      <c r="H52" s="328">
        <f>+'Purchased Power Model '!H52</f>
        <v>108201170.8899951</v>
      </c>
      <c r="J52" s="323">
        <f>+'10 Year Average'!A52</f>
        <v>39114</v>
      </c>
      <c r="K52" s="329">
        <f>+'10 Year Average'!B52</f>
        <v>109302770</v>
      </c>
      <c r="L52" s="325">
        <f>+'10 Year Average'!C52</f>
        <v>693.5</v>
      </c>
      <c r="M52" s="325">
        <f>+'10 Year Average'!D52</f>
        <v>0</v>
      </c>
      <c r="N52" s="326">
        <f>+'10 Year Average'!E52</f>
        <v>6.2E-2</v>
      </c>
      <c r="O52" s="327">
        <f>+'10 Year Average'!F52</f>
        <v>28</v>
      </c>
      <c r="P52" s="327">
        <f>+'10 Year Average'!G52</f>
        <v>0</v>
      </c>
      <c r="Q52" s="328">
        <f>+'10 Year Average'!H52</f>
        <v>108201170.8899951</v>
      </c>
      <c r="S52" s="323">
        <f>+'20 Year Trend'!A52</f>
        <v>39114</v>
      </c>
      <c r="T52" s="329">
        <f>+'20 Year Trend'!B52</f>
        <v>109302770</v>
      </c>
      <c r="U52" s="325">
        <f>+'20 Year Trend'!C52</f>
        <v>693.5</v>
      </c>
      <c r="V52" s="325">
        <f>+'20 Year Trend'!D52</f>
        <v>0</v>
      </c>
      <c r="W52" s="326">
        <f>+'20 Year Trend'!E52</f>
        <v>6.2E-2</v>
      </c>
      <c r="X52" s="327">
        <f>+'20 Year Trend'!F52</f>
        <v>28</v>
      </c>
      <c r="Y52" s="327">
        <f>+'20 Year Trend'!G52</f>
        <v>0</v>
      </c>
      <c r="Z52" s="328">
        <f>+'20 Year Trend'!H52</f>
        <v>108201170.8899951</v>
      </c>
    </row>
    <row r="53" spans="1:26" x14ac:dyDescent="0.3">
      <c r="A53" s="323">
        <f>+'Purchased Power Model '!A53</f>
        <v>39142</v>
      </c>
      <c r="B53" s="329">
        <f>+'Purchased Power Model '!B53</f>
        <v>106781890</v>
      </c>
      <c r="C53" s="325">
        <f>+'Purchased Power Model '!C53</f>
        <v>477.9</v>
      </c>
      <c r="D53" s="325">
        <f>+'Purchased Power Model '!D53</f>
        <v>0</v>
      </c>
      <c r="E53" s="326">
        <f>+'Purchased Power Model '!E53</f>
        <v>6.2E-2</v>
      </c>
      <c r="F53" s="327">
        <f>+'Purchased Power Model '!F53</f>
        <v>31</v>
      </c>
      <c r="G53" s="327">
        <f>+'Purchased Power Model '!G53</f>
        <v>1</v>
      </c>
      <c r="H53" s="328">
        <f>+'Purchased Power Model '!H53</f>
        <v>100816621.10322134</v>
      </c>
      <c r="J53" s="323">
        <f>+'10 Year Average'!A53</f>
        <v>39142</v>
      </c>
      <c r="K53" s="329">
        <f>+'10 Year Average'!B53</f>
        <v>106781890</v>
      </c>
      <c r="L53" s="325">
        <f>+'10 Year Average'!C53</f>
        <v>477.9</v>
      </c>
      <c r="M53" s="325">
        <f>+'10 Year Average'!D53</f>
        <v>0</v>
      </c>
      <c r="N53" s="326">
        <f>+'10 Year Average'!E53</f>
        <v>6.2E-2</v>
      </c>
      <c r="O53" s="327">
        <f>+'10 Year Average'!F53</f>
        <v>31</v>
      </c>
      <c r="P53" s="327">
        <f>+'10 Year Average'!G53</f>
        <v>1</v>
      </c>
      <c r="Q53" s="328">
        <f>+'10 Year Average'!H53</f>
        <v>100816621.10322134</v>
      </c>
      <c r="S53" s="323">
        <f>+'20 Year Trend'!A53</f>
        <v>39142</v>
      </c>
      <c r="T53" s="329">
        <f>+'20 Year Trend'!B53</f>
        <v>106781890</v>
      </c>
      <c r="U53" s="325">
        <f>+'20 Year Trend'!C53</f>
        <v>477.9</v>
      </c>
      <c r="V53" s="325">
        <f>+'20 Year Trend'!D53</f>
        <v>0</v>
      </c>
      <c r="W53" s="326">
        <f>+'20 Year Trend'!E53</f>
        <v>6.2E-2</v>
      </c>
      <c r="X53" s="327">
        <f>+'20 Year Trend'!F53</f>
        <v>31</v>
      </c>
      <c r="Y53" s="327">
        <f>+'20 Year Trend'!G53</f>
        <v>1</v>
      </c>
      <c r="Z53" s="328">
        <f>+'20 Year Trend'!H53</f>
        <v>100816621.10322134</v>
      </c>
    </row>
    <row r="54" spans="1:26" x14ac:dyDescent="0.3">
      <c r="A54" s="323">
        <f>+'Purchased Power Model '!A54</f>
        <v>39173</v>
      </c>
      <c r="B54" s="329">
        <f>+'Purchased Power Model '!B54</f>
        <v>92267850</v>
      </c>
      <c r="C54" s="325">
        <f>+'Purchased Power Model '!C54</f>
        <v>280.39999999999998</v>
      </c>
      <c r="D54" s="325">
        <f>+'Purchased Power Model '!D54</f>
        <v>0</v>
      </c>
      <c r="E54" s="326">
        <f>+'Purchased Power Model '!E54</f>
        <v>5.9000000000000004E-2</v>
      </c>
      <c r="F54" s="327">
        <f>+'Purchased Power Model '!F54</f>
        <v>30</v>
      </c>
      <c r="G54" s="327">
        <f>+'Purchased Power Model '!G54</f>
        <v>1</v>
      </c>
      <c r="H54" s="328">
        <f>+'Purchased Power Model '!H54</f>
        <v>90340151.328779668</v>
      </c>
      <c r="J54" s="323">
        <f>+'10 Year Average'!A54</f>
        <v>39173</v>
      </c>
      <c r="K54" s="329">
        <f>+'10 Year Average'!B54</f>
        <v>92267850</v>
      </c>
      <c r="L54" s="325">
        <f>+'10 Year Average'!C54</f>
        <v>280.39999999999998</v>
      </c>
      <c r="M54" s="325">
        <f>+'10 Year Average'!D54</f>
        <v>0</v>
      </c>
      <c r="N54" s="326">
        <f>+'10 Year Average'!E54</f>
        <v>5.9000000000000004E-2</v>
      </c>
      <c r="O54" s="327">
        <f>+'10 Year Average'!F54</f>
        <v>30</v>
      </c>
      <c r="P54" s="327">
        <f>+'10 Year Average'!G54</f>
        <v>1</v>
      </c>
      <c r="Q54" s="328">
        <f>+'10 Year Average'!H54</f>
        <v>90340151.328779668</v>
      </c>
      <c r="S54" s="323">
        <f>+'20 Year Trend'!A54</f>
        <v>39173</v>
      </c>
      <c r="T54" s="329">
        <f>+'20 Year Trend'!B54</f>
        <v>92267850</v>
      </c>
      <c r="U54" s="325">
        <f>+'20 Year Trend'!C54</f>
        <v>280.39999999999998</v>
      </c>
      <c r="V54" s="325">
        <f>+'20 Year Trend'!D54</f>
        <v>0</v>
      </c>
      <c r="W54" s="326">
        <f>+'20 Year Trend'!E54</f>
        <v>5.9000000000000004E-2</v>
      </c>
      <c r="X54" s="327">
        <f>+'20 Year Trend'!F54</f>
        <v>30</v>
      </c>
      <c r="Y54" s="327">
        <f>+'20 Year Trend'!G54</f>
        <v>1</v>
      </c>
      <c r="Z54" s="328">
        <f>+'20 Year Trend'!H54</f>
        <v>90340151.328779668</v>
      </c>
    </row>
    <row r="55" spans="1:26" x14ac:dyDescent="0.3">
      <c r="A55" s="323">
        <f>+'Purchased Power Model '!A55</f>
        <v>39203</v>
      </c>
      <c r="B55" s="329">
        <f>+'Purchased Power Model '!B55</f>
        <v>86029130</v>
      </c>
      <c r="C55" s="325">
        <f>+'Purchased Power Model '!C55</f>
        <v>72.8</v>
      </c>
      <c r="D55" s="325">
        <f>+'Purchased Power Model '!D55</f>
        <v>4.5</v>
      </c>
      <c r="E55" s="326">
        <f>+'Purchased Power Model '!E55</f>
        <v>5.9000000000000004E-2</v>
      </c>
      <c r="F55" s="327">
        <f>+'Purchased Power Model '!F55</f>
        <v>31</v>
      </c>
      <c r="G55" s="327">
        <f>+'Purchased Power Model '!G55</f>
        <v>1</v>
      </c>
      <c r="H55" s="328">
        <f>+'Purchased Power Model '!H55</f>
        <v>85357006.586680621</v>
      </c>
      <c r="J55" s="323">
        <f>+'10 Year Average'!A55</f>
        <v>39203</v>
      </c>
      <c r="K55" s="329">
        <f>+'10 Year Average'!B55</f>
        <v>86029130</v>
      </c>
      <c r="L55" s="325">
        <f>+'10 Year Average'!C55</f>
        <v>72.8</v>
      </c>
      <c r="M55" s="325">
        <f>+'10 Year Average'!D55</f>
        <v>4.5</v>
      </c>
      <c r="N55" s="326">
        <f>+'10 Year Average'!E55</f>
        <v>5.9000000000000004E-2</v>
      </c>
      <c r="O55" s="327">
        <f>+'10 Year Average'!F55</f>
        <v>31</v>
      </c>
      <c r="P55" s="327">
        <f>+'10 Year Average'!G55</f>
        <v>1</v>
      </c>
      <c r="Q55" s="328">
        <f>+'10 Year Average'!H55</f>
        <v>85357006.586680621</v>
      </c>
      <c r="S55" s="323">
        <f>+'20 Year Trend'!A55</f>
        <v>39203</v>
      </c>
      <c r="T55" s="329">
        <f>+'20 Year Trend'!B55</f>
        <v>86029130</v>
      </c>
      <c r="U55" s="325">
        <f>+'20 Year Trend'!C55</f>
        <v>72.8</v>
      </c>
      <c r="V55" s="325">
        <f>+'20 Year Trend'!D55</f>
        <v>4.5</v>
      </c>
      <c r="W55" s="326">
        <f>+'20 Year Trend'!E55</f>
        <v>5.9000000000000004E-2</v>
      </c>
      <c r="X55" s="327">
        <f>+'20 Year Trend'!F55</f>
        <v>31</v>
      </c>
      <c r="Y55" s="327">
        <f>+'20 Year Trend'!G55</f>
        <v>1</v>
      </c>
      <c r="Z55" s="328">
        <f>+'20 Year Trend'!H55</f>
        <v>85357006.586680621</v>
      </c>
    </row>
    <row r="56" spans="1:26" x14ac:dyDescent="0.3">
      <c r="A56" s="323">
        <f>+'Purchased Power Model '!A56</f>
        <v>39234</v>
      </c>
      <c r="B56" s="329">
        <f>+'Purchased Power Model '!B56</f>
        <v>96829929.999999985</v>
      </c>
      <c r="C56" s="325">
        <f>+'Purchased Power Model '!C56</f>
        <v>6.2</v>
      </c>
      <c r="D56" s="325">
        <f>+'Purchased Power Model '!D56</f>
        <v>32.799999999999997</v>
      </c>
      <c r="E56" s="326">
        <f>+'Purchased Power Model '!E56</f>
        <v>5.9000000000000004E-2</v>
      </c>
      <c r="F56" s="327">
        <f>+'Purchased Power Model '!F56</f>
        <v>30</v>
      </c>
      <c r="G56" s="327">
        <f>+'Purchased Power Model '!G56</f>
        <v>0</v>
      </c>
      <c r="H56" s="328">
        <f>+'Purchased Power Model '!H56</f>
        <v>90967056.847404569</v>
      </c>
      <c r="J56" s="323">
        <f>+'10 Year Average'!A56</f>
        <v>39234</v>
      </c>
      <c r="K56" s="329">
        <f>+'10 Year Average'!B56</f>
        <v>96829929.999999985</v>
      </c>
      <c r="L56" s="325">
        <f>+'10 Year Average'!C56</f>
        <v>6.2</v>
      </c>
      <c r="M56" s="325">
        <f>+'10 Year Average'!D56</f>
        <v>32.799999999999997</v>
      </c>
      <c r="N56" s="326">
        <f>+'10 Year Average'!E56</f>
        <v>5.9000000000000004E-2</v>
      </c>
      <c r="O56" s="327">
        <f>+'10 Year Average'!F56</f>
        <v>30</v>
      </c>
      <c r="P56" s="327">
        <f>+'10 Year Average'!G56</f>
        <v>0</v>
      </c>
      <c r="Q56" s="328">
        <f>+'10 Year Average'!H56</f>
        <v>90967056.847404569</v>
      </c>
      <c r="S56" s="323">
        <f>+'20 Year Trend'!A56</f>
        <v>39234</v>
      </c>
      <c r="T56" s="329">
        <f>+'20 Year Trend'!B56</f>
        <v>96829929.999999985</v>
      </c>
      <c r="U56" s="325">
        <f>+'20 Year Trend'!C56</f>
        <v>6.2</v>
      </c>
      <c r="V56" s="325">
        <f>+'20 Year Trend'!D56</f>
        <v>32.799999999999997</v>
      </c>
      <c r="W56" s="326">
        <f>+'20 Year Trend'!E56</f>
        <v>5.9000000000000004E-2</v>
      </c>
      <c r="X56" s="327">
        <f>+'20 Year Trend'!F56</f>
        <v>30</v>
      </c>
      <c r="Y56" s="327">
        <f>+'20 Year Trend'!G56</f>
        <v>0</v>
      </c>
      <c r="Z56" s="328">
        <f>+'20 Year Trend'!H56</f>
        <v>90967056.847404569</v>
      </c>
    </row>
    <row r="57" spans="1:26" x14ac:dyDescent="0.3">
      <c r="A57" s="323">
        <f>+'Purchased Power Model '!A57</f>
        <v>39264</v>
      </c>
      <c r="B57" s="329">
        <f>+'Purchased Power Model '!B57</f>
        <v>96919610</v>
      </c>
      <c r="C57" s="325">
        <f>+'Purchased Power Model '!C57</f>
        <v>8.6999999999999993</v>
      </c>
      <c r="D57" s="325">
        <f>+'Purchased Power Model '!D57</f>
        <v>41.6</v>
      </c>
      <c r="E57" s="326">
        <f>+'Purchased Power Model '!E57</f>
        <v>6.4000000000000001E-2</v>
      </c>
      <c r="F57" s="327">
        <f>+'Purchased Power Model '!F57</f>
        <v>31</v>
      </c>
      <c r="G57" s="327">
        <f>+'Purchased Power Model '!G57</f>
        <v>0</v>
      </c>
      <c r="H57" s="328">
        <f>+'Purchased Power Model '!H57</f>
        <v>94539755.258482009</v>
      </c>
      <c r="J57" s="323">
        <f>+'10 Year Average'!A57</f>
        <v>39264</v>
      </c>
      <c r="K57" s="329">
        <f>+'10 Year Average'!B57</f>
        <v>96919610</v>
      </c>
      <c r="L57" s="325">
        <f>+'10 Year Average'!C57</f>
        <v>8.6999999999999993</v>
      </c>
      <c r="M57" s="325">
        <f>+'10 Year Average'!D57</f>
        <v>41.6</v>
      </c>
      <c r="N57" s="326">
        <f>+'10 Year Average'!E57</f>
        <v>6.4000000000000001E-2</v>
      </c>
      <c r="O57" s="327">
        <f>+'10 Year Average'!F57</f>
        <v>31</v>
      </c>
      <c r="P57" s="327">
        <f>+'10 Year Average'!G57</f>
        <v>0</v>
      </c>
      <c r="Q57" s="328">
        <f>+'10 Year Average'!H57</f>
        <v>94539755.258482009</v>
      </c>
      <c r="S57" s="323">
        <f>+'20 Year Trend'!A57</f>
        <v>39264</v>
      </c>
      <c r="T57" s="329">
        <f>+'20 Year Trend'!B57</f>
        <v>96919610</v>
      </c>
      <c r="U57" s="325">
        <f>+'20 Year Trend'!C57</f>
        <v>8.6999999999999993</v>
      </c>
      <c r="V57" s="325">
        <f>+'20 Year Trend'!D57</f>
        <v>41.6</v>
      </c>
      <c r="W57" s="326">
        <f>+'20 Year Trend'!E57</f>
        <v>6.4000000000000001E-2</v>
      </c>
      <c r="X57" s="327">
        <f>+'20 Year Trend'!F57</f>
        <v>31</v>
      </c>
      <c r="Y57" s="327">
        <f>+'20 Year Trend'!G57</f>
        <v>0</v>
      </c>
      <c r="Z57" s="328">
        <f>+'20 Year Trend'!H57</f>
        <v>94539755.258482009</v>
      </c>
    </row>
    <row r="58" spans="1:26" x14ac:dyDescent="0.3">
      <c r="A58" s="323">
        <f>+'Purchased Power Model '!A58</f>
        <v>39295</v>
      </c>
      <c r="B58" s="329">
        <f>+'Purchased Power Model '!B58</f>
        <v>103644560</v>
      </c>
      <c r="C58" s="325">
        <f>+'Purchased Power Model '!C58</f>
        <v>4</v>
      </c>
      <c r="D58" s="325">
        <f>+'Purchased Power Model '!D58</f>
        <v>87.8</v>
      </c>
      <c r="E58" s="326">
        <f>+'Purchased Power Model '!E58</f>
        <v>6.4000000000000001E-2</v>
      </c>
      <c r="F58" s="327">
        <f>+'Purchased Power Model '!F58</f>
        <v>31</v>
      </c>
      <c r="G58" s="327">
        <f>+'Purchased Power Model '!G58</f>
        <v>0</v>
      </c>
      <c r="H58" s="328">
        <f>+'Purchased Power Model '!H58</f>
        <v>101011364.14725512</v>
      </c>
      <c r="J58" s="323">
        <f>+'10 Year Average'!A58</f>
        <v>39295</v>
      </c>
      <c r="K58" s="329">
        <f>+'10 Year Average'!B58</f>
        <v>103644560</v>
      </c>
      <c r="L58" s="325">
        <f>+'10 Year Average'!C58</f>
        <v>4</v>
      </c>
      <c r="M58" s="325">
        <f>+'10 Year Average'!D58</f>
        <v>87.8</v>
      </c>
      <c r="N58" s="326">
        <f>+'10 Year Average'!E58</f>
        <v>6.4000000000000001E-2</v>
      </c>
      <c r="O58" s="327">
        <f>+'10 Year Average'!F58</f>
        <v>31</v>
      </c>
      <c r="P58" s="327">
        <f>+'10 Year Average'!G58</f>
        <v>0</v>
      </c>
      <c r="Q58" s="328">
        <f>+'10 Year Average'!H58</f>
        <v>101011364.14725512</v>
      </c>
      <c r="S58" s="323">
        <f>+'20 Year Trend'!A58</f>
        <v>39295</v>
      </c>
      <c r="T58" s="329">
        <f>+'20 Year Trend'!B58</f>
        <v>103644560</v>
      </c>
      <c r="U58" s="325">
        <f>+'20 Year Trend'!C58</f>
        <v>4</v>
      </c>
      <c r="V58" s="325">
        <f>+'20 Year Trend'!D58</f>
        <v>87.8</v>
      </c>
      <c r="W58" s="326">
        <f>+'20 Year Trend'!E58</f>
        <v>6.4000000000000001E-2</v>
      </c>
      <c r="X58" s="327">
        <f>+'20 Year Trend'!F58</f>
        <v>31</v>
      </c>
      <c r="Y58" s="327">
        <f>+'20 Year Trend'!G58</f>
        <v>0</v>
      </c>
      <c r="Z58" s="328">
        <f>+'20 Year Trend'!H58</f>
        <v>101011364.14725512</v>
      </c>
    </row>
    <row r="59" spans="1:26" x14ac:dyDescent="0.3">
      <c r="A59" s="323">
        <f>+'Purchased Power Model '!A59</f>
        <v>39326</v>
      </c>
      <c r="B59" s="329">
        <f>+'Purchased Power Model '!B59</f>
        <v>87760000</v>
      </c>
      <c r="C59" s="325">
        <f>+'Purchased Power Model '!C59</f>
        <v>20.100000000000001</v>
      </c>
      <c r="D59" s="325">
        <f>+'Purchased Power Model '!D59</f>
        <v>12.3</v>
      </c>
      <c r="E59" s="326">
        <f>+'Purchased Power Model '!E59</f>
        <v>6.4000000000000001E-2</v>
      </c>
      <c r="F59" s="327">
        <f>+'Purchased Power Model '!F59</f>
        <v>30</v>
      </c>
      <c r="G59" s="327">
        <f>+'Purchased Power Model '!G59</f>
        <v>1</v>
      </c>
      <c r="H59" s="328">
        <f>+'Purchased Power Model '!H59</f>
        <v>80920916.543747038</v>
      </c>
      <c r="J59" s="323">
        <f>+'10 Year Average'!A59</f>
        <v>39326</v>
      </c>
      <c r="K59" s="329">
        <f>+'10 Year Average'!B59</f>
        <v>87760000</v>
      </c>
      <c r="L59" s="325">
        <f>+'10 Year Average'!C59</f>
        <v>20.100000000000001</v>
      </c>
      <c r="M59" s="325">
        <f>+'10 Year Average'!D59</f>
        <v>12.3</v>
      </c>
      <c r="N59" s="326">
        <f>+'10 Year Average'!E59</f>
        <v>6.4000000000000001E-2</v>
      </c>
      <c r="O59" s="327">
        <f>+'10 Year Average'!F59</f>
        <v>30</v>
      </c>
      <c r="P59" s="327">
        <f>+'10 Year Average'!G59</f>
        <v>1</v>
      </c>
      <c r="Q59" s="328">
        <f>+'10 Year Average'!H59</f>
        <v>80920916.543747038</v>
      </c>
      <c r="S59" s="323">
        <f>+'20 Year Trend'!A59</f>
        <v>39326</v>
      </c>
      <c r="T59" s="329">
        <f>+'20 Year Trend'!B59</f>
        <v>87760000</v>
      </c>
      <c r="U59" s="325">
        <f>+'20 Year Trend'!C59</f>
        <v>20.100000000000001</v>
      </c>
      <c r="V59" s="325">
        <f>+'20 Year Trend'!D59</f>
        <v>12.3</v>
      </c>
      <c r="W59" s="326">
        <f>+'20 Year Trend'!E59</f>
        <v>6.4000000000000001E-2</v>
      </c>
      <c r="X59" s="327">
        <f>+'20 Year Trend'!F59</f>
        <v>30</v>
      </c>
      <c r="Y59" s="327">
        <f>+'20 Year Trend'!G59</f>
        <v>1</v>
      </c>
      <c r="Z59" s="328">
        <f>+'20 Year Trend'!H59</f>
        <v>80920916.543747038</v>
      </c>
    </row>
    <row r="60" spans="1:26" x14ac:dyDescent="0.3">
      <c r="A60" s="323">
        <f>+'Purchased Power Model '!A60</f>
        <v>39356</v>
      </c>
      <c r="B60" s="329">
        <f>+'Purchased Power Model '!B60</f>
        <v>88883380</v>
      </c>
      <c r="C60" s="325">
        <f>+'Purchased Power Model '!C60</f>
        <v>101.5</v>
      </c>
      <c r="D60" s="325">
        <f>+'Purchased Power Model '!D60</f>
        <v>0</v>
      </c>
      <c r="E60" s="326">
        <f>+'Purchased Power Model '!E60</f>
        <v>6.0999999999999999E-2</v>
      </c>
      <c r="F60" s="327">
        <f>+'Purchased Power Model '!F60</f>
        <v>31</v>
      </c>
      <c r="G60" s="327">
        <f>+'Purchased Power Model '!G60</f>
        <v>1</v>
      </c>
      <c r="H60" s="328">
        <f>+'Purchased Power Model '!H60</f>
        <v>85631927.385206059</v>
      </c>
      <c r="J60" s="323">
        <f>+'10 Year Average'!A60</f>
        <v>39356</v>
      </c>
      <c r="K60" s="329">
        <f>+'10 Year Average'!B60</f>
        <v>88883380</v>
      </c>
      <c r="L60" s="325">
        <f>+'10 Year Average'!C60</f>
        <v>101.5</v>
      </c>
      <c r="M60" s="325">
        <f>+'10 Year Average'!D60</f>
        <v>0</v>
      </c>
      <c r="N60" s="326">
        <f>+'10 Year Average'!E60</f>
        <v>6.0999999999999999E-2</v>
      </c>
      <c r="O60" s="327">
        <f>+'10 Year Average'!F60</f>
        <v>31</v>
      </c>
      <c r="P60" s="327">
        <f>+'10 Year Average'!G60</f>
        <v>1</v>
      </c>
      <c r="Q60" s="328">
        <f>+'10 Year Average'!H60</f>
        <v>85631927.385206059</v>
      </c>
      <c r="S60" s="323">
        <f>+'20 Year Trend'!A60</f>
        <v>39356</v>
      </c>
      <c r="T60" s="329">
        <f>+'20 Year Trend'!B60</f>
        <v>88883380</v>
      </c>
      <c r="U60" s="325">
        <f>+'20 Year Trend'!C60</f>
        <v>101.5</v>
      </c>
      <c r="V60" s="325">
        <f>+'20 Year Trend'!D60</f>
        <v>0</v>
      </c>
      <c r="W60" s="326">
        <f>+'20 Year Trend'!E60</f>
        <v>6.0999999999999999E-2</v>
      </c>
      <c r="X60" s="327">
        <f>+'20 Year Trend'!F60</f>
        <v>31</v>
      </c>
      <c r="Y60" s="327">
        <f>+'20 Year Trend'!G60</f>
        <v>1</v>
      </c>
      <c r="Z60" s="328">
        <f>+'20 Year Trend'!H60</f>
        <v>85631927.385206059</v>
      </c>
    </row>
    <row r="61" spans="1:26" x14ac:dyDescent="0.3">
      <c r="A61" s="323">
        <f>+'Purchased Power Model '!A61</f>
        <v>39387</v>
      </c>
      <c r="B61" s="329">
        <f>+'Purchased Power Model '!B61</f>
        <v>97788230</v>
      </c>
      <c r="C61" s="325">
        <f>+'Purchased Power Model '!C61</f>
        <v>314.10000000000002</v>
      </c>
      <c r="D61" s="325">
        <f>+'Purchased Power Model '!D61</f>
        <v>0</v>
      </c>
      <c r="E61" s="326">
        <f>+'Purchased Power Model '!E61</f>
        <v>6.0999999999999999E-2</v>
      </c>
      <c r="F61" s="327">
        <f>+'Purchased Power Model '!F61</f>
        <v>30</v>
      </c>
      <c r="G61" s="327">
        <f>+'Purchased Power Model '!G61</f>
        <v>1</v>
      </c>
      <c r="H61" s="328">
        <f>+'Purchased Power Model '!H61</f>
        <v>91467364.555445999</v>
      </c>
      <c r="J61" s="323">
        <f>+'10 Year Average'!A61</f>
        <v>39387</v>
      </c>
      <c r="K61" s="329">
        <f>+'10 Year Average'!B61</f>
        <v>97788230</v>
      </c>
      <c r="L61" s="325">
        <f>+'10 Year Average'!C61</f>
        <v>314.10000000000002</v>
      </c>
      <c r="M61" s="325">
        <f>+'10 Year Average'!D61</f>
        <v>0</v>
      </c>
      <c r="N61" s="326">
        <f>+'10 Year Average'!E61</f>
        <v>6.0999999999999999E-2</v>
      </c>
      <c r="O61" s="327">
        <f>+'10 Year Average'!F61</f>
        <v>30</v>
      </c>
      <c r="P61" s="327">
        <f>+'10 Year Average'!G61</f>
        <v>1</v>
      </c>
      <c r="Q61" s="328">
        <f>+'10 Year Average'!H61</f>
        <v>91467364.555445999</v>
      </c>
      <c r="S61" s="323">
        <f>+'20 Year Trend'!A61</f>
        <v>39387</v>
      </c>
      <c r="T61" s="329">
        <f>+'20 Year Trend'!B61</f>
        <v>97788230</v>
      </c>
      <c r="U61" s="325">
        <f>+'20 Year Trend'!C61</f>
        <v>314.10000000000002</v>
      </c>
      <c r="V61" s="325">
        <f>+'20 Year Trend'!D61</f>
        <v>0</v>
      </c>
      <c r="W61" s="326">
        <f>+'20 Year Trend'!E61</f>
        <v>6.0999999999999999E-2</v>
      </c>
      <c r="X61" s="327">
        <f>+'20 Year Trend'!F61</f>
        <v>30</v>
      </c>
      <c r="Y61" s="327">
        <f>+'20 Year Trend'!G61</f>
        <v>1</v>
      </c>
      <c r="Z61" s="328">
        <f>+'20 Year Trend'!H61</f>
        <v>91467364.555445999</v>
      </c>
    </row>
    <row r="62" spans="1:26" ht="12.9" thickBot="1" x14ac:dyDescent="0.35">
      <c r="A62" s="331">
        <f>+'Purchased Power Model '!A62</f>
        <v>39417</v>
      </c>
      <c r="B62" s="420">
        <f>+'Purchased Power Model '!B62</f>
        <v>112852450</v>
      </c>
      <c r="C62" s="333">
        <f>+'Purchased Power Model '!C62</f>
        <v>337.8</v>
      </c>
      <c r="D62" s="333">
        <f>+'Purchased Power Model '!D62</f>
        <v>0</v>
      </c>
      <c r="E62" s="334">
        <f>+'Purchased Power Model '!E62</f>
        <v>6.0999999999999999E-2</v>
      </c>
      <c r="F62" s="335">
        <f>+'Purchased Power Model '!F62</f>
        <v>31</v>
      </c>
      <c r="G62" s="335">
        <f>+'Purchased Power Model '!G62</f>
        <v>0</v>
      </c>
      <c r="H62" s="336">
        <f>+'Purchased Power Model '!H62</f>
        <v>102288043.17046086</v>
      </c>
      <c r="J62" s="331">
        <f>+'10 Year Average'!A62</f>
        <v>39417</v>
      </c>
      <c r="K62" s="420">
        <f>+'10 Year Average'!B62</f>
        <v>112852450</v>
      </c>
      <c r="L62" s="333">
        <f>+'10 Year Average'!C62</f>
        <v>337.8</v>
      </c>
      <c r="M62" s="333">
        <f>+'10 Year Average'!D62</f>
        <v>0</v>
      </c>
      <c r="N62" s="334">
        <f>+'10 Year Average'!E62</f>
        <v>6.0999999999999999E-2</v>
      </c>
      <c r="O62" s="335">
        <f>+'10 Year Average'!F62</f>
        <v>31</v>
      </c>
      <c r="P62" s="335">
        <f>+'10 Year Average'!G62</f>
        <v>0</v>
      </c>
      <c r="Q62" s="336">
        <f>+'10 Year Average'!H62</f>
        <v>102288043.17046086</v>
      </c>
      <c r="S62" s="331">
        <f>+'20 Year Trend'!A62</f>
        <v>39417</v>
      </c>
      <c r="T62" s="420">
        <f>+'20 Year Trend'!B62</f>
        <v>112852450</v>
      </c>
      <c r="U62" s="333">
        <f>+'20 Year Trend'!C62</f>
        <v>337.8</v>
      </c>
      <c r="V62" s="333">
        <f>+'20 Year Trend'!D62</f>
        <v>0</v>
      </c>
      <c r="W62" s="334">
        <f>+'20 Year Trend'!E62</f>
        <v>6.0999999999999999E-2</v>
      </c>
      <c r="X62" s="335">
        <f>+'20 Year Trend'!F62</f>
        <v>31</v>
      </c>
      <c r="Y62" s="335">
        <f>+'20 Year Trend'!G62</f>
        <v>0</v>
      </c>
      <c r="Z62" s="336">
        <f>+'20 Year Trend'!H62</f>
        <v>102288043.17046086</v>
      </c>
    </row>
    <row r="63" spans="1:26" x14ac:dyDescent="0.3">
      <c r="A63" s="323">
        <f>+'Purchased Power Model '!A63</f>
        <v>39448</v>
      </c>
      <c r="B63" s="327">
        <f>+'Purchased Power Model '!B63</f>
        <v>111423480</v>
      </c>
      <c r="C63" s="325">
        <f>+'Purchased Power Model '!C63</f>
        <v>432.8</v>
      </c>
      <c r="D63" s="325">
        <f>+'Purchased Power Model '!D63</f>
        <v>0</v>
      </c>
      <c r="E63" s="326">
        <f>+'Purchased Power Model '!E63</f>
        <v>6.6000000000000003E-2</v>
      </c>
      <c r="F63" s="327">
        <f>+'Purchased Power Model '!F63</f>
        <v>31</v>
      </c>
      <c r="G63" s="327">
        <f>+'Purchased Power Model '!G63</f>
        <v>0</v>
      </c>
      <c r="H63" s="328">
        <f>+'Purchased Power Model '!H63</f>
        <v>105543224.57915238</v>
      </c>
      <c r="J63" s="323">
        <f>+'10 Year Average'!A63</f>
        <v>39448</v>
      </c>
      <c r="K63" s="327">
        <f>+'10 Year Average'!B63</f>
        <v>111423480</v>
      </c>
      <c r="L63" s="325">
        <f>+'10 Year Average'!C63</f>
        <v>432.8</v>
      </c>
      <c r="M63" s="325">
        <f>+'10 Year Average'!D63</f>
        <v>0</v>
      </c>
      <c r="N63" s="326">
        <f>+'10 Year Average'!E63</f>
        <v>6.6000000000000003E-2</v>
      </c>
      <c r="O63" s="327">
        <f>+'10 Year Average'!F63</f>
        <v>31</v>
      </c>
      <c r="P63" s="327">
        <f>+'10 Year Average'!G63</f>
        <v>0</v>
      </c>
      <c r="Q63" s="328">
        <f>+'10 Year Average'!H63</f>
        <v>105543224.57915238</v>
      </c>
      <c r="S63" s="323">
        <f>+'20 Year Trend'!A63</f>
        <v>39448</v>
      </c>
      <c r="T63" s="327">
        <f>+'20 Year Trend'!B63</f>
        <v>111423480</v>
      </c>
      <c r="U63" s="325">
        <f>+'20 Year Trend'!C63</f>
        <v>432.8</v>
      </c>
      <c r="V63" s="325">
        <f>+'20 Year Trend'!D63</f>
        <v>0</v>
      </c>
      <c r="W63" s="326">
        <f>+'20 Year Trend'!E63</f>
        <v>6.6000000000000003E-2</v>
      </c>
      <c r="X63" s="327">
        <f>+'20 Year Trend'!F63</f>
        <v>31</v>
      </c>
      <c r="Y63" s="327">
        <f>+'20 Year Trend'!G63</f>
        <v>0</v>
      </c>
      <c r="Z63" s="328">
        <f>+'20 Year Trend'!H63</f>
        <v>105543224.57915238</v>
      </c>
    </row>
    <row r="64" spans="1:26" x14ac:dyDescent="0.3">
      <c r="A64" s="323">
        <f>+'Purchased Power Model '!A64</f>
        <v>39479</v>
      </c>
      <c r="B64" s="327">
        <f>+'Purchased Power Model '!B64</f>
        <v>106527560</v>
      </c>
      <c r="C64" s="325">
        <f>+'Purchased Power Model '!C64</f>
        <v>317.60000000000002</v>
      </c>
      <c r="D64" s="325">
        <f>+'Purchased Power Model '!D64</f>
        <v>0</v>
      </c>
      <c r="E64" s="326">
        <f>+'Purchased Power Model '!E64</f>
        <v>6.6000000000000003E-2</v>
      </c>
      <c r="F64" s="327">
        <f>+'Purchased Power Model '!F64</f>
        <v>29</v>
      </c>
      <c r="G64" s="327">
        <f>+'Purchased Power Model '!G64</f>
        <v>0</v>
      </c>
      <c r="H64" s="328">
        <f>+'Purchased Power Model '!H64</f>
        <v>95238753.428406522</v>
      </c>
      <c r="J64" s="323">
        <f>+'10 Year Average'!A64</f>
        <v>39479</v>
      </c>
      <c r="K64" s="327">
        <f>+'10 Year Average'!B64</f>
        <v>106527560</v>
      </c>
      <c r="L64" s="325">
        <f>+'10 Year Average'!C64</f>
        <v>317.60000000000002</v>
      </c>
      <c r="M64" s="325">
        <f>+'10 Year Average'!D64</f>
        <v>0</v>
      </c>
      <c r="N64" s="326">
        <f>+'10 Year Average'!E64</f>
        <v>6.6000000000000003E-2</v>
      </c>
      <c r="O64" s="327">
        <f>+'10 Year Average'!F64</f>
        <v>29</v>
      </c>
      <c r="P64" s="327">
        <f>+'10 Year Average'!G64</f>
        <v>0</v>
      </c>
      <c r="Q64" s="328">
        <f>+'10 Year Average'!H64</f>
        <v>95238753.428406522</v>
      </c>
      <c r="S64" s="323">
        <f>+'20 Year Trend'!A64</f>
        <v>39479</v>
      </c>
      <c r="T64" s="327">
        <f>+'20 Year Trend'!B64</f>
        <v>106527560</v>
      </c>
      <c r="U64" s="325">
        <f>+'20 Year Trend'!C64</f>
        <v>317.60000000000002</v>
      </c>
      <c r="V64" s="325">
        <f>+'20 Year Trend'!D64</f>
        <v>0</v>
      </c>
      <c r="W64" s="326">
        <f>+'20 Year Trend'!E64</f>
        <v>6.6000000000000003E-2</v>
      </c>
      <c r="X64" s="327">
        <f>+'20 Year Trend'!F64</f>
        <v>29</v>
      </c>
      <c r="Y64" s="327">
        <f>+'20 Year Trend'!G64</f>
        <v>0</v>
      </c>
      <c r="Z64" s="328">
        <f>+'20 Year Trend'!H64</f>
        <v>95238753.428406522</v>
      </c>
    </row>
    <row r="65" spans="1:26" x14ac:dyDescent="0.3">
      <c r="A65" s="323">
        <f>+'Purchased Power Model '!A65</f>
        <v>39508</v>
      </c>
      <c r="B65" s="327">
        <f>+'Purchased Power Model '!B65</f>
        <v>105633899.99999999</v>
      </c>
      <c r="C65" s="325">
        <f>+'Purchased Power Model '!C65</f>
        <v>430</v>
      </c>
      <c r="D65" s="325">
        <f>+'Purchased Power Model '!D65</f>
        <v>0</v>
      </c>
      <c r="E65" s="326">
        <f>+'Purchased Power Model '!E65</f>
        <v>6.6000000000000003E-2</v>
      </c>
      <c r="F65" s="327">
        <f>+'Purchased Power Model '!F65</f>
        <v>31</v>
      </c>
      <c r="G65" s="327">
        <f>+'Purchased Power Model '!G65</f>
        <v>1</v>
      </c>
      <c r="H65" s="328">
        <f>+'Purchased Power Model '!H65</f>
        <v>98382377.432315797</v>
      </c>
      <c r="J65" s="323">
        <f>+'10 Year Average'!A65</f>
        <v>39508</v>
      </c>
      <c r="K65" s="327">
        <f>+'10 Year Average'!B65</f>
        <v>105633899.99999999</v>
      </c>
      <c r="L65" s="325">
        <f>+'10 Year Average'!C65</f>
        <v>430</v>
      </c>
      <c r="M65" s="325">
        <f>+'10 Year Average'!D65</f>
        <v>0</v>
      </c>
      <c r="N65" s="326">
        <f>+'10 Year Average'!E65</f>
        <v>6.6000000000000003E-2</v>
      </c>
      <c r="O65" s="327">
        <f>+'10 Year Average'!F65</f>
        <v>31</v>
      </c>
      <c r="P65" s="327">
        <f>+'10 Year Average'!G65</f>
        <v>1</v>
      </c>
      <c r="Q65" s="328">
        <f>+'10 Year Average'!H65</f>
        <v>98382377.432315797</v>
      </c>
      <c r="S65" s="323">
        <f>+'20 Year Trend'!A65</f>
        <v>39508</v>
      </c>
      <c r="T65" s="327">
        <f>+'20 Year Trend'!B65</f>
        <v>105633899.99999999</v>
      </c>
      <c r="U65" s="325">
        <f>+'20 Year Trend'!C65</f>
        <v>430</v>
      </c>
      <c r="V65" s="325">
        <f>+'20 Year Trend'!D65</f>
        <v>0</v>
      </c>
      <c r="W65" s="326">
        <f>+'20 Year Trend'!E65</f>
        <v>6.6000000000000003E-2</v>
      </c>
      <c r="X65" s="327">
        <f>+'20 Year Trend'!F65</f>
        <v>31</v>
      </c>
      <c r="Y65" s="327">
        <f>+'20 Year Trend'!G65</f>
        <v>1</v>
      </c>
      <c r="Z65" s="328">
        <f>+'20 Year Trend'!H65</f>
        <v>98382377.432315797</v>
      </c>
    </row>
    <row r="66" spans="1:26" x14ac:dyDescent="0.3">
      <c r="A66" s="323">
        <f>+'Purchased Power Model '!A66</f>
        <v>39539</v>
      </c>
      <c r="B66" s="327">
        <f>+'Purchased Power Model '!B66</f>
        <v>86147429.999999985</v>
      </c>
      <c r="C66" s="325">
        <f>+'Purchased Power Model '!C66</f>
        <v>144.6</v>
      </c>
      <c r="D66" s="325">
        <f>+'Purchased Power Model '!D66</f>
        <v>0</v>
      </c>
      <c r="E66" s="326">
        <f>+'Purchased Power Model '!E66</f>
        <v>7.400000000000001E-2</v>
      </c>
      <c r="F66" s="327">
        <f>+'Purchased Power Model '!F66</f>
        <v>30</v>
      </c>
      <c r="G66" s="327">
        <f>+'Purchased Power Model '!G66</f>
        <v>1</v>
      </c>
      <c r="H66" s="328">
        <f>+'Purchased Power Model '!H66</f>
        <v>82993879.524676964</v>
      </c>
      <c r="J66" s="323">
        <f>+'10 Year Average'!A66</f>
        <v>39539</v>
      </c>
      <c r="K66" s="327">
        <f>+'10 Year Average'!B66</f>
        <v>86147429.999999985</v>
      </c>
      <c r="L66" s="325">
        <f>+'10 Year Average'!C66</f>
        <v>144.6</v>
      </c>
      <c r="M66" s="325">
        <f>+'10 Year Average'!D66</f>
        <v>0</v>
      </c>
      <c r="N66" s="326">
        <f>+'10 Year Average'!E66</f>
        <v>7.400000000000001E-2</v>
      </c>
      <c r="O66" s="327">
        <f>+'10 Year Average'!F66</f>
        <v>30</v>
      </c>
      <c r="P66" s="327">
        <f>+'10 Year Average'!G66</f>
        <v>1</v>
      </c>
      <c r="Q66" s="328">
        <f>+'10 Year Average'!H66</f>
        <v>82993879.524676964</v>
      </c>
      <c r="S66" s="323">
        <f>+'20 Year Trend'!A66</f>
        <v>39539</v>
      </c>
      <c r="T66" s="327">
        <f>+'20 Year Trend'!B66</f>
        <v>86147429.999999985</v>
      </c>
      <c r="U66" s="325">
        <f>+'20 Year Trend'!C66</f>
        <v>144.6</v>
      </c>
      <c r="V66" s="325">
        <f>+'20 Year Trend'!D66</f>
        <v>0</v>
      </c>
      <c r="W66" s="326">
        <f>+'20 Year Trend'!E66</f>
        <v>7.400000000000001E-2</v>
      </c>
      <c r="X66" s="327">
        <f>+'20 Year Trend'!F66</f>
        <v>30</v>
      </c>
      <c r="Y66" s="327">
        <f>+'20 Year Trend'!G66</f>
        <v>1</v>
      </c>
      <c r="Z66" s="328">
        <f>+'20 Year Trend'!H66</f>
        <v>82993879.524676964</v>
      </c>
    </row>
    <row r="67" spans="1:26" x14ac:dyDescent="0.3">
      <c r="A67" s="323">
        <f>+'Purchased Power Model '!A67</f>
        <v>39569</v>
      </c>
      <c r="B67" s="327">
        <f>+'Purchased Power Model '!B67</f>
        <v>82776310</v>
      </c>
      <c r="C67" s="325">
        <f>+'Purchased Power Model '!C67</f>
        <v>151</v>
      </c>
      <c r="D67" s="325">
        <f>+'Purchased Power Model '!D67</f>
        <v>0</v>
      </c>
      <c r="E67" s="326">
        <f>+'Purchased Power Model '!E67</f>
        <v>7.400000000000001E-2</v>
      </c>
      <c r="F67" s="327">
        <f>+'Purchased Power Model '!F67</f>
        <v>31</v>
      </c>
      <c r="G67" s="327">
        <f>+'Purchased Power Model '!G67</f>
        <v>1</v>
      </c>
      <c r="H67" s="328">
        <f>+'Purchased Power Model '!H67</f>
        <v>86064069.043146178</v>
      </c>
      <c r="J67" s="323">
        <f>+'10 Year Average'!A67</f>
        <v>39569</v>
      </c>
      <c r="K67" s="327">
        <f>+'10 Year Average'!B67</f>
        <v>82776310</v>
      </c>
      <c r="L67" s="325">
        <f>+'10 Year Average'!C67</f>
        <v>151</v>
      </c>
      <c r="M67" s="325">
        <f>+'10 Year Average'!D67</f>
        <v>0</v>
      </c>
      <c r="N67" s="326">
        <f>+'10 Year Average'!E67</f>
        <v>7.400000000000001E-2</v>
      </c>
      <c r="O67" s="327">
        <f>+'10 Year Average'!F67</f>
        <v>31</v>
      </c>
      <c r="P67" s="327">
        <f>+'10 Year Average'!G67</f>
        <v>1</v>
      </c>
      <c r="Q67" s="328">
        <f>+'10 Year Average'!H67</f>
        <v>86064069.043146178</v>
      </c>
      <c r="S67" s="323">
        <f>+'20 Year Trend'!A67</f>
        <v>39569</v>
      </c>
      <c r="T67" s="327">
        <f>+'20 Year Trend'!B67</f>
        <v>82776310</v>
      </c>
      <c r="U67" s="325">
        <f>+'20 Year Trend'!C67</f>
        <v>151</v>
      </c>
      <c r="V67" s="325">
        <f>+'20 Year Trend'!D67</f>
        <v>0</v>
      </c>
      <c r="W67" s="326">
        <f>+'20 Year Trend'!E67</f>
        <v>7.400000000000001E-2</v>
      </c>
      <c r="X67" s="327">
        <f>+'20 Year Trend'!F67</f>
        <v>31</v>
      </c>
      <c r="Y67" s="327">
        <f>+'20 Year Trend'!G67</f>
        <v>1</v>
      </c>
      <c r="Z67" s="328">
        <f>+'20 Year Trend'!H67</f>
        <v>86064069.043146178</v>
      </c>
    </row>
    <row r="68" spans="1:26" x14ac:dyDescent="0.3">
      <c r="A68" s="323">
        <f>+'Purchased Power Model '!A68</f>
        <v>39600</v>
      </c>
      <c r="B68" s="327">
        <f>+'Purchased Power Model '!B68</f>
        <v>90692793</v>
      </c>
      <c r="C68" s="325">
        <f>+'Purchased Power Model '!C68</f>
        <v>15.5</v>
      </c>
      <c r="D68" s="325">
        <f>+'Purchased Power Model '!D68</f>
        <v>23.6</v>
      </c>
      <c r="E68" s="326">
        <f>+'Purchased Power Model '!E68</f>
        <v>7.400000000000001E-2</v>
      </c>
      <c r="F68" s="327">
        <f>+'Purchased Power Model '!F68</f>
        <v>30</v>
      </c>
      <c r="G68" s="327">
        <f>+'Purchased Power Model '!G68</f>
        <v>0</v>
      </c>
      <c r="H68" s="328">
        <f>+'Purchased Power Model '!H68</f>
        <v>88194492.795564666</v>
      </c>
      <c r="J68" s="323">
        <f>+'10 Year Average'!A68</f>
        <v>39600</v>
      </c>
      <c r="K68" s="327">
        <f>+'10 Year Average'!B68</f>
        <v>90692793</v>
      </c>
      <c r="L68" s="325">
        <f>+'10 Year Average'!C68</f>
        <v>15.5</v>
      </c>
      <c r="M68" s="325">
        <f>+'10 Year Average'!D68</f>
        <v>23.6</v>
      </c>
      <c r="N68" s="326">
        <f>+'10 Year Average'!E68</f>
        <v>7.400000000000001E-2</v>
      </c>
      <c r="O68" s="327">
        <f>+'10 Year Average'!F68</f>
        <v>30</v>
      </c>
      <c r="P68" s="327">
        <f>+'10 Year Average'!G68</f>
        <v>0</v>
      </c>
      <c r="Q68" s="328">
        <f>+'10 Year Average'!H68</f>
        <v>88194492.795564666</v>
      </c>
      <c r="S68" s="323">
        <f>+'20 Year Trend'!A68</f>
        <v>39600</v>
      </c>
      <c r="T68" s="327">
        <f>+'20 Year Trend'!B68</f>
        <v>90692793</v>
      </c>
      <c r="U68" s="325">
        <f>+'20 Year Trend'!C68</f>
        <v>15.5</v>
      </c>
      <c r="V68" s="325">
        <f>+'20 Year Trend'!D68</f>
        <v>23.6</v>
      </c>
      <c r="W68" s="326">
        <f>+'20 Year Trend'!E68</f>
        <v>7.400000000000001E-2</v>
      </c>
      <c r="X68" s="327">
        <f>+'20 Year Trend'!F68</f>
        <v>30</v>
      </c>
      <c r="Y68" s="327">
        <f>+'20 Year Trend'!G68</f>
        <v>0</v>
      </c>
      <c r="Z68" s="328">
        <f>+'20 Year Trend'!H68</f>
        <v>88194492.795564666</v>
      </c>
    </row>
    <row r="69" spans="1:26" x14ac:dyDescent="0.3">
      <c r="A69" s="323">
        <f>+'Purchased Power Model '!A69</f>
        <v>39630</v>
      </c>
      <c r="B69" s="327">
        <f>+'Purchased Power Model '!B69</f>
        <v>98868440</v>
      </c>
      <c r="C69" s="325">
        <f>+'Purchased Power Model '!C69</f>
        <v>1</v>
      </c>
      <c r="D69" s="325">
        <f>+'Purchased Power Model '!D69</f>
        <v>61.4</v>
      </c>
      <c r="E69" s="326">
        <f>+'Purchased Power Model '!E69</f>
        <v>6.8000000000000005E-2</v>
      </c>
      <c r="F69" s="327">
        <f>+'Purchased Power Model '!F69</f>
        <v>31</v>
      </c>
      <c r="G69" s="327">
        <f>+'Purchased Power Model '!G69</f>
        <v>0</v>
      </c>
      <c r="H69" s="328">
        <f>+'Purchased Power Model '!H69</f>
        <v>96595700.580686375</v>
      </c>
      <c r="J69" s="323">
        <f>+'10 Year Average'!A69</f>
        <v>39630</v>
      </c>
      <c r="K69" s="327">
        <f>+'10 Year Average'!B69</f>
        <v>98868440</v>
      </c>
      <c r="L69" s="325">
        <f>+'10 Year Average'!C69</f>
        <v>1</v>
      </c>
      <c r="M69" s="325">
        <f>+'10 Year Average'!D69</f>
        <v>61.4</v>
      </c>
      <c r="N69" s="326">
        <f>+'10 Year Average'!E69</f>
        <v>6.8000000000000005E-2</v>
      </c>
      <c r="O69" s="327">
        <f>+'10 Year Average'!F69</f>
        <v>31</v>
      </c>
      <c r="P69" s="327">
        <f>+'10 Year Average'!G69</f>
        <v>0</v>
      </c>
      <c r="Q69" s="328">
        <f>+'10 Year Average'!H69</f>
        <v>96595700.580686375</v>
      </c>
      <c r="S69" s="323">
        <f>+'20 Year Trend'!A69</f>
        <v>39630</v>
      </c>
      <c r="T69" s="327">
        <f>+'20 Year Trend'!B69</f>
        <v>98868440</v>
      </c>
      <c r="U69" s="325">
        <f>+'20 Year Trend'!C69</f>
        <v>1</v>
      </c>
      <c r="V69" s="325">
        <f>+'20 Year Trend'!D69</f>
        <v>61.4</v>
      </c>
      <c r="W69" s="326">
        <f>+'20 Year Trend'!E69</f>
        <v>6.8000000000000005E-2</v>
      </c>
      <c r="X69" s="327">
        <f>+'20 Year Trend'!F69</f>
        <v>31</v>
      </c>
      <c r="Y69" s="327">
        <f>+'20 Year Trend'!G69</f>
        <v>0</v>
      </c>
      <c r="Z69" s="328">
        <f>+'20 Year Trend'!H69</f>
        <v>96595700.580686375</v>
      </c>
    </row>
    <row r="70" spans="1:26" x14ac:dyDescent="0.3">
      <c r="A70" s="323">
        <f>+'Purchased Power Model '!A70</f>
        <v>39661</v>
      </c>
      <c r="B70" s="327">
        <f>+'Purchased Power Model '!B70</f>
        <v>93432320</v>
      </c>
      <c r="C70" s="325">
        <f>+'Purchased Power Model '!C70</f>
        <v>13.8</v>
      </c>
      <c r="D70" s="325">
        <f>+'Purchased Power Model '!D70</f>
        <v>29.9</v>
      </c>
      <c r="E70" s="326">
        <f>+'Purchased Power Model '!E70</f>
        <v>6.8000000000000005E-2</v>
      </c>
      <c r="F70" s="327">
        <f>+'Purchased Power Model '!F70</f>
        <v>31</v>
      </c>
      <c r="G70" s="327">
        <f>+'Purchased Power Model '!G70</f>
        <v>0</v>
      </c>
      <c r="H70" s="328">
        <f>+'Purchased Power Model '!H70</f>
        <v>92573438.76963757</v>
      </c>
      <c r="J70" s="323">
        <f>+'10 Year Average'!A70</f>
        <v>39661</v>
      </c>
      <c r="K70" s="327">
        <f>+'10 Year Average'!B70</f>
        <v>93432320</v>
      </c>
      <c r="L70" s="325">
        <f>+'10 Year Average'!C70</f>
        <v>13.8</v>
      </c>
      <c r="M70" s="325">
        <f>+'10 Year Average'!D70</f>
        <v>29.9</v>
      </c>
      <c r="N70" s="326">
        <f>+'10 Year Average'!E70</f>
        <v>6.8000000000000005E-2</v>
      </c>
      <c r="O70" s="327">
        <f>+'10 Year Average'!F70</f>
        <v>31</v>
      </c>
      <c r="P70" s="327">
        <f>+'10 Year Average'!G70</f>
        <v>0</v>
      </c>
      <c r="Q70" s="328">
        <f>+'10 Year Average'!H70</f>
        <v>92573438.76963757</v>
      </c>
      <c r="S70" s="323">
        <f>+'20 Year Trend'!A70</f>
        <v>39661</v>
      </c>
      <c r="T70" s="327">
        <f>+'20 Year Trend'!B70</f>
        <v>93432320</v>
      </c>
      <c r="U70" s="325">
        <f>+'20 Year Trend'!C70</f>
        <v>13.8</v>
      </c>
      <c r="V70" s="325">
        <f>+'20 Year Trend'!D70</f>
        <v>29.9</v>
      </c>
      <c r="W70" s="326">
        <f>+'20 Year Trend'!E70</f>
        <v>6.8000000000000005E-2</v>
      </c>
      <c r="X70" s="327">
        <f>+'20 Year Trend'!F70</f>
        <v>31</v>
      </c>
      <c r="Y70" s="327">
        <f>+'20 Year Trend'!G70</f>
        <v>0</v>
      </c>
      <c r="Z70" s="328">
        <f>+'20 Year Trend'!H70</f>
        <v>92573438.76963757</v>
      </c>
    </row>
    <row r="71" spans="1:26" x14ac:dyDescent="0.3">
      <c r="A71" s="323">
        <f>+'Purchased Power Model '!A71</f>
        <v>39692</v>
      </c>
      <c r="B71" s="327">
        <f>+'Purchased Power Model '!B71</f>
        <v>86855072</v>
      </c>
      <c r="C71" s="325">
        <f>+'Purchased Power Model '!C71</f>
        <v>51.6</v>
      </c>
      <c r="D71" s="325">
        <f>+'Purchased Power Model '!D71</f>
        <v>15.1</v>
      </c>
      <c r="E71" s="326">
        <f>+'Purchased Power Model '!E71</f>
        <v>6.8000000000000005E-2</v>
      </c>
      <c r="F71" s="327">
        <f>+'Purchased Power Model '!F71</f>
        <v>30</v>
      </c>
      <c r="G71" s="327">
        <f>+'Purchased Power Model '!G71</f>
        <v>1</v>
      </c>
      <c r="H71" s="328">
        <f>+'Purchased Power Model '!H71</f>
        <v>82119272.932881936</v>
      </c>
      <c r="J71" s="323">
        <f>+'10 Year Average'!A71</f>
        <v>39692</v>
      </c>
      <c r="K71" s="327">
        <f>+'10 Year Average'!B71</f>
        <v>86855072</v>
      </c>
      <c r="L71" s="325">
        <f>+'10 Year Average'!C71</f>
        <v>51.6</v>
      </c>
      <c r="M71" s="325">
        <f>+'10 Year Average'!D71</f>
        <v>15.1</v>
      </c>
      <c r="N71" s="326">
        <f>+'10 Year Average'!E71</f>
        <v>6.8000000000000005E-2</v>
      </c>
      <c r="O71" s="327">
        <f>+'10 Year Average'!F71</f>
        <v>30</v>
      </c>
      <c r="P71" s="327">
        <f>+'10 Year Average'!G71</f>
        <v>1</v>
      </c>
      <c r="Q71" s="328">
        <f>+'10 Year Average'!H71</f>
        <v>82119272.932881936</v>
      </c>
      <c r="S71" s="323">
        <f>+'20 Year Trend'!A71</f>
        <v>39692</v>
      </c>
      <c r="T71" s="327">
        <f>+'20 Year Trend'!B71</f>
        <v>86855072</v>
      </c>
      <c r="U71" s="325">
        <f>+'20 Year Trend'!C71</f>
        <v>51.6</v>
      </c>
      <c r="V71" s="325">
        <f>+'20 Year Trend'!D71</f>
        <v>15.1</v>
      </c>
      <c r="W71" s="326">
        <f>+'20 Year Trend'!E71</f>
        <v>6.8000000000000005E-2</v>
      </c>
      <c r="X71" s="327">
        <f>+'20 Year Trend'!F71</f>
        <v>30</v>
      </c>
      <c r="Y71" s="327">
        <f>+'20 Year Trend'!G71</f>
        <v>1</v>
      </c>
      <c r="Z71" s="328">
        <f>+'20 Year Trend'!H71</f>
        <v>82119272.932881936</v>
      </c>
    </row>
    <row r="72" spans="1:26" x14ac:dyDescent="0.3">
      <c r="A72" s="323">
        <f>+'Purchased Power Model '!A72</f>
        <v>39722</v>
      </c>
      <c r="B72" s="327">
        <f>+'Purchased Power Model '!B72</f>
        <v>88294618</v>
      </c>
      <c r="C72" s="325">
        <f>+'Purchased Power Model '!C72</f>
        <v>203.1</v>
      </c>
      <c r="D72" s="325">
        <f>+'Purchased Power Model '!D72</f>
        <v>0</v>
      </c>
      <c r="E72" s="326">
        <f>+'Purchased Power Model '!E72</f>
        <v>0.08</v>
      </c>
      <c r="F72" s="327">
        <f>+'Purchased Power Model '!F72</f>
        <v>31</v>
      </c>
      <c r="G72" s="327">
        <f>+'Purchased Power Model '!G72</f>
        <v>1</v>
      </c>
      <c r="H72" s="328">
        <f>+'Purchased Power Model '!H72</f>
        <v>87453125.582749069</v>
      </c>
      <c r="J72" s="323">
        <f>+'10 Year Average'!A72</f>
        <v>39722</v>
      </c>
      <c r="K72" s="327">
        <f>+'10 Year Average'!B72</f>
        <v>88294618</v>
      </c>
      <c r="L72" s="325">
        <f>+'10 Year Average'!C72</f>
        <v>203.1</v>
      </c>
      <c r="M72" s="325">
        <f>+'10 Year Average'!D72</f>
        <v>0</v>
      </c>
      <c r="N72" s="326">
        <f>+'10 Year Average'!E72</f>
        <v>0.08</v>
      </c>
      <c r="O72" s="327">
        <f>+'10 Year Average'!F72</f>
        <v>31</v>
      </c>
      <c r="P72" s="327">
        <f>+'10 Year Average'!G72</f>
        <v>1</v>
      </c>
      <c r="Q72" s="328">
        <f>+'10 Year Average'!H72</f>
        <v>87453125.582749069</v>
      </c>
      <c r="S72" s="323">
        <f>+'20 Year Trend'!A72</f>
        <v>39722</v>
      </c>
      <c r="T72" s="327">
        <f>+'20 Year Trend'!B72</f>
        <v>88294618</v>
      </c>
      <c r="U72" s="325">
        <f>+'20 Year Trend'!C72</f>
        <v>203.1</v>
      </c>
      <c r="V72" s="325">
        <f>+'20 Year Trend'!D72</f>
        <v>0</v>
      </c>
      <c r="W72" s="326">
        <f>+'20 Year Trend'!E72</f>
        <v>0.08</v>
      </c>
      <c r="X72" s="327">
        <f>+'20 Year Trend'!F72</f>
        <v>31</v>
      </c>
      <c r="Y72" s="327">
        <f>+'20 Year Trend'!G72</f>
        <v>1</v>
      </c>
      <c r="Z72" s="328">
        <f>+'20 Year Trend'!H72</f>
        <v>87453125.582749069</v>
      </c>
    </row>
    <row r="73" spans="1:26" x14ac:dyDescent="0.3">
      <c r="A73" s="323">
        <f>+'Purchased Power Model '!A73</f>
        <v>39753</v>
      </c>
      <c r="B73" s="327">
        <f>+'Purchased Power Model '!B73</f>
        <v>95870835</v>
      </c>
      <c r="C73" s="325">
        <f>+'Purchased Power Model '!C73</f>
        <v>268.8</v>
      </c>
      <c r="D73" s="325">
        <f>+'Purchased Power Model '!D73</f>
        <v>0</v>
      </c>
      <c r="E73" s="326">
        <f>+'Purchased Power Model '!E73</f>
        <v>0.08</v>
      </c>
      <c r="F73" s="327">
        <f>+'Purchased Power Model '!F73</f>
        <v>30</v>
      </c>
      <c r="G73" s="327">
        <f>+'Purchased Power Model '!G73</f>
        <v>1</v>
      </c>
      <c r="H73" s="328">
        <f>+'Purchased Power Model '!H73</f>
        <v>87314879.828005552</v>
      </c>
      <c r="J73" s="323">
        <f>+'10 Year Average'!A73</f>
        <v>39753</v>
      </c>
      <c r="K73" s="327">
        <f>+'10 Year Average'!B73</f>
        <v>95870835</v>
      </c>
      <c r="L73" s="325">
        <f>+'10 Year Average'!C73</f>
        <v>268.8</v>
      </c>
      <c r="M73" s="325">
        <f>+'10 Year Average'!D73</f>
        <v>0</v>
      </c>
      <c r="N73" s="326">
        <f>+'10 Year Average'!E73</f>
        <v>0.08</v>
      </c>
      <c r="O73" s="327">
        <f>+'10 Year Average'!F73</f>
        <v>30</v>
      </c>
      <c r="P73" s="327">
        <f>+'10 Year Average'!G73</f>
        <v>1</v>
      </c>
      <c r="Q73" s="328">
        <f>+'10 Year Average'!H73</f>
        <v>87314879.828005552</v>
      </c>
      <c r="S73" s="323">
        <f>+'20 Year Trend'!A73</f>
        <v>39753</v>
      </c>
      <c r="T73" s="327">
        <f>+'20 Year Trend'!B73</f>
        <v>95870835</v>
      </c>
      <c r="U73" s="325">
        <f>+'20 Year Trend'!C73</f>
        <v>268.8</v>
      </c>
      <c r="V73" s="325">
        <f>+'20 Year Trend'!D73</f>
        <v>0</v>
      </c>
      <c r="W73" s="326">
        <f>+'20 Year Trend'!E73</f>
        <v>0.08</v>
      </c>
      <c r="X73" s="327">
        <f>+'20 Year Trend'!F73</f>
        <v>30</v>
      </c>
      <c r="Y73" s="327">
        <f>+'20 Year Trend'!G73</f>
        <v>1</v>
      </c>
      <c r="Z73" s="328">
        <f>+'20 Year Trend'!H73</f>
        <v>87314879.828005552</v>
      </c>
    </row>
    <row r="74" spans="1:26" x14ac:dyDescent="0.3">
      <c r="A74" s="323">
        <f>+'Purchased Power Model '!A74</f>
        <v>39783</v>
      </c>
      <c r="B74" s="327">
        <f>+'Purchased Power Model '!B74</f>
        <v>112359168</v>
      </c>
      <c r="C74" s="325">
        <f>+'Purchased Power Model '!C74</f>
        <v>378.9</v>
      </c>
      <c r="D74" s="325">
        <f>+'Purchased Power Model '!D74</f>
        <v>0</v>
      </c>
      <c r="E74" s="326">
        <f>+'Purchased Power Model '!E74</f>
        <v>0.08</v>
      </c>
      <c r="F74" s="327">
        <f>+'Purchased Power Model '!F74</f>
        <v>31</v>
      </c>
      <c r="G74" s="327">
        <f>+'Purchased Power Model '!G74</f>
        <v>0</v>
      </c>
      <c r="H74" s="328">
        <f>+'Purchased Power Model '!H74</f>
        <v>101649011.16404541</v>
      </c>
      <c r="J74" s="323">
        <f>+'10 Year Average'!A74</f>
        <v>39783</v>
      </c>
      <c r="K74" s="327">
        <f>+'10 Year Average'!B74</f>
        <v>112359168</v>
      </c>
      <c r="L74" s="325">
        <f>+'10 Year Average'!C74</f>
        <v>378.9</v>
      </c>
      <c r="M74" s="325">
        <f>+'10 Year Average'!D74</f>
        <v>0</v>
      </c>
      <c r="N74" s="326">
        <f>+'10 Year Average'!E74</f>
        <v>0.08</v>
      </c>
      <c r="O74" s="327">
        <f>+'10 Year Average'!F74</f>
        <v>31</v>
      </c>
      <c r="P74" s="327">
        <f>+'10 Year Average'!G74</f>
        <v>0</v>
      </c>
      <c r="Q74" s="328">
        <f>+'10 Year Average'!H74</f>
        <v>101649011.16404541</v>
      </c>
      <c r="S74" s="323">
        <f>+'20 Year Trend'!A74</f>
        <v>39783</v>
      </c>
      <c r="T74" s="327">
        <f>+'20 Year Trend'!B74</f>
        <v>112359168</v>
      </c>
      <c r="U74" s="325">
        <f>+'20 Year Trend'!C74</f>
        <v>378.9</v>
      </c>
      <c r="V74" s="325">
        <f>+'20 Year Trend'!D74</f>
        <v>0</v>
      </c>
      <c r="W74" s="326">
        <f>+'20 Year Trend'!E74</f>
        <v>0.08</v>
      </c>
      <c r="X74" s="327">
        <f>+'20 Year Trend'!F74</f>
        <v>31</v>
      </c>
      <c r="Y74" s="327">
        <f>+'20 Year Trend'!G74</f>
        <v>0</v>
      </c>
      <c r="Z74" s="328">
        <f>+'20 Year Trend'!H74</f>
        <v>101649011.16404541</v>
      </c>
    </row>
    <row r="75" spans="1:26" x14ac:dyDescent="0.3">
      <c r="A75" s="323">
        <f>+'Purchased Power Model '!A75</f>
        <v>39814</v>
      </c>
      <c r="B75" s="329">
        <f>+'Purchased Power Model '!B75</f>
        <v>119321706</v>
      </c>
      <c r="C75" s="325">
        <f>+'Purchased Power Model '!C75</f>
        <v>684.3</v>
      </c>
      <c r="D75" s="325">
        <f>+'Purchased Power Model '!D75</f>
        <v>0</v>
      </c>
      <c r="E75" s="326">
        <f>+'Purchased Power Model '!E75</f>
        <v>8.3000000000000004E-2</v>
      </c>
      <c r="F75" s="327">
        <f>+'Purchased Power Model '!F75</f>
        <v>31</v>
      </c>
      <c r="G75" s="327">
        <f>+'Purchased Power Model '!G75</f>
        <v>0</v>
      </c>
      <c r="H75" s="328">
        <f>+'Purchased Power Model '!H75</f>
        <v>113703296.58220714</v>
      </c>
      <c r="J75" s="323">
        <f>+'10 Year Average'!A75</f>
        <v>39814</v>
      </c>
      <c r="K75" s="329">
        <f>+'10 Year Average'!B75</f>
        <v>119321706</v>
      </c>
      <c r="L75" s="325">
        <f>+'10 Year Average'!C75</f>
        <v>684.3</v>
      </c>
      <c r="M75" s="325">
        <f>+'10 Year Average'!D75</f>
        <v>0</v>
      </c>
      <c r="N75" s="326">
        <f>+'10 Year Average'!E75</f>
        <v>8.3000000000000004E-2</v>
      </c>
      <c r="O75" s="327">
        <f>+'10 Year Average'!F75</f>
        <v>31</v>
      </c>
      <c r="P75" s="327">
        <f>+'10 Year Average'!G75</f>
        <v>0</v>
      </c>
      <c r="Q75" s="328">
        <f>+'10 Year Average'!H75</f>
        <v>113703296.58220714</v>
      </c>
      <c r="S75" s="323">
        <f>+'20 Year Trend'!A75</f>
        <v>39814</v>
      </c>
      <c r="T75" s="329">
        <f>+'20 Year Trend'!B75</f>
        <v>119321706</v>
      </c>
      <c r="U75" s="325">
        <f>+'20 Year Trend'!C75</f>
        <v>684.3</v>
      </c>
      <c r="V75" s="325">
        <f>+'20 Year Trend'!D75</f>
        <v>0</v>
      </c>
      <c r="W75" s="326">
        <f>+'20 Year Trend'!E75</f>
        <v>8.3000000000000004E-2</v>
      </c>
      <c r="X75" s="327">
        <f>+'20 Year Trend'!F75</f>
        <v>31</v>
      </c>
      <c r="Y75" s="327">
        <f>+'20 Year Trend'!G75</f>
        <v>0</v>
      </c>
      <c r="Z75" s="328">
        <f>+'20 Year Trend'!H75</f>
        <v>113703296.58220714</v>
      </c>
    </row>
    <row r="76" spans="1:26" x14ac:dyDescent="0.3">
      <c r="A76" s="323">
        <f>+'Purchased Power Model '!A76</f>
        <v>39845</v>
      </c>
      <c r="B76" s="329">
        <f>+'Purchased Power Model '!B76</f>
        <v>99385016</v>
      </c>
      <c r="C76" s="325">
        <f>+'Purchased Power Model '!C76</f>
        <v>595.29999999999995</v>
      </c>
      <c r="D76" s="325">
        <f>+'Purchased Power Model '!D76</f>
        <v>0</v>
      </c>
      <c r="E76" s="326">
        <f>+'Purchased Power Model '!E76</f>
        <v>8.3000000000000004E-2</v>
      </c>
      <c r="F76" s="327">
        <f>+'Purchased Power Model '!F76</f>
        <v>28</v>
      </c>
      <c r="G76" s="327">
        <f>+'Purchased Power Model '!G76</f>
        <v>0</v>
      </c>
      <c r="H76" s="328">
        <f>+'Purchased Power Model '!H76</f>
        <v>101654313.67578623</v>
      </c>
      <c r="J76" s="323">
        <f>+'10 Year Average'!A76</f>
        <v>39845</v>
      </c>
      <c r="K76" s="329">
        <f>+'10 Year Average'!B76</f>
        <v>99385016</v>
      </c>
      <c r="L76" s="325">
        <f>+'10 Year Average'!C76</f>
        <v>595.29999999999995</v>
      </c>
      <c r="M76" s="325">
        <f>+'10 Year Average'!D76</f>
        <v>0</v>
      </c>
      <c r="N76" s="326">
        <f>+'10 Year Average'!E76</f>
        <v>8.3000000000000004E-2</v>
      </c>
      <c r="O76" s="327">
        <f>+'10 Year Average'!F76</f>
        <v>28</v>
      </c>
      <c r="P76" s="327">
        <f>+'10 Year Average'!G76</f>
        <v>0</v>
      </c>
      <c r="Q76" s="328">
        <f>+'10 Year Average'!H76</f>
        <v>101654313.67578623</v>
      </c>
      <c r="S76" s="323">
        <f>+'20 Year Trend'!A76</f>
        <v>39845</v>
      </c>
      <c r="T76" s="329">
        <f>+'20 Year Trend'!B76</f>
        <v>99385016</v>
      </c>
      <c r="U76" s="325">
        <f>+'20 Year Trend'!C76</f>
        <v>595.29999999999995</v>
      </c>
      <c r="V76" s="325">
        <f>+'20 Year Trend'!D76</f>
        <v>0</v>
      </c>
      <c r="W76" s="326">
        <f>+'20 Year Trend'!E76</f>
        <v>8.3000000000000004E-2</v>
      </c>
      <c r="X76" s="327">
        <f>+'20 Year Trend'!F76</f>
        <v>28</v>
      </c>
      <c r="Y76" s="327">
        <f>+'20 Year Trend'!G76</f>
        <v>0</v>
      </c>
      <c r="Z76" s="328">
        <f>+'20 Year Trend'!H76</f>
        <v>101654313.67578623</v>
      </c>
    </row>
    <row r="77" spans="1:26" x14ac:dyDescent="0.3">
      <c r="A77" s="323">
        <f>+'Purchased Power Model '!A77</f>
        <v>39873</v>
      </c>
      <c r="B77" s="329">
        <f>+'Purchased Power Model '!B77</f>
        <v>100852310</v>
      </c>
      <c r="C77" s="325">
        <f>+'Purchased Power Model '!C77</f>
        <v>442.2</v>
      </c>
      <c r="D77" s="325">
        <f>+'Purchased Power Model '!D77</f>
        <v>0</v>
      </c>
      <c r="E77" s="326">
        <f>+'Purchased Power Model '!E77</f>
        <v>8.3000000000000004E-2</v>
      </c>
      <c r="F77" s="327">
        <f>+'Purchased Power Model '!F77</f>
        <v>31</v>
      </c>
      <c r="G77" s="327">
        <f>+'Purchased Power Model '!G77</f>
        <v>1</v>
      </c>
      <c r="H77" s="328">
        <f>+'Purchased Power Model '!H77</f>
        <v>96811324.017068729</v>
      </c>
      <c r="J77" s="323">
        <f>+'10 Year Average'!A77</f>
        <v>39873</v>
      </c>
      <c r="K77" s="329">
        <f>+'10 Year Average'!B77</f>
        <v>100852310</v>
      </c>
      <c r="L77" s="325">
        <f>+'10 Year Average'!C77</f>
        <v>442.2</v>
      </c>
      <c r="M77" s="325">
        <f>+'10 Year Average'!D77</f>
        <v>0</v>
      </c>
      <c r="N77" s="326">
        <f>+'10 Year Average'!E77</f>
        <v>8.3000000000000004E-2</v>
      </c>
      <c r="O77" s="327">
        <f>+'10 Year Average'!F77</f>
        <v>31</v>
      </c>
      <c r="P77" s="327">
        <f>+'10 Year Average'!G77</f>
        <v>1</v>
      </c>
      <c r="Q77" s="328">
        <f>+'10 Year Average'!H77</f>
        <v>96811324.017068729</v>
      </c>
      <c r="S77" s="323">
        <f>+'20 Year Trend'!A77</f>
        <v>39873</v>
      </c>
      <c r="T77" s="329">
        <f>+'20 Year Trend'!B77</f>
        <v>100852310</v>
      </c>
      <c r="U77" s="325">
        <f>+'20 Year Trend'!C77</f>
        <v>442.2</v>
      </c>
      <c r="V77" s="325">
        <f>+'20 Year Trend'!D77</f>
        <v>0</v>
      </c>
      <c r="W77" s="326">
        <f>+'20 Year Trend'!E77</f>
        <v>8.3000000000000004E-2</v>
      </c>
      <c r="X77" s="327">
        <f>+'20 Year Trend'!F77</f>
        <v>31</v>
      </c>
      <c r="Y77" s="327">
        <f>+'20 Year Trend'!G77</f>
        <v>1</v>
      </c>
      <c r="Z77" s="328">
        <f>+'20 Year Trend'!H77</f>
        <v>96811324.017068729</v>
      </c>
    </row>
    <row r="78" spans="1:26" x14ac:dyDescent="0.3">
      <c r="A78" s="323">
        <f>+'Purchased Power Model '!A78</f>
        <v>39904</v>
      </c>
      <c r="B78" s="329">
        <f>+'Purchased Power Model '!B78</f>
        <v>86741668</v>
      </c>
      <c r="C78" s="325">
        <f>+'Purchased Power Model '!C78</f>
        <v>313.8</v>
      </c>
      <c r="D78" s="325">
        <f>+'Purchased Power Model '!D78</f>
        <v>0</v>
      </c>
      <c r="E78" s="326">
        <f>+'Purchased Power Model '!E78</f>
        <v>8.8000000000000009E-2</v>
      </c>
      <c r="F78" s="327">
        <f>+'Purchased Power Model '!F78</f>
        <v>30</v>
      </c>
      <c r="G78" s="327">
        <f>+'Purchased Power Model '!G78</f>
        <v>1</v>
      </c>
      <c r="H78" s="328">
        <f>+'Purchased Power Model '!H78</f>
        <v>88172019.142679647</v>
      </c>
      <c r="J78" s="323">
        <f>+'10 Year Average'!A78</f>
        <v>39904</v>
      </c>
      <c r="K78" s="329">
        <f>+'10 Year Average'!B78</f>
        <v>86741668</v>
      </c>
      <c r="L78" s="325">
        <f>+'10 Year Average'!C78</f>
        <v>313.8</v>
      </c>
      <c r="M78" s="325">
        <f>+'10 Year Average'!D78</f>
        <v>0</v>
      </c>
      <c r="N78" s="326">
        <f>+'10 Year Average'!E78</f>
        <v>8.8000000000000009E-2</v>
      </c>
      <c r="O78" s="327">
        <f>+'10 Year Average'!F78</f>
        <v>30</v>
      </c>
      <c r="P78" s="327">
        <f>+'10 Year Average'!G78</f>
        <v>1</v>
      </c>
      <c r="Q78" s="328">
        <f>+'10 Year Average'!H78</f>
        <v>88172019.142679647</v>
      </c>
      <c r="S78" s="323">
        <f>+'20 Year Trend'!A78</f>
        <v>39904</v>
      </c>
      <c r="T78" s="329">
        <f>+'20 Year Trend'!B78</f>
        <v>86741668</v>
      </c>
      <c r="U78" s="325">
        <f>+'20 Year Trend'!C78</f>
        <v>313.8</v>
      </c>
      <c r="V78" s="325">
        <f>+'20 Year Trend'!D78</f>
        <v>0</v>
      </c>
      <c r="W78" s="326">
        <f>+'20 Year Trend'!E78</f>
        <v>8.8000000000000009E-2</v>
      </c>
      <c r="X78" s="327">
        <f>+'20 Year Trend'!F78</f>
        <v>30</v>
      </c>
      <c r="Y78" s="327">
        <f>+'20 Year Trend'!G78</f>
        <v>1</v>
      </c>
      <c r="Z78" s="328">
        <f>+'20 Year Trend'!H78</f>
        <v>88172019.142679647</v>
      </c>
    </row>
    <row r="79" spans="1:26" x14ac:dyDescent="0.3">
      <c r="A79" s="323">
        <f>+'Purchased Power Model '!A79</f>
        <v>39934</v>
      </c>
      <c r="B79" s="329">
        <f>+'Purchased Power Model '!B79</f>
        <v>80591893.384615391</v>
      </c>
      <c r="C79" s="325">
        <f>+'Purchased Power Model '!C79</f>
        <v>170.1</v>
      </c>
      <c r="D79" s="325">
        <f>+'Purchased Power Model '!D79</f>
        <v>0</v>
      </c>
      <c r="E79" s="326">
        <f>+'Purchased Power Model '!E79</f>
        <v>8.8000000000000009E-2</v>
      </c>
      <c r="F79" s="327">
        <f>+'Purchased Power Model '!F79</f>
        <v>31</v>
      </c>
      <c r="G79" s="327">
        <f>+'Purchased Power Model '!G79</f>
        <v>1</v>
      </c>
      <c r="H79" s="328">
        <f>+'Purchased Power Model '!H79</f>
        <v>85138397.857608929</v>
      </c>
      <c r="J79" s="323">
        <f>+'10 Year Average'!A79</f>
        <v>39934</v>
      </c>
      <c r="K79" s="329">
        <f>+'10 Year Average'!B79</f>
        <v>80591893.384615391</v>
      </c>
      <c r="L79" s="325">
        <f>+'10 Year Average'!C79</f>
        <v>170.1</v>
      </c>
      <c r="M79" s="325">
        <f>+'10 Year Average'!D79</f>
        <v>0</v>
      </c>
      <c r="N79" s="326">
        <f>+'10 Year Average'!E79</f>
        <v>8.8000000000000009E-2</v>
      </c>
      <c r="O79" s="327">
        <f>+'10 Year Average'!F79</f>
        <v>31</v>
      </c>
      <c r="P79" s="327">
        <f>+'10 Year Average'!G79</f>
        <v>1</v>
      </c>
      <c r="Q79" s="328">
        <f>+'10 Year Average'!H79</f>
        <v>85138397.857608929</v>
      </c>
      <c r="S79" s="323">
        <f>+'20 Year Trend'!A79</f>
        <v>39934</v>
      </c>
      <c r="T79" s="329">
        <f>+'20 Year Trend'!B79</f>
        <v>80591893.384615391</v>
      </c>
      <c r="U79" s="325">
        <f>+'20 Year Trend'!C79</f>
        <v>170.1</v>
      </c>
      <c r="V79" s="325">
        <f>+'20 Year Trend'!D79</f>
        <v>0</v>
      </c>
      <c r="W79" s="326">
        <f>+'20 Year Trend'!E79</f>
        <v>8.8000000000000009E-2</v>
      </c>
      <c r="X79" s="327">
        <f>+'20 Year Trend'!F79</f>
        <v>31</v>
      </c>
      <c r="Y79" s="327">
        <f>+'20 Year Trend'!G79</f>
        <v>1</v>
      </c>
      <c r="Z79" s="328">
        <f>+'20 Year Trend'!H79</f>
        <v>85138397.857608929</v>
      </c>
    </row>
    <row r="80" spans="1:26" x14ac:dyDescent="0.3">
      <c r="A80" s="323">
        <f>+'Purchased Power Model '!A80</f>
        <v>39965</v>
      </c>
      <c r="B80" s="329">
        <f>+'Purchased Power Model '!B80</f>
        <v>84198050.923076928</v>
      </c>
      <c r="C80" s="325">
        <f>+'Purchased Power Model '!C80</f>
        <v>57.9</v>
      </c>
      <c r="D80" s="325">
        <f>+'Purchased Power Model '!D80</f>
        <v>26.3</v>
      </c>
      <c r="E80" s="326">
        <f>+'Purchased Power Model '!E80</f>
        <v>8.8000000000000009E-2</v>
      </c>
      <c r="F80" s="327">
        <f>+'Purchased Power Model '!F80</f>
        <v>30</v>
      </c>
      <c r="G80" s="327">
        <f>+'Purchased Power Model '!G80</f>
        <v>0</v>
      </c>
      <c r="H80" s="328">
        <f>+'Purchased Power Model '!H80</f>
        <v>88605695.796504632</v>
      </c>
      <c r="J80" s="323">
        <f>+'10 Year Average'!A80</f>
        <v>39965</v>
      </c>
      <c r="K80" s="329">
        <f>+'10 Year Average'!B80</f>
        <v>84198050.923076928</v>
      </c>
      <c r="L80" s="325">
        <f>+'10 Year Average'!C80</f>
        <v>57.9</v>
      </c>
      <c r="M80" s="325">
        <f>+'10 Year Average'!D80</f>
        <v>26.3</v>
      </c>
      <c r="N80" s="326">
        <f>+'10 Year Average'!E80</f>
        <v>8.8000000000000009E-2</v>
      </c>
      <c r="O80" s="327">
        <f>+'10 Year Average'!F80</f>
        <v>30</v>
      </c>
      <c r="P80" s="327">
        <f>+'10 Year Average'!G80</f>
        <v>0</v>
      </c>
      <c r="Q80" s="328">
        <f>+'10 Year Average'!H80</f>
        <v>88605695.796504632</v>
      </c>
      <c r="S80" s="323">
        <f>+'20 Year Trend'!A80</f>
        <v>39965</v>
      </c>
      <c r="T80" s="329">
        <f>+'20 Year Trend'!B80</f>
        <v>84198050.923076928</v>
      </c>
      <c r="U80" s="325">
        <f>+'20 Year Trend'!C80</f>
        <v>57.9</v>
      </c>
      <c r="V80" s="325">
        <f>+'20 Year Trend'!D80</f>
        <v>26.3</v>
      </c>
      <c r="W80" s="326">
        <f>+'20 Year Trend'!E80</f>
        <v>8.8000000000000009E-2</v>
      </c>
      <c r="X80" s="327">
        <f>+'20 Year Trend'!F80</f>
        <v>30</v>
      </c>
      <c r="Y80" s="327">
        <f>+'20 Year Trend'!G80</f>
        <v>0</v>
      </c>
      <c r="Z80" s="328">
        <f>+'20 Year Trend'!H80</f>
        <v>88605695.796504632</v>
      </c>
    </row>
    <row r="81" spans="1:26" x14ac:dyDescent="0.3">
      <c r="A81" s="323">
        <f>+'Purchased Power Model '!A81</f>
        <v>39995</v>
      </c>
      <c r="B81" s="329">
        <f>+'Purchased Power Model '!B81</f>
        <v>87831701.059230775</v>
      </c>
      <c r="C81" s="325">
        <f>+'Purchased Power Model '!C81</f>
        <v>16.8</v>
      </c>
      <c r="D81" s="325">
        <f>+'Purchased Power Model '!D81</f>
        <v>25.6</v>
      </c>
      <c r="E81" s="326">
        <f>+'Purchased Power Model '!E81</f>
        <v>9.5000000000000001E-2</v>
      </c>
      <c r="F81" s="327">
        <f>+'Purchased Power Model '!F81</f>
        <v>31</v>
      </c>
      <c r="G81" s="327">
        <f>+'Purchased Power Model '!G81</f>
        <v>0</v>
      </c>
      <c r="H81" s="328">
        <f>+'Purchased Power Model '!H81</f>
        <v>88792163.118976027</v>
      </c>
      <c r="J81" s="323">
        <f>+'10 Year Average'!A81</f>
        <v>39995</v>
      </c>
      <c r="K81" s="329">
        <f>+'10 Year Average'!B81</f>
        <v>87831701.059230775</v>
      </c>
      <c r="L81" s="325">
        <f>+'10 Year Average'!C81</f>
        <v>16.8</v>
      </c>
      <c r="M81" s="325">
        <f>+'10 Year Average'!D81</f>
        <v>25.6</v>
      </c>
      <c r="N81" s="326">
        <f>+'10 Year Average'!E81</f>
        <v>9.5000000000000001E-2</v>
      </c>
      <c r="O81" s="327">
        <f>+'10 Year Average'!F81</f>
        <v>31</v>
      </c>
      <c r="P81" s="327">
        <f>+'10 Year Average'!G81</f>
        <v>0</v>
      </c>
      <c r="Q81" s="328">
        <f>+'10 Year Average'!H81</f>
        <v>88792163.118976027</v>
      </c>
      <c r="S81" s="323">
        <f>+'20 Year Trend'!A81</f>
        <v>39995</v>
      </c>
      <c r="T81" s="329">
        <f>+'20 Year Trend'!B81</f>
        <v>87831701.059230775</v>
      </c>
      <c r="U81" s="325">
        <f>+'20 Year Trend'!C81</f>
        <v>16.8</v>
      </c>
      <c r="V81" s="325">
        <f>+'20 Year Trend'!D81</f>
        <v>25.6</v>
      </c>
      <c r="W81" s="326">
        <f>+'20 Year Trend'!E81</f>
        <v>9.5000000000000001E-2</v>
      </c>
      <c r="X81" s="327">
        <f>+'20 Year Trend'!F81</f>
        <v>31</v>
      </c>
      <c r="Y81" s="327">
        <f>+'20 Year Trend'!G81</f>
        <v>0</v>
      </c>
      <c r="Z81" s="328">
        <f>+'20 Year Trend'!H81</f>
        <v>88792163.118976027</v>
      </c>
    </row>
    <row r="82" spans="1:26" x14ac:dyDescent="0.3">
      <c r="A82" s="323">
        <f>+'Purchased Power Model '!A82</f>
        <v>40026</v>
      </c>
      <c r="B82" s="329">
        <f>+'Purchased Power Model '!B82</f>
        <v>97879755</v>
      </c>
      <c r="C82" s="325">
        <f>+'Purchased Power Model '!C82</f>
        <v>13.1</v>
      </c>
      <c r="D82" s="325">
        <f>+'Purchased Power Model '!D82</f>
        <v>77.7</v>
      </c>
      <c r="E82" s="326">
        <f>+'Purchased Power Model '!E82</f>
        <v>9.5000000000000001E-2</v>
      </c>
      <c r="F82" s="327">
        <f>+'Purchased Power Model '!F82</f>
        <v>31</v>
      </c>
      <c r="G82" s="327">
        <f>+'Purchased Power Model '!G82</f>
        <v>0</v>
      </c>
      <c r="H82" s="328">
        <f>+'Purchased Power Model '!H82</f>
        <v>96155305.624373317</v>
      </c>
      <c r="J82" s="323">
        <f>+'10 Year Average'!A82</f>
        <v>40026</v>
      </c>
      <c r="K82" s="329">
        <f>+'10 Year Average'!B82</f>
        <v>97879755</v>
      </c>
      <c r="L82" s="325">
        <f>+'10 Year Average'!C82</f>
        <v>13.1</v>
      </c>
      <c r="M82" s="325">
        <f>+'10 Year Average'!D82</f>
        <v>77.7</v>
      </c>
      <c r="N82" s="326">
        <f>+'10 Year Average'!E82</f>
        <v>9.5000000000000001E-2</v>
      </c>
      <c r="O82" s="327">
        <f>+'10 Year Average'!F82</f>
        <v>31</v>
      </c>
      <c r="P82" s="327">
        <f>+'10 Year Average'!G82</f>
        <v>0</v>
      </c>
      <c r="Q82" s="328">
        <f>+'10 Year Average'!H82</f>
        <v>96155305.624373317</v>
      </c>
      <c r="S82" s="323">
        <f>+'20 Year Trend'!A82</f>
        <v>40026</v>
      </c>
      <c r="T82" s="329">
        <f>+'20 Year Trend'!B82</f>
        <v>97879755</v>
      </c>
      <c r="U82" s="325">
        <f>+'20 Year Trend'!C82</f>
        <v>13.1</v>
      </c>
      <c r="V82" s="325">
        <f>+'20 Year Trend'!D82</f>
        <v>77.7</v>
      </c>
      <c r="W82" s="326">
        <f>+'20 Year Trend'!E82</f>
        <v>9.5000000000000001E-2</v>
      </c>
      <c r="X82" s="327">
        <f>+'20 Year Trend'!F82</f>
        <v>31</v>
      </c>
      <c r="Y82" s="327">
        <f>+'20 Year Trend'!G82</f>
        <v>0</v>
      </c>
      <c r="Z82" s="328">
        <f>+'20 Year Trend'!H82</f>
        <v>96155305.624373317</v>
      </c>
    </row>
    <row r="83" spans="1:26" x14ac:dyDescent="0.3">
      <c r="A83" s="323">
        <f>+'Purchased Power Model '!A83</f>
        <v>40057</v>
      </c>
      <c r="B83" s="329">
        <f>+'Purchased Power Model '!B83</f>
        <v>83907661.687692314</v>
      </c>
      <c r="C83" s="325">
        <f>+'Purchased Power Model '!C83</f>
        <v>64.8</v>
      </c>
      <c r="D83" s="325">
        <f>+'Purchased Power Model '!D83</f>
        <v>9</v>
      </c>
      <c r="E83" s="326">
        <f>+'Purchased Power Model '!E83</f>
        <v>9.5000000000000001E-2</v>
      </c>
      <c r="F83" s="327">
        <f>+'Purchased Power Model '!F83</f>
        <v>30</v>
      </c>
      <c r="G83" s="327">
        <f>+'Purchased Power Model '!G83</f>
        <v>1</v>
      </c>
      <c r="H83" s="328">
        <f>+'Purchased Power Model '!H83</f>
        <v>78493192.847960621</v>
      </c>
      <c r="J83" s="323">
        <f>+'10 Year Average'!A83</f>
        <v>40057</v>
      </c>
      <c r="K83" s="329">
        <f>+'10 Year Average'!B83</f>
        <v>83907661.687692314</v>
      </c>
      <c r="L83" s="325">
        <f>+'10 Year Average'!C83</f>
        <v>64.8</v>
      </c>
      <c r="M83" s="325">
        <f>+'10 Year Average'!D83</f>
        <v>9</v>
      </c>
      <c r="N83" s="326">
        <f>+'10 Year Average'!E83</f>
        <v>9.5000000000000001E-2</v>
      </c>
      <c r="O83" s="327">
        <f>+'10 Year Average'!F83</f>
        <v>30</v>
      </c>
      <c r="P83" s="327">
        <f>+'10 Year Average'!G83</f>
        <v>1</v>
      </c>
      <c r="Q83" s="328">
        <f>+'10 Year Average'!H83</f>
        <v>78493192.847960621</v>
      </c>
      <c r="S83" s="323">
        <f>+'20 Year Trend'!A83</f>
        <v>40057</v>
      </c>
      <c r="T83" s="329">
        <f>+'20 Year Trend'!B83</f>
        <v>83907661.687692314</v>
      </c>
      <c r="U83" s="325">
        <f>+'20 Year Trend'!C83</f>
        <v>64.8</v>
      </c>
      <c r="V83" s="325">
        <f>+'20 Year Trend'!D83</f>
        <v>9</v>
      </c>
      <c r="W83" s="326">
        <f>+'20 Year Trend'!E83</f>
        <v>9.5000000000000001E-2</v>
      </c>
      <c r="X83" s="327">
        <f>+'20 Year Trend'!F83</f>
        <v>30</v>
      </c>
      <c r="Y83" s="327">
        <f>+'20 Year Trend'!G83</f>
        <v>1</v>
      </c>
      <c r="Z83" s="328">
        <f>+'20 Year Trend'!H83</f>
        <v>78493192.847960621</v>
      </c>
    </row>
    <row r="84" spans="1:26" x14ac:dyDescent="0.3">
      <c r="A84" s="323">
        <f>+'Purchased Power Model '!A84</f>
        <v>40087</v>
      </c>
      <c r="B84" s="329">
        <f>+'Purchased Power Model '!B84</f>
        <v>88097164.336923078</v>
      </c>
      <c r="C84" s="325">
        <f>+'Purchased Power Model '!C84</f>
        <v>287.89999999999998</v>
      </c>
      <c r="D84" s="325">
        <f>+'Purchased Power Model '!D84</f>
        <v>0</v>
      </c>
      <c r="E84" s="326">
        <f>+'Purchased Power Model '!E84</f>
        <v>0.1</v>
      </c>
      <c r="F84" s="327">
        <f>+'Purchased Power Model '!F84</f>
        <v>31</v>
      </c>
      <c r="G84" s="327">
        <f>+'Purchased Power Model '!G84</f>
        <v>1</v>
      </c>
      <c r="H84" s="328">
        <f>+'Purchased Power Model '!H84</f>
        <v>88469554.420679748</v>
      </c>
      <c r="J84" s="323">
        <f>+'10 Year Average'!A84</f>
        <v>40087</v>
      </c>
      <c r="K84" s="329">
        <f>+'10 Year Average'!B84</f>
        <v>88097164.336923078</v>
      </c>
      <c r="L84" s="325">
        <f>+'10 Year Average'!C84</f>
        <v>287.89999999999998</v>
      </c>
      <c r="M84" s="325">
        <f>+'10 Year Average'!D84</f>
        <v>0</v>
      </c>
      <c r="N84" s="326">
        <f>+'10 Year Average'!E84</f>
        <v>0.1</v>
      </c>
      <c r="O84" s="327">
        <f>+'10 Year Average'!F84</f>
        <v>31</v>
      </c>
      <c r="P84" s="327">
        <f>+'10 Year Average'!G84</f>
        <v>1</v>
      </c>
      <c r="Q84" s="328">
        <f>+'10 Year Average'!H84</f>
        <v>88469554.420679748</v>
      </c>
      <c r="S84" s="323">
        <f>+'20 Year Trend'!A84</f>
        <v>40087</v>
      </c>
      <c r="T84" s="329">
        <f>+'20 Year Trend'!B84</f>
        <v>88097164.336923078</v>
      </c>
      <c r="U84" s="325">
        <f>+'20 Year Trend'!C84</f>
        <v>287.89999999999998</v>
      </c>
      <c r="V84" s="325">
        <f>+'20 Year Trend'!D84</f>
        <v>0</v>
      </c>
      <c r="W84" s="326">
        <f>+'20 Year Trend'!E84</f>
        <v>0.1</v>
      </c>
      <c r="X84" s="327">
        <f>+'20 Year Trend'!F84</f>
        <v>31</v>
      </c>
      <c r="Y84" s="327">
        <f>+'20 Year Trend'!G84</f>
        <v>1</v>
      </c>
      <c r="Z84" s="328">
        <f>+'20 Year Trend'!H84</f>
        <v>88469554.420679748</v>
      </c>
    </row>
    <row r="85" spans="1:26" x14ac:dyDescent="0.3">
      <c r="A85" s="323">
        <f>+'Purchased Power Model '!A85</f>
        <v>40118</v>
      </c>
      <c r="B85" s="329">
        <f>+'Purchased Power Model '!B85</f>
        <v>89873866.688461557</v>
      </c>
      <c r="C85" s="325">
        <f>+'Purchased Power Model '!C85</f>
        <v>347.4</v>
      </c>
      <c r="D85" s="325">
        <f>+'Purchased Power Model '!D85</f>
        <v>0</v>
      </c>
      <c r="E85" s="326">
        <f>+'Purchased Power Model '!E85</f>
        <v>0.1</v>
      </c>
      <c r="F85" s="327">
        <f>+'Purchased Power Model '!F85</f>
        <v>30</v>
      </c>
      <c r="G85" s="327">
        <f>+'Purchased Power Model '!G85</f>
        <v>1</v>
      </c>
      <c r="H85" s="328">
        <f>+'Purchased Power Model '!H85</f>
        <v>88079185.901233047</v>
      </c>
      <c r="J85" s="323">
        <f>+'10 Year Average'!A85</f>
        <v>40118</v>
      </c>
      <c r="K85" s="329">
        <f>+'10 Year Average'!B85</f>
        <v>89873866.688461557</v>
      </c>
      <c r="L85" s="325">
        <f>+'10 Year Average'!C85</f>
        <v>347.4</v>
      </c>
      <c r="M85" s="325">
        <f>+'10 Year Average'!D85</f>
        <v>0</v>
      </c>
      <c r="N85" s="326">
        <f>+'10 Year Average'!E85</f>
        <v>0.1</v>
      </c>
      <c r="O85" s="327">
        <f>+'10 Year Average'!F85</f>
        <v>30</v>
      </c>
      <c r="P85" s="327">
        <f>+'10 Year Average'!G85</f>
        <v>1</v>
      </c>
      <c r="Q85" s="328">
        <f>+'10 Year Average'!H85</f>
        <v>88079185.901233047</v>
      </c>
      <c r="S85" s="323">
        <f>+'20 Year Trend'!A85</f>
        <v>40118</v>
      </c>
      <c r="T85" s="329">
        <f>+'20 Year Trend'!B85</f>
        <v>89873866.688461557</v>
      </c>
      <c r="U85" s="325">
        <f>+'20 Year Trend'!C85</f>
        <v>347.4</v>
      </c>
      <c r="V85" s="325">
        <f>+'20 Year Trend'!D85</f>
        <v>0</v>
      </c>
      <c r="W85" s="326">
        <f>+'20 Year Trend'!E85</f>
        <v>0.1</v>
      </c>
      <c r="X85" s="327">
        <f>+'20 Year Trend'!F85</f>
        <v>30</v>
      </c>
      <c r="Y85" s="327">
        <f>+'20 Year Trend'!G85</f>
        <v>1</v>
      </c>
      <c r="Z85" s="328">
        <f>+'20 Year Trend'!H85</f>
        <v>88079185.901233047</v>
      </c>
    </row>
    <row r="86" spans="1:26" x14ac:dyDescent="0.3">
      <c r="A86" s="323">
        <f>+'Purchased Power Model '!A86</f>
        <v>40148</v>
      </c>
      <c r="B86" s="329">
        <f>+'Purchased Power Model '!B86</f>
        <v>109709991.43076923</v>
      </c>
      <c r="C86" s="325">
        <f>+'Purchased Power Model '!C86</f>
        <v>619.1</v>
      </c>
      <c r="D86" s="325">
        <f>+'Purchased Power Model '!D86</f>
        <v>0</v>
      </c>
      <c r="E86" s="326">
        <f>+'Purchased Power Model '!E86</f>
        <v>0.1</v>
      </c>
      <c r="F86" s="327">
        <f>+'Purchased Power Model '!F86</f>
        <v>31</v>
      </c>
      <c r="G86" s="327">
        <f>+'Purchased Power Model '!G86</f>
        <v>0</v>
      </c>
      <c r="H86" s="328">
        <f>+'Purchased Power Model '!H86</f>
        <v>108984775.1043752</v>
      </c>
      <c r="J86" s="323">
        <f>+'10 Year Average'!A86</f>
        <v>40148</v>
      </c>
      <c r="K86" s="329">
        <f>+'10 Year Average'!B86</f>
        <v>109709991.43076923</v>
      </c>
      <c r="L86" s="325">
        <f>+'10 Year Average'!C86</f>
        <v>619.1</v>
      </c>
      <c r="M86" s="325">
        <f>+'10 Year Average'!D86</f>
        <v>0</v>
      </c>
      <c r="N86" s="326">
        <f>+'10 Year Average'!E86</f>
        <v>0.1</v>
      </c>
      <c r="O86" s="327">
        <f>+'10 Year Average'!F86</f>
        <v>31</v>
      </c>
      <c r="P86" s="327">
        <f>+'10 Year Average'!G86</f>
        <v>0</v>
      </c>
      <c r="Q86" s="328">
        <f>+'10 Year Average'!H86</f>
        <v>108984775.1043752</v>
      </c>
      <c r="S86" s="323">
        <f>+'20 Year Trend'!A86</f>
        <v>40148</v>
      </c>
      <c r="T86" s="329">
        <f>+'20 Year Trend'!B86</f>
        <v>109709991.43076923</v>
      </c>
      <c r="U86" s="325">
        <f>+'20 Year Trend'!C86</f>
        <v>619.1</v>
      </c>
      <c r="V86" s="325">
        <f>+'20 Year Trend'!D86</f>
        <v>0</v>
      </c>
      <c r="W86" s="326">
        <f>+'20 Year Trend'!E86</f>
        <v>0.1</v>
      </c>
      <c r="X86" s="327">
        <f>+'20 Year Trend'!F86</f>
        <v>31</v>
      </c>
      <c r="Y86" s="327">
        <f>+'20 Year Trend'!G86</f>
        <v>0</v>
      </c>
      <c r="Z86" s="328">
        <f>+'20 Year Trend'!H86</f>
        <v>108984775.1043752</v>
      </c>
    </row>
    <row r="87" spans="1:26" x14ac:dyDescent="0.3">
      <c r="A87" s="323">
        <f>+'Purchased Power Model '!A87</f>
        <v>40179</v>
      </c>
      <c r="B87" s="329">
        <f>+'Purchased Power Model '!B87</f>
        <v>114148404.02769232</v>
      </c>
      <c r="C87" s="325">
        <f>+'Purchased Power Model '!C87</f>
        <v>699.9</v>
      </c>
      <c r="D87" s="325">
        <f>+'Purchased Power Model '!D87</f>
        <v>0</v>
      </c>
      <c r="E87" s="326">
        <f>+'Purchased Power Model '!E87</f>
        <v>0.10300000000000001</v>
      </c>
      <c r="F87" s="327">
        <f>+'Purchased Power Model '!F87</f>
        <v>31</v>
      </c>
      <c r="G87" s="327">
        <f>+'Purchased Power Model '!G87</f>
        <v>0</v>
      </c>
      <c r="H87" s="328">
        <f>+'Purchased Power Model '!H87</f>
        <v>111905710.04635394</v>
      </c>
      <c r="J87" s="323">
        <f>+'10 Year Average'!A87</f>
        <v>40179</v>
      </c>
      <c r="K87" s="329">
        <f>+'10 Year Average'!B87</f>
        <v>114148404.02769232</v>
      </c>
      <c r="L87" s="325">
        <f>+'10 Year Average'!C87</f>
        <v>699.9</v>
      </c>
      <c r="M87" s="325">
        <f>+'10 Year Average'!D87</f>
        <v>0</v>
      </c>
      <c r="N87" s="326">
        <f>+'10 Year Average'!E87</f>
        <v>0.10300000000000001</v>
      </c>
      <c r="O87" s="327">
        <f>+'10 Year Average'!F87</f>
        <v>31</v>
      </c>
      <c r="P87" s="327">
        <f>+'10 Year Average'!G87</f>
        <v>0</v>
      </c>
      <c r="Q87" s="328">
        <f>+'10 Year Average'!H87</f>
        <v>111905710.04635394</v>
      </c>
      <c r="S87" s="323">
        <f>+'20 Year Trend'!A87</f>
        <v>40179</v>
      </c>
      <c r="T87" s="329">
        <f>+'20 Year Trend'!B87</f>
        <v>114148404.02769232</v>
      </c>
      <c r="U87" s="325">
        <f>+'20 Year Trend'!C87</f>
        <v>699.9</v>
      </c>
      <c r="V87" s="325">
        <f>+'20 Year Trend'!D87</f>
        <v>0</v>
      </c>
      <c r="W87" s="326">
        <f>+'20 Year Trend'!E87</f>
        <v>0.10300000000000001</v>
      </c>
      <c r="X87" s="327">
        <f>+'20 Year Trend'!F87</f>
        <v>31</v>
      </c>
      <c r="Y87" s="327">
        <f>+'20 Year Trend'!G87</f>
        <v>0</v>
      </c>
      <c r="Z87" s="328">
        <f>+'20 Year Trend'!H87</f>
        <v>111905710.04635394</v>
      </c>
    </row>
    <row r="88" spans="1:26" x14ac:dyDescent="0.3">
      <c r="A88" s="323">
        <f>+'Purchased Power Model '!A88</f>
        <v>40210</v>
      </c>
      <c r="B88" s="329">
        <f>+'Purchased Power Model '!B88</f>
        <v>100280891.65769231</v>
      </c>
      <c r="C88" s="325">
        <f>+'Purchased Power Model '!C88</f>
        <v>583.79999999999995</v>
      </c>
      <c r="D88" s="325">
        <f>+'Purchased Power Model '!D88</f>
        <v>0</v>
      </c>
      <c r="E88" s="326">
        <f>+'Purchased Power Model '!E88</f>
        <v>0.10300000000000001</v>
      </c>
      <c r="F88" s="327">
        <f>+'Purchased Power Model '!F88</f>
        <v>28</v>
      </c>
      <c r="G88" s="327">
        <f>+'Purchased Power Model '!G88</f>
        <v>0</v>
      </c>
      <c r="H88" s="328">
        <f>+'Purchased Power Model '!H88</f>
        <v>98754706.668407798</v>
      </c>
      <c r="J88" s="323">
        <f>+'10 Year Average'!A88</f>
        <v>40210</v>
      </c>
      <c r="K88" s="329">
        <f>+'10 Year Average'!B88</f>
        <v>100280891.65769231</v>
      </c>
      <c r="L88" s="325">
        <f>+'10 Year Average'!C88</f>
        <v>583.79999999999995</v>
      </c>
      <c r="M88" s="325">
        <f>+'10 Year Average'!D88</f>
        <v>0</v>
      </c>
      <c r="N88" s="326">
        <f>+'10 Year Average'!E88</f>
        <v>0.10300000000000001</v>
      </c>
      <c r="O88" s="327">
        <f>+'10 Year Average'!F88</f>
        <v>28</v>
      </c>
      <c r="P88" s="327">
        <f>+'10 Year Average'!G88</f>
        <v>0</v>
      </c>
      <c r="Q88" s="328">
        <f>+'10 Year Average'!H88</f>
        <v>98754706.668407798</v>
      </c>
      <c r="S88" s="323">
        <f>+'20 Year Trend'!A88</f>
        <v>40210</v>
      </c>
      <c r="T88" s="329">
        <f>+'20 Year Trend'!B88</f>
        <v>100280891.65769231</v>
      </c>
      <c r="U88" s="325">
        <f>+'20 Year Trend'!C88</f>
        <v>583.79999999999995</v>
      </c>
      <c r="V88" s="325">
        <f>+'20 Year Trend'!D88</f>
        <v>0</v>
      </c>
      <c r="W88" s="326">
        <f>+'20 Year Trend'!E88</f>
        <v>0.10300000000000001</v>
      </c>
      <c r="X88" s="327">
        <f>+'20 Year Trend'!F88</f>
        <v>28</v>
      </c>
      <c r="Y88" s="327">
        <f>+'20 Year Trend'!G88</f>
        <v>0</v>
      </c>
      <c r="Z88" s="328">
        <f>+'20 Year Trend'!H88</f>
        <v>98754706.668407798</v>
      </c>
    </row>
    <row r="89" spans="1:26" x14ac:dyDescent="0.3">
      <c r="A89" s="323">
        <f>+'Purchased Power Model '!A89</f>
        <v>40238</v>
      </c>
      <c r="B89" s="329">
        <f>+'Purchased Power Model '!B89</f>
        <v>95443611.384615391</v>
      </c>
      <c r="C89" s="325">
        <f>+'Purchased Power Model '!C89</f>
        <v>411</v>
      </c>
      <c r="D89" s="325">
        <f>+'Purchased Power Model '!D89</f>
        <v>0</v>
      </c>
      <c r="E89" s="326">
        <f>+'Purchased Power Model '!E89</f>
        <v>0.10300000000000001</v>
      </c>
      <c r="F89" s="327">
        <f>+'Purchased Power Model '!F89</f>
        <v>31</v>
      </c>
      <c r="G89" s="327">
        <f>+'Purchased Power Model '!G89</f>
        <v>1</v>
      </c>
      <c r="H89" s="328">
        <f>+'Purchased Power Model '!H89</f>
        <v>93110617.257326975</v>
      </c>
      <c r="J89" s="323">
        <f>+'10 Year Average'!A89</f>
        <v>40238</v>
      </c>
      <c r="K89" s="329">
        <f>+'10 Year Average'!B89</f>
        <v>95443611.384615391</v>
      </c>
      <c r="L89" s="325">
        <f>+'10 Year Average'!C89</f>
        <v>411</v>
      </c>
      <c r="M89" s="325">
        <f>+'10 Year Average'!D89</f>
        <v>0</v>
      </c>
      <c r="N89" s="326">
        <f>+'10 Year Average'!E89</f>
        <v>0.10300000000000001</v>
      </c>
      <c r="O89" s="327">
        <f>+'10 Year Average'!F89</f>
        <v>31</v>
      </c>
      <c r="P89" s="327">
        <f>+'10 Year Average'!G89</f>
        <v>1</v>
      </c>
      <c r="Q89" s="328">
        <f>+'10 Year Average'!H89</f>
        <v>93110617.257326975</v>
      </c>
      <c r="S89" s="323">
        <f>+'20 Year Trend'!A89</f>
        <v>40238</v>
      </c>
      <c r="T89" s="329">
        <f>+'20 Year Trend'!B89</f>
        <v>95443611.384615391</v>
      </c>
      <c r="U89" s="325">
        <f>+'20 Year Trend'!C89</f>
        <v>411</v>
      </c>
      <c r="V89" s="325">
        <f>+'20 Year Trend'!D89</f>
        <v>0</v>
      </c>
      <c r="W89" s="326">
        <f>+'20 Year Trend'!E89</f>
        <v>0.10300000000000001</v>
      </c>
      <c r="X89" s="327">
        <f>+'20 Year Trend'!F89</f>
        <v>31</v>
      </c>
      <c r="Y89" s="327">
        <f>+'20 Year Trend'!G89</f>
        <v>1</v>
      </c>
      <c r="Z89" s="328">
        <f>+'20 Year Trend'!H89</f>
        <v>93110617.257326975</v>
      </c>
    </row>
    <row r="90" spans="1:26" x14ac:dyDescent="0.3">
      <c r="A90" s="323">
        <f>+'Purchased Power Model '!A90</f>
        <v>40269</v>
      </c>
      <c r="B90" s="329">
        <f>+'Purchased Power Model '!B90</f>
        <v>80941805.90538463</v>
      </c>
      <c r="C90" s="325">
        <f>+'Purchased Power Model '!C90</f>
        <v>244</v>
      </c>
      <c r="D90" s="325">
        <f>+'Purchased Power Model '!D90</f>
        <v>0</v>
      </c>
      <c r="E90" s="326">
        <f>+'Purchased Power Model '!E90</f>
        <v>9.9000000000000005E-2</v>
      </c>
      <c r="F90" s="327">
        <f>+'Purchased Power Model '!F90</f>
        <v>30</v>
      </c>
      <c r="G90" s="327">
        <f>+'Purchased Power Model '!G90</f>
        <v>1</v>
      </c>
      <c r="H90" s="328">
        <f>+'Purchased Power Model '!H90</f>
        <v>83996026.822567567</v>
      </c>
      <c r="J90" s="323">
        <f>+'10 Year Average'!A90</f>
        <v>40269</v>
      </c>
      <c r="K90" s="329">
        <f>+'10 Year Average'!B90</f>
        <v>80941805.90538463</v>
      </c>
      <c r="L90" s="325">
        <f>+'10 Year Average'!C90</f>
        <v>244</v>
      </c>
      <c r="M90" s="325">
        <f>+'10 Year Average'!D90</f>
        <v>0</v>
      </c>
      <c r="N90" s="326">
        <f>+'10 Year Average'!E90</f>
        <v>9.9000000000000005E-2</v>
      </c>
      <c r="O90" s="327">
        <f>+'10 Year Average'!F90</f>
        <v>30</v>
      </c>
      <c r="P90" s="327">
        <f>+'10 Year Average'!G90</f>
        <v>1</v>
      </c>
      <c r="Q90" s="328">
        <f>+'10 Year Average'!H90</f>
        <v>83996026.822567567</v>
      </c>
      <c r="S90" s="323">
        <f>+'20 Year Trend'!A90</f>
        <v>40269</v>
      </c>
      <c r="T90" s="329">
        <f>+'20 Year Trend'!B90</f>
        <v>80941805.90538463</v>
      </c>
      <c r="U90" s="325">
        <f>+'20 Year Trend'!C90</f>
        <v>244</v>
      </c>
      <c r="V90" s="325">
        <f>+'20 Year Trend'!D90</f>
        <v>0</v>
      </c>
      <c r="W90" s="326">
        <f>+'20 Year Trend'!E90</f>
        <v>9.9000000000000005E-2</v>
      </c>
      <c r="X90" s="327">
        <f>+'20 Year Trend'!F90</f>
        <v>30</v>
      </c>
      <c r="Y90" s="327">
        <f>+'20 Year Trend'!G90</f>
        <v>1</v>
      </c>
      <c r="Z90" s="328">
        <f>+'20 Year Trend'!H90</f>
        <v>83996026.822567567</v>
      </c>
    </row>
    <row r="91" spans="1:26" x14ac:dyDescent="0.3">
      <c r="A91" s="323">
        <f>+'Purchased Power Model '!A91</f>
        <v>40299</v>
      </c>
      <c r="B91" s="329">
        <f>+'Purchased Power Model '!B91</f>
        <v>87418768.25846155</v>
      </c>
      <c r="C91" s="325">
        <f>+'Purchased Power Model '!C91</f>
        <v>121.7</v>
      </c>
      <c r="D91" s="325">
        <f>+'Purchased Power Model '!D91</f>
        <v>23.2</v>
      </c>
      <c r="E91" s="326">
        <f>+'Purchased Power Model '!E91</f>
        <v>9.9000000000000005E-2</v>
      </c>
      <c r="F91" s="327">
        <f>+'Purchased Power Model '!F91</f>
        <v>31</v>
      </c>
      <c r="G91" s="327">
        <f>+'Purchased Power Model '!G91</f>
        <v>1</v>
      </c>
      <c r="H91" s="328">
        <f>+'Purchased Power Model '!H91</f>
        <v>85178424.333164722</v>
      </c>
      <c r="J91" s="323">
        <f>+'10 Year Average'!A91</f>
        <v>40299</v>
      </c>
      <c r="K91" s="329">
        <f>+'10 Year Average'!B91</f>
        <v>87418768.25846155</v>
      </c>
      <c r="L91" s="325">
        <f>+'10 Year Average'!C91</f>
        <v>121.7</v>
      </c>
      <c r="M91" s="325">
        <f>+'10 Year Average'!D91</f>
        <v>23.2</v>
      </c>
      <c r="N91" s="326">
        <f>+'10 Year Average'!E91</f>
        <v>9.9000000000000005E-2</v>
      </c>
      <c r="O91" s="327">
        <f>+'10 Year Average'!F91</f>
        <v>31</v>
      </c>
      <c r="P91" s="327">
        <f>+'10 Year Average'!G91</f>
        <v>1</v>
      </c>
      <c r="Q91" s="328">
        <f>+'10 Year Average'!H91</f>
        <v>85178424.333164722</v>
      </c>
      <c r="S91" s="323">
        <f>+'20 Year Trend'!A91</f>
        <v>40299</v>
      </c>
      <c r="T91" s="329">
        <f>+'20 Year Trend'!B91</f>
        <v>87418768.25846155</v>
      </c>
      <c r="U91" s="325">
        <f>+'20 Year Trend'!C91</f>
        <v>121.7</v>
      </c>
      <c r="V91" s="325">
        <f>+'20 Year Trend'!D91</f>
        <v>23.2</v>
      </c>
      <c r="W91" s="326">
        <f>+'20 Year Trend'!E91</f>
        <v>9.9000000000000005E-2</v>
      </c>
      <c r="X91" s="327">
        <f>+'20 Year Trend'!F91</f>
        <v>31</v>
      </c>
      <c r="Y91" s="327">
        <f>+'20 Year Trend'!G91</f>
        <v>1</v>
      </c>
      <c r="Z91" s="328">
        <f>+'20 Year Trend'!H91</f>
        <v>85178424.333164722</v>
      </c>
    </row>
    <row r="92" spans="1:26" x14ac:dyDescent="0.3">
      <c r="A92" s="323">
        <f>+'Purchased Power Model '!A92</f>
        <v>40330</v>
      </c>
      <c r="B92" s="329">
        <f>+'Purchased Power Model '!B92</f>
        <v>89087288.937692314</v>
      </c>
      <c r="C92" s="325">
        <f>+'Purchased Power Model '!C92</f>
        <v>19.399999999999999</v>
      </c>
      <c r="D92" s="325">
        <f>+'Purchased Power Model '!D92</f>
        <v>46.6</v>
      </c>
      <c r="E92" s="326">
        <f>+'Purchased Power Model '!E92</f>
        <v>9.9000000000000005E-2</v>
      </c>
      <c r="F92" s="327">
        <f>+'Purchased Power Model '!F92</f>
        <v>30</v>
      </c>
      <c r="G92" s="327">
        <f>+'Purchased Power Model '!G92</f>
        <v>0</v>
      </c>
      <c r="H92" s="328">
        <f>+'Purchased Power Model '!H92</f>
        <v>88630081.820366845</v>
      </c>
      <c r="J92" s="323">
        <f>+'10 Year Average'!A92</f>
        <v>40330</v>
      </c>
      <c r="K92" s="329">
        <f>+'10 Year Average'!B92</f>
        <v>89087288.937692314</v>
      </c>
      <c r="L92" s="325">
        <f>+'10 Year Average'!C92</f>
        <v>19.399999999999999</v>
      </c>
      <c r="M92" s="325">
        <f>+'10 Year Average'!D92</f>
        <v>46.6</v>
      </c>
      <c r="N92" s="326">
        <f>+'10 Year Average'!E92</f>
        <v>9.9000000000000005E-2</v>
      </c>
      <c r="O92" s="327">
        <f>+'10 Year Average'!F92</f>
        <v>30</v>
      </c>
      <c r="P92" s="327">
        <f>+'10 Year Average'!G92</f>
        <v>0</v>
      </c>
      <c r="Q92" s="328">
        <f>+'10 Year Average'!H92</f>
        <v>88630081.820366845</v>
      </c>
      <c r="S92" s="323">
        <f>+'20 Year Trend'!A92</f>
        <v>40330</v>
      </c>
      <c r="T92" s="329">
        <f>+'20 Year Trend'!B92</f>
        <v>89087288.937692314</v>
      </c>
      <c r="U92" s="325">
        <f>+'20 Year Trend'!C92</f>
        <v>19.399999999999999</v>
      </c>
      <c r="V92" s="325">
        <f>+'20 Year Trend'!D92</f>
        <v>46.6</v>
      </c>
      <c r="W92" s="326">
        <f>+'20 Year Trend'!E92</f>
        <v>9.9000000000000005E-2</v>
      </c>
      <c r="X92" s="327">
        <f>+'20 Year Trend'!F92</f>
        <v>30</v>
      </c>
      <c r="Y92" s="327">
        <f>+'20 Year Trend'!G92</f>
        <v>0</v>
      </c>
      <c r="Z92" s="328">
        <f>+'20 Year Trend'!H92</f>
        <v>88630081.820366845</v>
      </c>
    </row>
    <row r="93" spans="1:26" x14ac:dyDescent="0.3">
      <c r="A93" s="323">
        <f>+'Purchased Power Model '!A93</f>
        <v>40360</v>
      </c>
      <c r="B93" s="329">
        <f>+'Purchased Power Model '!B93</f>
        <v>107904059.08</v>
      </c>
      <c r="C93" s="325">
        <f>+'Purchased Power Model '!C93</f>
        <v>3.5</v>
      </c>
      <c r="D93" s="325">
        <f>+'Purchased Power Model '!D93</f>
        <v>124</v>
      </c>
      <c r="E93" s="326">
        <f>+'Purchased Power Model '!E93</f>
        <v>0.10099999999999999</v>
      </c>
      <c r="F93" s="327">
        <f>+'Purchased Power Model '!F93</f>
        <v>31</v>
      </c>
      <c r="G93" s="327">
        <f>+'Purchased Power Model '!G93</f>
        <v>0</v>
      </c>
      <c r="H93" s="328">
        <f>+'Purchased Power Model '!H93</f>
        <v>101712489.71858193</v>
      </c>
      <c r="J93" s="323">
        <f>+'10 Year Average'!A93</f>
        <v>40360</v>
      </c>
      <c r="K93" s="329">
        <f>+'10 Year Average'!B93</f>
        <v>107904059.08</v>
      </c>
      <c r="L93" s="325">
        <f>+'10 Year Average'!C93</f>
        <v>3.5</v>
      </c>
      <c r="M93" s="325">
        <f>+'10 Year Average'!D93</f>
        <v>124</v>
      </c>
      <c r="N93" s="326">
        <f>+'10 Year Average'!E93</f>
        <v>0.10099999999999999</v>
      </c>
      <c r="O93" s="327">
        <f>+'10 Year Average'!F93</f>
        <v>31</v>
      </c>
      <c r="P93" s="327">
        <f>+'10 Year Average'!G93</f>
        <v>0</v>
      </c>
      <c r="Q93" s="328">
        <f>+'10 Year Average'!H93</f>
        <v>101712489.71858193</v>
      </c>
      <c r="S93" s="323">
        <f>+'20 Year Trend'!A93</f>
        <v>40360</v>
      </c>
      <c r="T93" s="329">
        <f>+'20 Year Trend'!B93</f>
        <v>107904059.08</v>
      </c>
      <c r="U93" s="325">
        <f>+'20 Year Trend'!C93</f>
        <v>3.5</v>
      </c>
      <c r="V93" s="325">
        <f>+'20 Year Trend'!D93</f>
        <v>124</v>
      </c>
      <c r="W93" s="326">
        <f>+'20 Year Trend'!E93</f>
        <v>0.10099999999999999</v>
      </c>
      <c r="X93" s="327">
        <f>+'20 Year Trend'!F93</f>
        <v>31</v>
      </c>
      <c r="Y93" s="327">
        <f>+'20 Year Trend'!G93</f>
        <v>0</v>
      </c>
      <c r="Z93" s="328">
        <f>+'20 Year Trend'!H93</f>
        <v>101712489.71858193</v>
      </c>
    </row>
    <row r="94" spans="1:26" x14ac:dyDescent="0.3">
      <c r="A94" s="323">
        <f>+'Purchased Power Model '!A94</f>
        <v>40391</v>
      </c>
      <c r="B94" s="329">
        <f>+'Purchased Power Model '!B94</f>
        <v>102274426.19461538</v>
      </c>
      <c r="C94" s="325">
        <f>+'Purchased Power Model '!C94</f>
        <v>3.2</v>
      </c>
      <c r="D94" s="325">
        <f>+'Purchased Power Model '!D94</f>
        <v>96.8</v>
      </c>
      <c r="E94" s="326">
        <f>+'Purchased Power Model '!E94</f>
        <v>0.10099999999999999</v>
      </c>
      <c r="F94" s="327">
        <f>+'Purchased Power Model '!F94</f>
        <v>31</v>
      </c>
      <c r="G94" s="327">
        <f>+'Purchased Power Model '!G94</f>
        <v>0</v>
      </c>
      <c r="H94" s="328">
        <f>+'Purchased Power Model '!H94</f>
        <v>97777641.517349064</v>
      </c>
      <c r="J94" s="323">
        <f>+'10 Year Average'!A94</f>
        <v>40391</v>
      </c>
      <c r="K94" s="329">
        <f>+'10 Year Average'!B94</f>
        <v>102274426.19461538</v>
      </c>
      <c r="L94" s="325">
        <f>+'10 Year Average'!C94</f>
        <v>3.2</v>
      </c>
      <c r="M94" s="325">
        <f>+'10 Year Average'!D94</f>
        <v>96.8</v>
      </c>
      <c r="N94" s="326">
        <f>+'10 Year Average'!E94</f>
        <v>0.10099999999999999</v>
      </c>
      <c r="O94" s="327">
        <f>+'10 Year Average'!F94</f>
        <v>31</v>
      </c>
      <c r="P94" s="327">
        <f>+'10 Year Average'!G94</f>
        <v>0</v>
      </c>
      <c r="Q94" s="328">
        <f>+'10 Year Average'!H94</f>
        <v>97777641.517349064</v>
      </c>
      <c r="S94" s="323">
        <f>+'20 Year Trend'!A94</f>
        <v>40391</v>
      </c>
      <c r="T94" s="329">
        <f>+'20 Year Trend'!B94</f>
        <v>102274426.19461538</v>
      </c>
      <c r="U94" s="325">
        <f>+'20 Year Trend'!C94</f>
        <v>3.2</v>
      </c>
      <c r="V94" s="325">
        <f>+'20 Year Trend'!D94</f>
        <v>96.8</v>
      </c>
      <c r="W94" s="326">
        <f>+'20 Year Trend'!E94</f>
        <v>0.10099999999999999</v>
      </c>
      <c r="X94" s="327">
        <f>+'20 Year Trend'!F94</f>
        <v>31</v>
      </c>
      <c r="Y94" s="327">
        <f>+'20 Year Trend'!G94</f>
        <v>0</v>
      </c>
      <c r="Z94" s="328">
        <f>+'20 Year Trend'!H94</f>
        <v>97777641.517349064</v>
      </c>
    </row>
    <row r="95" spans="1:26" x14ac:dyDescent="0.3">
      <c r="A95" s="323">
        <f>+'Purchased Power Model '!A95</f>
        <v>40422</v>
      </c>
      <c r="B95" s="329">
        <f>+'Purchased Power Model '!B95</f>
        <v>83491002.500769228</v>
      </c>
      <c r="C95" s="325">
        <f>+'Purchased Power Model '!C95</f>
        <v>85.5</v>
      </c>
      <c r="D95" s="325">
        <f>+'Purchased Power Model '!D95</f>
        <v>18.5</v>
      </c>
      <c r="E95" s="326">
        <f>+'Purchased Power Model '!E95</f>
        <v>0.10099999999999999</v>
      </c>
      <c r="F95" s="327">
        <f>+'Purchased Power Model '!F95</f>
        <v>30</v>
      </c>
      <c r="G95" s="327">
        <f>+'Purchased Power Model '!G95</f>
        <v>1</v>
      </c>
      <c r="H95" s="328">
        <f>+'Purchased Power Model '!H95</f>
        <v>79975412.328120425</v>
      </c>
      <c r="J95" s="323">
        <f>+'10 Year Average'!A95</f>
        <v>40422</v>
      </c>
      <c r="K95" s="329">
        <f>+'10 Year Average'!B95</f>
        <v>83491002.500769228</v>
      </c>
      <c r="L95" s="325">
        <f>+'10 Year Average'!C95</f>
        <v>85.5</v>
      </c>
      <c r="M95" s="325">
        <f>+'10 Year Average'!D95</f>
        <v>18.5</v>
      </c>
      <c r="N95" s="326">
        <f>+'10 Year Average'!E95</f>
        <v>0.10099999999999999</v>
      </c>
      <c r="O95" s="327">
        <f>+'10 Year Average'!F95</f>
        <v>30</v>
      </c>
      <c r="P95" s="327">
        <f>+'10 Year Average'!G95</f>
        <v>1</v>
      </c>
      <c r="Q95" s="328">
        <f>+'10 Year Average'!H95</f>
        <v>79975412.328120425</v>
      </c>
      <c r="S95" s="323">
        <f>+'20 Year Trend'!A95</f>
        <v>40422</v>
      </c>
      <c r="T95" s="329">
        <f>+'20 Year Trend'!B95</f>
        <v>83491002.500769228</v>
      </c>
      <c r="U95" s="325">
        <f>+'20 Year Trend'!C95</f>
        <v>85.5</v>
      </c>
      <c r="V95" s="325">
        <f>+'20 Year Trend'!D95</f>
        <v>18.5</v>
      </c>
      <c r="W95" s="326">
        <f>+'20 Year Trend'!E95</f>
        <v>0.10099999999999999</v>
      </c>
      <c r="X95" s="327">
        <f>+'20 Year Trend'!F95</f>
        <v>30</v>
      </c>
      <c r="Y95" s="327">
        <f>+'20 Year Trend'!G95</f>
        <v>1</v>
      </c>
      <c r="Z95" s="328">
        <f>+'20 Year Trend'!H95</f>
        <v>79975412.328120425</v>
      </c>
    </row>
    <row r="96" spans="1:26" x14ac:dyDescent="0.3">
      <c r="A96" s="323">
        <f>+'Purchased Power Model '!A96</f>
        <v>40452</v>
      </c>
      <c r="B96" s="329">
        <f>+'Purchased Power Model '!B96</f>
        <v>84900189.230769232</v>
      </c>
      <c r="C96" s="325">
        <f>+'Purchased Power Model '!C96</f>
        <v>247.8</v>
      </c>
      <c r="D96" s="325">
        <f>+'Purchased Power Model '!D96</f>
        <v>0</v>
      </c>
      <c r="E96" s="326">
        <f>+'Purchased Power Model '!E96</f>
        <v>9.3000000000000013E-2</v>
      </c>
      <c r="F96" s="327">
        <f>+'Purchased Power Model '!F96</f>
        <v>31</v>
      </c>
      <c r="G96" s="327">
        <f>+'Purchased Power Model '!G96</f>
        <v>1</v>
      </c>
      <c r="H96" s="328">
        <f>+'Purchased Power Model '!H96</f>
        <v>87690075.422854468</v>
      </c>
      <c r="J96" s="323">
        <f>+'10 Year Average'!A96</f>
        <v>40452</v>
      </c>
      <c r="K96" s="329">
        <f>+'10 Year Average'!B96</f>
        <v>84900189.230769232</v>
      </c>
      <c r="L96" s="325">
        <f>+'10 Year Average'!C96</f>
        <v>247.8</v>
      </c>
      <c r="M96" s="325">
        <f>+'10 Year Average'!D96</f>
        <v>0</v>
      </c>
      <c r="N96" s="326">
        <f>+'10 Year Average'!E96</f>
        <v>9.3000000000000013E-2</v>
      </c>
      <c r="O96" s="327">
        <f>+'10 Year Average'!F96</f>
        <v>31</v>
      </c>
      <c r="P96" s="327">
        <f>+'10 Year Average'!G96</f>
        <v>1</v>
      </c>
      <c r="Q96" s="328">
        <f>+'10 Year Average'!H96</f>
        <v>87690075.422854468</v>
      </c>
      <c r="S96" s="323">
        <f>+'20 Year Trend'!A96</f>
        <v>40452</v>
      </c>
      <c r="T96" s="329">
        <f>+'20 Year Trend'!B96</f>
        <v>84900189.230769232</v>
      </c>
      <c r="U96" s="325">
        <f>+'20 Year Trend'!C96</f>
        <v>247.8</v>
      </c>
      <c r="V96" s="325">
        <f>+'20 Year Trend'!D96</f>
        <v>0</v>
      </c>
      <c r="W96" s="326">
        <f>+'20 Year Trend'!E96</f>
        <v>9.3000000000000013E-2</v>
      </c>
      <c r="X96" s="327">
        <f>+'20 Year Trend'!F96</f>
        <v>31</v>
      </c>
      <c r="Y96" s="327">
        <f>+'20 Year Trend'!G96</f>
        <v>1</v>
      </c>
      <c r="Z96" s="328">
        <f>+'20 Year Trend'!H96</f>
        <v>87690075.422854468</v>
      </c>
    </row>
    <row r="97" spans="1:26" x14ac:dyDescent="0.3">
      <c r="A97" s="323">
        <f>+'Purchased Power Model '!A97</f>
        <v>40483</v>
      </c>
      <c r="B97" s="329">
        <f>+'Purchased Power Model '!B97</f>
        <v>91736751.63692309</v>
      </c>
      <c r="C97" s="325">
        <f>+'Purchased Power Model '!C97</f>
        <v>389.2</v>
      </c>
      <c r="D97" s="325">
        <f>+'Purchased Power Model '!D97</f>
        <v>0</v>
      </c>
      <c r="E97" s="326">
        <f>+'Purchased Power Model '!E97</f>
        <v>9.3000000000000013E-2</v>
      </c>
      <c r="F97" s="327">
        <f>+'Purchased Power Model '!F97</f>
        <v>30</v>
      </c>
      <c r="G97" s="327">
        <f>+'Purchased Power Model '!G97</f>
        <v>1</v>
      </c>
      <c r="H97" s="328">
        <f>+'Purchased Power Model '!H97</f>
        <v>90630167.295212716</v>
      </c>
      <c r="J97" s="323">
        <f>+'10 Year Average'!A97</f>
        <v>40483</v>
      </c>
      <c r="K97" s="329">
        <f>+'10 Year Average'!B97</f>
        <v>91736751.63692309</v>
      </c>
      <c r="L97" s="325">
        <f>+'10 Year Average'!C97</f>
        <v>389.2</v>
      </c>
      <c r="M97" s="325">
        <f>+'10 Year Average'!D97</f>
        <v>0</v>
      </c>
      <c r="N97" s="326">
        <f>+'10 Year Average'!E97</f>
        <v>9.3000000000000013E-2</v>
      </c>
      <c r="O97" s="327">
        <f>+'10 Year Average'!F97</f>
        <v>30</v>
      </c>
      <c r="P97" s="327">
        <f>+'10 Year Average'!G97</f>
        <v>1</v>
      </c>
      <c r="Q97" s="328">
        <f>+'10 Year Average'!H97</f>
        <v>90630167.295212716</v>
      </c>
      <c r="S97" s="323">
        <f>+'20 Year Trend'!A97</f>
        <v>40483</v>
      </c>
      <c r="T97" s="329">
        <f>+'20 Year Trend'!B97</f>
        <v>91736751.63692309</v>
      </c>
      <c r="U97" s="325">
        <f>+'20 Year Trend'!C97</f>
        <v>389.2</v>
      </c>
      <c r="V97" s="325">
        <f>+'20 Year Trend'!D97</f>
        <v>0</v>
      </c>
      <c r="W97" s="326">
        <f>+'20 Year Trend'!E97</f>
        <v>9.3000000000000013E-2</v>
      </c>
      <c r="X97" s="327">
        <f>+'20 Year Trend'!F97</f>
        <v>30</v>
      </c>
      <c r="Y97" s="327">
        <f>+'20 Year Trend'!G97</f>
        <v>1</v>
      </c>
      <c r="Z97" s="328">
        <f>+'20 Year Trend'!H97</f>
        <v>90630167.295212716</v>
      </c>
    </row>
    <row r="98" spans="1:26" x14ac:dyDescent="0.3">
      <c r="A98" s="323">
        <f>+'Purchased Power Model '!A98</f>
        <v>40513</v>
      </c>
      <c r="B98" s="329">
        <f>+'Purchased Power Model '!B98</f>
        <v>110862133</v>
      </c>
      <c r="C98" s="325">
        <f>+'Purchased Power Model '!C98</f>
        <v>628.70000000000005</v>
      </c>
      <c r="D98" s="325">
        <f>+'Purchased Power Model '!D98</f>
        <v>0</v>
      </c>
      <c r="E98" s="326">
        <f>+'Purchased Power Model '!E98</f>
        <v>9.3000000000000013E-2</v>
      </c>
      <c r="F98" s="327">
        <f>+'Purchased Power Model '!F98</f>
        <v>31</v>
      </c>
      <c r="G98" s="327">
        <f>+'Purchased Power Model '!G98</f>
        <v>0</v>
      </c>
      <c r="H98" s="328">
        <f>+'Purchased Power Model '!H98</f>
        <v>110226344.72038026</v>
      </c>
      <c r="J98" s="323">
        <f>+'10 Year Average'!A98</f>
        <v>40513</v>
      </c>
      <c r="K98" s="329">
        <f>+'10 Year Average'!B98</f>
        <v>110862133</v>
      </c>
      <c r="L98" s="325">
        <f>+'10 Year Average'!C98</f>
        <v>628.70000000000005</v>
      </c>
      <c r="M98" s="325">
        <f>+'10 Year Average'!D98</f>
        <v>0</v>
      </c>
      <c r="N98" s="326">
        <f>+'10 Year Average'!E98</f>
        <v>9.3000000000000013E-2</v>
      </c>
      <c r="O98" s="327">
        <f>+'10 Year Average'!F98</f>
        <v>31</v>
      </c>
      <c r="P98" s="327">
        <f>+'10 Year Average'!G98</f>
        <v>0</v>
      </c>
      <c r="Q98" s="328">
        <f>+'10 Year Average'!H98</f>
        <v>110226344.72038026</v>
      </c>
      <c r="S98" s="323">
        <f>+'20 Year Trend'!A98</f>
        <v>40513</v>
      </c>
      <c r="T98" s="329">
        <f>+'20 Year Trend'!B98</f>
        <v>110862133</v>
      </c>
      <c r="U98" s="325">
        <f>+'20 Year Trend'!C98</f>
        <v>628.70000000000005</v>
      </c>
      <c r="V98" s="325">
        <f>+'20 Year Trend'!D98</f>
        <v>0</v>
      </c>
      <c r="W98" s="326">
        <f>+'20 Year Trend'!E98</f>
        <v>9.3000000000000013E-2</v>
      </c>
      <c r="X98" s="327">
        <f>+'20 Year Trend'!F98</f>
        <v>31</v>
      </c>
      <c r="Y98" s="327">
        <f>+'20 Year Trend'!G98</f>
        <v>0</v>
      </c>
      <c r="Z98" s="328">
        <f>+'20 Year Trend'!H98</f>
        <v>110226344.72038026</v>
      </c>
    </row>
    <row r="99" spans="1:26" x14ac:dyDescent="0.3">
      <c r="A99" s="323">
        <f>+'Purchased Power Model '!A99</f>
        <v>40544</v>
      </c>
      <c r="B99" s="329">
        <f>+'Purchased Power Model '!B99</f>
        <v>113644387.32076925</v>
      </c>
      <c r="C99" s="325">
        <f>+'Purchased Power Model '!C99</f>
        <v>760.9</v>
      </c>
      <c r="D99" s="325">
        <f>+'Purchased Power Model '!D99</f>
        <v>0</v>
      </c>
      <c r="E99" s="326">
        <f>+'Purchased Power Model '!E99</f>
        <v>8.8000000000000009E-2</v>
      </c>
      <c r="F99" s="327">
        <f>+'Purchased Power Model '!F99</f>
        <v>31</v>
      </c>
      <c r="G99" s="327">
        <f>+'Purchased Power Model '!G99</f>
        <v>0</v>
      </c>
      <c r="H99" s="328">
        <f>+'Purchased Power Model '!H99</f>
        <v>116210242.6891989</v>
      </c>
      <c r="J99" s="323">
        <f>+'10 Year Average'!A99</f>
        <v>40544</v>
      </c>
      <c r="K99" s="329">
        <f>+'10 Year Average'!B99</f>
        <v>113644387.32076925</v>
      </c>
      <c r="L99" s="325">
        <f>+'10 Year Average'!C99</f>
        <v>760.9</v>
      </c>
      <c r="M99" s="325">
        <f>+'10 Year Average'!D99</f>
        <v>0</v>
      </c>
      <c r="N99" s="326">
        <f>+'10 Year Average'!E99</f>
        <v>8.8000000000000009E-2</v>
      </c>
      <c r="O99" s="327">
        <f>+'10 Year Average'!F99</f>
        <v>31</v>
      </c>
      <c r="P99" s="327">
        <f>+'10 Year Average'!G99</f>
        <v>0</v>
      </c>
      <c r="Q99" s="328">
        <f>+'10 Year Average'!H99</f>
        <v>116210242.6891989</v>
      </c>
      <c r="S99" s="323">
        <f>+'20 Year Trend'!A99</f>
        <v>40544</v>
      </c>
      <c r="T99" s="329">
        <f>+'20 Year Trend'!B99</f>
        <v>113644387.32076925</v>
      </c>
      <c r="U99" s="325">
        <f>+'20 Year Trend'!C99</f>
        <v>760.9</v>
      </c>
      <c r="V99" s="325">
        <f>+'20 Year Trend'!D99</f>
        <v>0</v>
      </c>
      <c r="W99" s="326">
        <f>+'20 Year Trend'!E99</f>
        <v>8.8000000000000009E-2</v>
      </c>
      <c r="X99" s="327">
        <f>+'20 Year Trend'!F99</f>
        <v>31</v>
      </c>
      <c r="Y99" s="327">
        <f>+'20 Year Trend'!G99</f>
        <v>0</v>
      </c>
      <c r="Z99" s="328">
        <f>+'20 Year Trend'!H99</f>
        <v>116210242.6891989</v>
      </c>
    </row>
    <row r="100" spans="1:26" x14ac:dyDescent="0.3">
      <c r="A100" s="323">
        <f>+'Purchased Power Model '!A100</f>
        <v>40575</v>
      </c>
      <c r="B100" s="329">
        <f>+'Purchased Power Model '!B100</f>
        <v>100561048.38461539</v>
      </c>
      <c r="C100" s="325">
        <f>+'Purchased Power Model '!C100</f>
        <v>634.19999999999993</v>
      </c>
      <c r="D100" s="325">
        <f>+'Purchased Power Model '!D100</f>
        <v>0</v>
      </c>
      <c r="E100" s="326">
        <f>+'Purchased Power Model '!E100</f>
        <v>8.8000000000000009E-2</v>
      </c>
      <c r="F100" s="327">
        <f>+'Purchased Power Model '!F100</f>
        <v>28</v>
      </c>
      <c r="G100" s="327">
        <f>+'Purchased Power Model '!G100</f>
        <v>0</v>
      </c>
      <c r="H100" s="328">
        <f>+'Purchased Power Model '!H100</f>
        <v>102628190.71353441</v>
      </c>
      <c r="J100" s="323">
        <f>+'10 Year Average'!A100</f>
        <v>40575</v>
      </c>
      <c r="K100" s="329">
        <f>+'10 Year Average'!B100</f>
        <v>100561048.38461539</v>
      </c>
      <c r="L100" s="325">
        <f>+'10 Year Average'!C100</f>
        <v>634.19999999999993</v>
      </c>
      <c r="M100" s="325">
        <f>+'10 Year Average'!D100</f>
        <v>0</v>
      </c>
      <c r="N100" s="326">
        <f>+'10 Year Average'!E100</f>
        <v>8.8000000000000009E-2</v>
      </c>
      <c r="O100" s="327">
        <f>+'10 Year Average'!F100</f>
        <v>28</v>
      </c>
      <c r="P100" s="327">
        <f>+'10 Year Average'!G100</f>
        <v>0</v>
      </c>
      <c r="Q100" s="328">
        <f>+'10 Year Average'!H100</f>
        <v>102628190.71353441</v>
      </c>
      <c r="S100" s="323">
        <f>+'20 Year Trend'!A100</f>
        <v>40575</v>
      </c>
      <c r="T100" s="329">
        <f>+'20 Year Trend'!B100</f>
        <v>100561048.38461539</v>
      </c>
      <c r="U100" s="325">
        <f>+'20 Year Trend'!C100</f>
        <v>634.19999999999993</v>
      </c>
      <c r="V100" s="325">
        <f>+'20 Year Trend'!D100</f>
        <v>0</v>
      </c>
      <c r="W100" s="326">
        <f>+'20 Year Trend'!E100</f>
        <v>8.8000000000000009E-2</v>
      </c>
      <c r="X100" s="327">
        <f>+'20 Year Trend'!F100</f>
        <v>28</v>
      </c>
      <c r="Y100" s="327">
        <f>+'20 Year Trend'!G100</f>
        <v>0</v>
      </c>
      <c r="Z100" s="328">
        <f>+'20 Year Trend'!H100</f>
        <v>102628190.71353441</v>
      </c>
    </row>
    <row r="101" spans="1:26" x14ac:dyDescent="0.3">
      <c r="A101" s="323">
        <f>+'Purchased Power Model '!A101</f>
        <v>40603</v>
      </c>
      <c r="B101" s="329">
        <f>+'Purchased Power Model '!B101</f>
        <v>102613396.81846155</v>
      </c>
      <c r="C101" s="325">
        <f>+'Purchased Power Model '!C101</f>
        <v>559.80000000000007</v>
      </c>
      <c r="D101" s="325">
        <f>+'Purchased Power Model '!D101</f>
        <v>0</v>
      </c>
      <c r="E101" s="326">
        <f>+'Purchased Power Model '!E101</f>
        <v>8.8000000000000009E-2</v>
      </c>
      <c r="F101" s="327">
        <f>+'Purchased Power Model '!F101</f>
        <v>31</v>
      </c>
      <c r="G101" s="327">
        <f>+'Purchased Power Model '!G101</f>
        <v>1</v>
      </c>
      <c r="H101" s="328">
        <f>+'Purchased Power Model '!H101</f>
        <v>100985533.56806539</v>
      </c>
      <c r="J101" s="323">
        <f>+'10 Year Average'!A101</f>
        <v>40603</v>
      </c>
      <c r="K101" s="329">
        <f>+'10 Year Average'!B101</f>
        <v>102613396.81846155</v>
      </c>
      <c r="L101" s="325">
        <f>+'10 Year Average'!C101</f>
        <v>559.80000000000007</v>
      </c>
      <c r="M101" s="325">
        <f>+'10 Year Average'!D101</f>
        <v>0</v>
      </c>
      <c r="N101" s="326">
        <f>+'10 Year Average'!E101</f>
        <v>8.8000000000000009E-2</v>
      </c>
      <c r="O101" s="327">
        <f>+'10 Year Average'!F101</f>
        <v>31</v>
      </c>
      <c r="P101" s="327">
        <f>+'10 Year Average'!G101</f>
        <v>1</v>
      </c>
      <c r="Q101" s="328">
        <f>+'10 Year Average'!H101</f>
        <v>100985533.56806539</v>
      </c>
      <c r="S101" s="323">
        <f>+'20 Year Trend'!A101</f>
        <v>40603</v>
      </c>
      <c r="T101" s="329">
        <f>+'20 Year Trend'!B101</f>
        <v>102613396.81846155</v>
      </c>
      <c r="U101" s="325">
        <f>+'20 Year Trend'!C101</f>
        <v>559.80000000000007</v>
      </c>
      <c r="V101" s="325">
        <f>+'20 Year Trend'!D101</f>
        <v>0</v>
      </c>
      <c r="W101" s="326">
        <f>+'20 Year Trend'!E101</f>
        <v>8.8000000000000009E-2</v>
      </c>
      <c r="X101" s="327">
        <f>+'20 Year Trend'!F101</f>
        <v>31</v>
      </c>
      <c r="Y101" s="327">
        <f>+'20 Year Trend'!G101</f>
        <v>1</v>
      </c>
      <c r="Z101" s="328">
        <f>+'20 Year Trend'!H101</f>
        <v>100985533.56806539</v>
      </c>
    </row>
    <row r="102" spans="1:26" x14ac:dyDescent="0.3">
      <c r="A102" s="323">
        <f>+'Purchased Power Model '!A102</f>
        <v>40634</v>
      </c>
      <c r="B102" s="329">
        <f>+'Purchased Power Model '!B102</f>
        <v>87015565.163076922</v>
      </c>
      <c r="C102" s="325">
        <f>+'Purchased Power Model '!C102</f>
        <v>350.79999999999995</v>
      </c>
      <c r="D102" s="325">
        <f>+'Purchased Power Model '!D102</f>
        <v>0</v>
      </c>
      <c r="E102" s="326">
        <f>+'Purchased Power Model '!E102</f>
        <v>9.0999999999999998E-2</v>
      </c>
      <c r="F102" s="327">
        <f>+'Purchased Power Model '!F102</f>
        <v>30</v>
      </c>
      <c r="G102" s="327">
        <f>+'Purchased Power Model '!G102</f>
        <v>1</v>
      </c>
      <c r="H102" s="328">
        <f>+'Purchased Power Model '!H102</f>
        <v>89311828.746916547</v>
      </c>
      <c r="J102" s="323">
        <f>+'10 Year Average'!A102</f>
        <v>40634</v>
      </c>
      <c r="K102" s="329">
        <f>+'10 Year Average'!B102</f>
        <v>87015565.163076922</v>
      </c>
      <c r="L102" s="325">
        <f>+'10 Year Average'!C102</f>
        <v>350.79999999999995</v>
      </c>
      <c r="M102" s="325">
        <f>+'10 Year Average'!D102</f>
        <v>0</v>
      </c>
      <c r="N102" s="326">
        <f>+'10 Year Average'!E102</f>
        <v>9.0999999999999998E-2</v>
      </c>
      <c r="O102" s="327">
        <f>+'10 Year Average'!F102</f>
        <v>30</v>
      </c>
      <c r="P102" s="327">
        <f>+'10 Year Average'!G102</f>
        <v>1</v>
      </c>
      <c r="Q102" s="328">
        <f>+'10 Year Average'!H102</f>
        <v>89311828.746916547</v>
      </c>
      <c r="S102" s="323">
        <f>+'20 Year Trend'!A102</f>
        <v>40634</v>
      </c>
      <c r="T102" s="329">
        <f>+'20 Year Trend'!B102</f>
        <v>87015565.163076922</v>
      </c>
      <c r="U102" s="325">
        <f>+'20 Year Trend'!C102</f>
        <v>350.79999999999995</v>
      </c>
      <c r="V102" s="325">
        <f>+'20 Year Trend'!D102</f>
        <v>0</v>
      </c>
      <c r="W102" s="326">
        <f>+'20 Year Trend'!E102</f>
        <v>9.0999999999999998E-2</v>
      </c>
      <c r="X102" s="327">
        <f>+'20 Year Trend'!F102</f>
        <v>30</v>
      </c>
      <c r="Y102" s="327">
        <f>+'20 Year Trend'!G102</f>
        <v>1</v>
      </c>
      <c r="Z102" s="328">
        <f>+'20 Year Trend'!H102</f>
        <v>89311828.746916547</v>
      </c>
    </row>
    <row r="103" spans="1:26" x14ac:dyDescent="0.3">
      <c r="A103" s="323">
        <f>+'Purchased Power Model '!A103</f>
        <v>40664</v>
      </c>
      <c r="B103" s="329">
        <f>+'Purchased Power Model '!B103</f>
        <v>82921009.75</v>
      </c>
      <c r="C103" s="325">
        <f>+'Purchased Power Model '!C103</f>
        <v>157.69999999999996</v>
      </c>
      <c r="D103" s="325">
        <f>+'Purchased Power Model '!D103</f>
        <v>2.8</v>
      </c>
      <c r="E103" s="326">
        <f>+'Purchased Power Model '!E103</f>
        <v>9.0999999999999998E-2</v>
      </c>
      <c r="F103" s="327">
        <f>+'Purchased Power Model '!F103</f>
        <v>31</v>
      </c>
      <c r="G103" s="327">
        <f>+'Purchased Power Model '!G103</f>
        <v>1</v>
      </c>
      <c r="H103" s="328">
        <f>+'Purchased Power Model '!H103</f>
        <v>84673160.409987912</v>
      </c>
      <c r="J103" s="323">
        <f>+'10 Year Average'!A103</f>
        <v>40664</v>
      </c>
      <c r="K103" s="329">
        <f>+'10 Year Average'!B103</f>
        <v>82921009.75</v>
      </c>
      <c r="L103" s="325">
        <f>+'10 Year Average'!C103</f>
        <v>157.69999999999996</v>
      </c>
      <c r="M103" s="325">
        <f>+'10 Year Average'!D103</f>
        <v>2.8</v>
      </c>
      <c r="N103" s="326">
        <f>+'10 Year Average'!E103</f>
        <v>9.0999999999999998E-2</v>
      </c>
      <c r="O103" s="327">
        <f>+'10 Year Average'!F103</f>
        <v>31</v>
      </c>
      <c r="P103" s="327">
        <f>+'10 Year Average'!G103</f>
        <v>1</v>
      </c>
      <c r="Q103" s="328">
        <f>+'10 Year Average'!H103</f>
        <v>84673160.409987912</v>
      </c>
      <c r="S103" s="323">
        <f>+'20 Year Trend'!A103</f>
        <v>40664</v>
      </c>
      <c r="T103" s="329">
        <f>+'20 Year Trend'!B103</f>
        <v>82921009.75</v>
      </c>
      <c r="U103" s="325">
        <f>+'20 Year Trend'!C103</f>
        <v>157.69999999999996</v>
      </c>
      <c r="V103" s="325">
        <f>+'20 Year Trend'!D103</f>
        <v>2.8</v>
      </c>
      <c r="W103" s="326">
        <f>+'20 Year Trend'!E103</f>
        <v>9.0999999999999998E-2</v>
      </c>
      <c r="X103" s="327">
        <f>+'20 Year Trend'!F103</f>
        <v>31</v>
      </c>
      <c r="Y103" s="327">
        <f>+'20 Year Trend'!G103</f>
        <v>1</v>
      </c>
      <c r="Z103" s="328">
        <f>+'20 Year Trend'!H103</f>
        <v>84673160.409987912</v>
      </c>
    </row>
    <row r="104" spans="1:26" x14ac:dyDescent="0.3">
      <c r="A104" s="323">
        <f>+'Purchased Power Model '!A104</f>
        <v>40695</v>
      </c>
      <c r="B104" s="329">
        <f>+'Purchased Power Model '!B104</f>
        <v>88149132.009230778</v>
      </c>
      <c r="C104" s="325">
        <f>+'Purchased Power Model '!C104</f>
        <v>26.699999999999996</v>
      </c>
      <c r="D104" s="325">
        <f>+'Purchased Power Model '!D104</f>
        <v>36.900000000000006</v>
      </c>
      <c r="E104" s="326">
        <f>+'Purchased Power Model '!E104</f>
        <v>9.0999999999999998E-2</v>
      </c>
      <c r="F104" s="327">
        <f>+'Purchased Power Model '!F104</f>
        <v>30</v>
      </c>
      <c r="G104" s="327">
        <f>+'Purchased Power Model '!G104</f>
        <v>0</v>
      </c>
      <c r="H104" s="328">
        <f>+'Purchased Power Model '!H104</f>
        <v>88500834.26671803</v>
      </c>
      <c r="J104" s="323">
        <f>+'10 Year Average'!A104</f>
        <v>40695</v>
      </c>
      <c r="K104" s="329">
        <f>+'10 Year Average'!B104</f>
        <v>88149132.009230778</v>
      </c>
      <c r="L104" s="325">
        <f>+'10 Year Average'!C104</f>
        <v>26.699999999999996</v>
      </c>
      <c r="M104" s="325">
        <f>+'10 Year Average'!D104</f>
        <v>36.900000000000006</v>
      </c>
      <c r="N104" s="326">
        <f>+'10 Year Average'!E104</f>
        <v>9.0999999999999998E-2</v>
      </c>
      <c r="O104" s="327">
        <f>+'10 Year Average'!F104</f>
        <v>30</v>
      </c>
      <c r="P104" s="327">
        <f>+'10 Year Average'!G104</f>
        <v>0</v>
      </c>
      <c r="Q104" s="328">
        <f>+'10 Year Average'!H104</f>
        <v>88500834.26671803</v>
      </c>
      <c r="S104" s="323">
        <f>+'20 Year Trend'!A104</f>
        <v>40695</v>
      </c>
      <c r="T104" s="329">
        <f>+'20 Year Trend'!B104</f>
        <v>88149132.009230778</v>
      </c>
      <c r="U104" s="325">
        <f>+'20 Year Trend'!C104</f>
        <v>26.699999999999996</v>
      </c>
      <c r="V104" s="325">
        <f>+'20 Year Trend'!D104</f>
        <v>36.900000000000006</v>
      </c>
      <c r="W104" s="326">
        <f>+'20 Year Trend'!E104</f>
        <v>9.0999999999999998E-2</v>
      </c>
      <c r="X104" s="327">
        <f>+'20 Year Trend'!F104</f>
        <v>30</v>
      </c>
      <c r="Y104" s="327">
        <f>+'20 Year Trend'!G104</f>
        <v>0</v>
      </c>
      <c r="Z104" s="328">
        <f>+'20 Year Trend'!H104</f>
        <v>88500834.26671803</v>
      </c>
    </row>
    <row r="105" spans="1:26" x14ac:dyDescent="0.3">
      <c r="A105" s="323">
        <f>+'Purchased Power Model '!A105</f>
        <v>40725</v>
      </c>
      <c r="B105" s="329">
        <f>+'Purchased Power Model '!B105</f>
        <v>108927664.71923079</v>
      </c>
      <c r="C105" s="325">
        <f>+'Purchased Power Model '!C105</f>
        <v>0.2</v>
      </c>
      <c r="D105" s="325">
        <f>+'Purchased Power Model '!D105</f>
        <v>141.19999999999999</v>
      </c>
      <c r="E105" s="326">
        <f>+'Purchased Power Model '!E105</f>
        <v>7.2999999999999995E-2</v>
      </c>
      <c r="F105" s="327">
        <f>+'Purchased Power Model '!F105</f>
        <v>31</v>
      </c>
      <c r="G105" s="327">
        <f>+'Purchased Power Model '!G105</f>
        <v>0</v>
      </c>
      <c r="H105" s="328">
        <f>+'Purchased Power Model '!H105</f>
        <v>107463537.71578926</v>
      </c>
      <c r="J105" s="323">
        <f>+'10 Year Average'!A105</f>
        <v>40725</v>
      </c>
      <c r="K105" s="329">
        <f>+'10 Year Average'!B105</f>
        <v>108927664.71923079</v>
      </c>
      <c r="L105" s="325">
        <f>+'10 Year Average'!C105</f>
        <v>0.2</v>
      </c>
      <c r="M105" s="325">
        <f>+'10 Year Average'!D105</f>
        <v>141.19999999999999</v>
      </c>
      <c r="N105" s="326">
        <f>+'10 Year Average'!E105</f>
        <v>7.2999999999999995E-2</v>
      </c>
      <c r="O105" s="327">
        <f>+'10 Year Average'!F105</f>
        <v>31</v>
      </c>
      <c r="P105" s="327">
        <f>+'10 Year Average'!G105</f>
        <v>0</v>
      </c>
      <c r="Q105" s="328">
        <f>+'10 Year Average'!H105</f>
        <v>107463537.71578926</v>
      </c>
      <c r="S105" s="323">
        <f>+'20 Year Trend'!A105</f>
        <v>40725</v>
      </c>
      <c r="T105" s="329">
        <f>+'20 Year Trend'!B105</f>
        <v>108927664.71923079</v>
      </c>
      <c r="U105" s="325">
        <f>+'20 Year Trend'!C105</f>
        <v>0.2</v>
      </c>
      <c r="V105" s="325">
        <f>+'20 Year Trend'!D105</f>
        <v>141.19999999999999</v>
      </c>
      <c r="W105" s="326">
        <f>+'20 Year Trend'!E105</f>
        <v>7.2999999999999995E-2</v>
      </c>
      <c r="X105" s="327">
        <f>+'20 Year Trend'!F105</f>
        <v>31</v>
      </c>
      <c r="Y105" s="327">
        <f>+'20 Year Trend'!G105</f>
        <v>0</v>
      </c>
      <c r="Z105" s="328">
        <f>+'20 Year Trend'!H105</f>
        <v>107463537.71578926</v>
      </c>
    </row>
    <row r="106" spans="1:26" x14ac:dyDescent="0.3">
      <c r="A106" s="323">
        <f>+'Purchased Power Model '!A106</f>
        <v>40756</v>
      </c>
      <c r="B106" s="329">
        <f>+'Purchased Power Model '!B106</f>
        <v>100307973.92692308</v>
      </c>
      <c r="C106" s="325">
        <f>+'Purchased Power Model '!C106</f>
        <v>3.7</v>
      </c>
      <c r="D106" s="325">
        <f>+'Purchased Power Model '!D106</f>
        <v>80.499999999999957</v>
      </c>
      <c r="E106" s="326">
        <f>+'Purchased Power Model '!E106</f>
        <v>7.2999999999999995E-2</v>
      </c>
      <c r="F106" s="327">
        <f>+'Purchased Power Model '!F106</f>
        <v>31</v>
      </c>
      <c r="G106" s="327">
        <f>+'Purchased Power Model '!G106</f>
        <v>0</v>
      </c>
      <c r="H106" s="328">
        <f>+'Purchased Power Model '!H106</f>
        <v>98852012.992669076</v>
      </c>
      <c r="J106" s="323">
        <f>+'10 Year Average'!A106</f>
        <v>40756</v>
      </c>
      <c r="K106" s="329">
        <f>+'10 Year Average'!B106</f>
        <v>100307973.92692308</v>
      </c>
      <c r="L106" s="325">
        <f>+'10 Year Average'!C106</f>
        <v>3.7</v>
      </c>
      <c r="M106" s="325">
        <f>+'10 Year Average'!D106</f>
        <v>80.499999999999957</v>
      </c>
      <c r="N106" s="326">
        <f>+'10 Year Average'!E106</f>
        <v>7.2999999999999995E-2</v>
      </c>
      <c r="O106" s="327">
        <f>+'10 Year Average'!F106</f>
        <v>31</v>
      </c>
      <c r="P106" s="327">
        <f>+'10 Year Average'!G106</f>
        <v>0</v>
      </c>
      <c r="Q106" s="328">
        <f>+'10 Year Average'!H106</f>
        <v>98852012.992669076</v>
      </c>
      <c r="S106" s="323">
        <f>+'20 Year Trend'!A106</f>
        <v>40756</v>
      </c>
      <c r="T106" s="329">
        <f>+'20 Year Trend'!B106</f>
        <v>100307973.92692308</v>
      </c>
      <c r="U106" s="325">
        <f>+'20 Year Trend'!C106</f>
        <v>3.7</v>
      </c>
      <c r="V106" s="325">
        <f>+'20 Year Trend'!D106</f>
        <v>80.499999999999957</v>
      </c>
      <c r="W106" s="326">
        <f>+'20 Year Trend'!E106</f>
        <v>7.2999999999999995E-2</v>
      </c>
      <c r="X106" s="327">
        <f>+'20 Year Trend'!F106</f>
        <v>31</v>
      </c>
      <c r="Y106" s="327">
        <f>+'20 Year Trend'!G106</f>
        <v>0</v>
      </c>
      <c r="Z106" s="328">
        <f>+'20 Year Trend'!H106</f>
        <v>98852012.992669076</v>
      </c>
    </row>
    <row r="107" spans="1:26" x14ac:dyDescent="0.3">
      <c r="A107" s="323">
        <f>+'Purchased Power Model '!A107</f>
        <v>40787</v>
      </c>
      <c r="B107" s="329">
        <f>+'Purchased Power Model '!B107</f>
        <v>85805170.040769234</v>
      </c>
      <c r="C107" s="325">
        <f>+'Purchased Power Model '!C107</f>
        <v>48.900000000000006</v>
      </c>
      <c r="D107" s="325">
        <f>+'Purchased Power Model '!D107</f>
        <v>34.6</v>
      </c>
      <c r="E107" s="326">
        <f>+'Purchased Power Model '!E107</f>
        <v>7.2999999999999995E-2</v>
      </c>
      <c r="F107" s="327">
        <f>+'Purchased Power Model '!F107</f>
        <v>30</v>
      </c>
      <c r="G107" s="327">
        <f>+'Purchased Power Model '!G107</f>
        <v>1</v>
      </c>
      <c r="H107" s="328">
        <f>+'Purchased Power Model '!H107</f>
        <v>84213680.560280249</v>
      </c>
      <c r="J107" s="323">
        <f>+'10 Year Average'!A107</f>
        <v>40787</v>
      </c>
      <c r="K107" s="329">
        <f>+'10 Year Average'!B107</f>
        <v>85805170.040769234</v>
      </c>
      <c r="L107" s="325">
        <f>+'10 Year Average'!C107</f>
        <v>48.900000000000006</v>
      </c>
      <c r="M107" s="325">
        <f>+'10 Year Average'!D107</f>
        <v>34.6</v>
      </c>
      <c r="N107" s="326">
        <f>+'10 Year Average'!E107</f>
        <v>7.2999999999999995E-2</v>
      </c>
      <c r="O107" s="327">
        <f>+'10 Year Average'!F107</f>
        <v>30</v>
      </c>
      <c r="P107" s="327">
        <f>+'10 Year Average'!G107</f>
        <v>1</v>
      </c>
      <c r="Q107" s="328">
        <f>+'10 Year Average'!H107</f>
        <v>84213680.560280249</v>
      </c>
      <c r="S107" s="323">
        <f>+'20 Year Trend'!A107</f>
        <v>40787</v>
      </c>
      <c r="T107" s="329">
        <f>+'20 Year Trend'!B107</f>
        <v>85805170.040769234</v>
      </c>
      <c r="U107" s="325">
        <f>+'20 Year Trend'!C107</f>
        <v>48.900000000000006</v>
      </c>
      <c r="V107" s="325">
        <f>+'20 Year Trend'!D107</f>
        <v>34.6</v>
      </c>
      <c r="W107" s="326">
        <f>+'20 Year Trend'!E107</f>
        <v>7.2999999999999995E-2</v>
      </c>
      <c r="X107" s="327">
        <f>+'20 Year Trend'!F107</f>
        <v>30</v>
      </c>
      <c r="Y107" s="327">
        <f>+'20 Year Trend'!G107</f>
        <v>1</v>
      </c>
      <c r="Z107" s="328">
        <f>+'20 Year Trend'!H107</f>
        <v>84213680.560280249</v>
      </c>
    </row>
    <row r="108" spans="1:26" x14ac:dyDescent="0.3">
      <c r="A108" s="323">
        <f>+'Purchased Power Model '!A108</f>
        <v>40817</v>
      </c>
      <c r="B108" s="329">
        <f>+'Purchased Power Model '!B108</f>
        <v>85767949.723076925</v>
      </c>
      <c r="C108" s="325">
        <f>+'Purchased Power Model '!C108</f>
        <v>225.29999999999998</v>
      </c>
      <c r="D108" s="325">
        <f>+'Purchased Power Model '!D108</f>
        <v>0</v>
      </c>
      <c r="E108" s="326">
        <f>+'Purchased Power Model '!E108</f>
        <v>7.400000000000001E-2</v>
      </c>
      <c r="F108" s="327">
        <f>+'Purchased Power Model '!F108</f>
        <v>31</v>
      </c>
      <c r="G108" s="327">
        <f>+'Purchased Power Model '!G108</f>
        <v>1</v>
      </c>
      <c r="H108" s="328">
        <f>+'Purchased Power Model '!H108</f>
        <v>89085475.723379478</v>
      </c>
      <c r="J108" s="323">
        <f>+'10 Year Average'!A108</f>
        <v>40817</v>
      </c>
      <c r="K108" s="329">
        <f>+'10 Year Average'!B108</f>
        <v>85767949.723076925</v>
      </c>
      <c r="L108" s="325">
        <f>+'10 Year Average'!C108</f>
        <v>225.29999999999998</v>
      </c>
      <c r="M108" s="325">
        <f>+'10 Year Average'!D108</f>
        <v>0</v>
      </c>
      <c r="N108" s="326">
        <f>+'10 Year Average'!E108</f>
        <v>7.400000000000001E-2</v>
      </c>
      <c r="O108" s="327">
        <f>+'10 Year Average'!F108</f>
        <v>31</v>
      </c>
      <c r="P108" s="327">
        <f>+'10 Year Average'!G108</f>
        <v>1</v>
      </c>
      <c r="Q108" s="328">
        <f>+'10 Year Average'!H108</f>
        <v>89085475.723379478</v>
      </c>
      <c r="S108" s="323">
        <f>+'20 Year Trend'!A108</f>
        <v>40817</v>
      </c>
      <c r="T108" s="329">
        <f>+'20 Year Trend'!B108</f>
        <v>85767949.723076925</v>
      </c>
      <c r="U108" s="325">
        <f>+'20 Year Trend'!C108</f>
        <v>225.29999999999998</v>
      </c>
      <c r="V108" s="325">
        <f>+'20 Year Trend'!D108</f>
        <v>0</v>
      </c>
      <c r="W108" s="326">
        <f>+'20 Year Trend'!E108</f>
        <v>7.400000000000001E-2</v>
      </c>
      <c r="X108" s="327">
        <f>+'20 Year Trend'!F108</f>
        <v>31</v>
      </c>
      <c r="Y108" s="327">
        <f>+'20 Year Trend'!G108</f>
        <v>1</v>
      </c>
      <c r="Z108" s="328">
        <f>+'20 Year Trend'!H108</f>
        <v>89085475.723379478</v>
      </c>
    </row>
    <row r="109" spans="1:26" x14ac:dyDescent="0.3">
      <c r="A109" s="323">
        <f>+'Purchased Power Model '!A109</f>
        <v>40848</v>
      </c>
      <c r="B109" s="329">
        <f>+'Purchased Power Model '!B109</f>
        <v>89407468.154615387</v>
      </c>
      <c r="C109" s="325">
        <f>+'Purchased Power Model '!C109</f>
        <v>349.69999999999993</v>
      </c>
      <c r="D109" s="325">
        <f>+'Purchased Power Model '!D109</f>
        <v>0</v>
      </c>
      <c r="E109" s="326">
        <f>+'Purchased Power Model '!E109</f>
        <v>7.400000000000001E-2</v>
      </c>
      <c r="F109" s="327">
        <f>+'Purchased Power Model '!F109</f>
        <v>30</v>
      </c>
      <c r="G109" s="327">
        <f>+'Purchased Power Model '!G109</f>
        <v>1</v>
      </c>
      <c r="H109" s="328">
        <f>+'Purchased Power Model '!H109</f>
        <v>91334263.240906402</v>
      </c>
      <c r="J109" s="323">
        <f>+'10 Year Average'!A109</f>
        <v>40848</v>
      </c>
      <c r="K109" s="329">
        <f>+'10 Year Average'!B109</f>
        <v>89407468.154615387</v>
      </c>
      <c r="L109" s="325">
        <f>+'10 Year Average'!C109</f>
        <v>349.69999999999993</v>
      </c>
      <c r="M109" s="325">
        <f>+'10 Year Average'!D109</f>
        <v>0</v>
      </c>
      <c r="N109" s="326">
        <f>+'10 Year Average'!E109</f>
        <v>7.400000000000001E-2</v>
      </c>
      <c r="O109" s="327">
        <f>+'10 Year Average'!F109</f>
        <v>30</v>
      </c>
      <c r="P109" s="327">
        <f>+'10 Year Average'!G109</f>
        <v>1</v>
      </c>
      <c r="Q109" s="328">
        <f>+'10 Year Average'!H109</f>
        <v>91334263.240906402</v>
      </c>
      <c r="S109" s="323">
        <f>+'20 Year Trend'!A109</f>
        <v>40848</v>
      </c>
      <c r="T109" s="329">
        <f>+'20 Year Trend'!B109</f>
        <v>89407468.154615387</v>
      </c>
      <c r="U109" s="325">
        <f>+'20 Year Trend'!C109</f>
        <v>349.69999999999993</v>
      </c>
      <c r="V109" s="325">
        <f>+'20 Year Trend'!D109</f>
        <v>0</v>
      </c>
      <c r="W109" s="326">
        <f>+'20 Year Trend'!E109</f>
        <v>7.400000000000001E-2</v>
      </c>
      <c r="X109" s="327">
        <f>+'20 Year Trend'!F109</f>
        <v>30</v>
      </c>
      <c r="Y109" s="327">
        <f>+'20 Year Trend'!G109</f>
        <v>1</v>
      </c>
      <c r="Z109" s="328">
        <f>+'20 Year Trend'!H109</f>
        <v>91334263.240906402</v>
      </c>
    </row>
    <row r="110" spans="1:26" x14ac:dyDescent="0.3">
      <c r="A110" s="323">
        <f>+'Purchased Power Model '!A110</f>
        <v>40878</v>
      </c>
      <c r="B110" s="329">
        <f>+'Purchased Power Model '!B110</f>
        <v>103511621.38461539</v>
      </c>
      <c r="C110" s="325">
        <f>+'Purchased Power Model '!C110</f>
        <v>531.20000000000005</v>
      </c>
      <c r="D110" s="325">
        <f>+'Purchased Power Model '!D110</f>
        <v>0</v>
      </c>
      <c r="E110" s="326">
        <f>+'Purchased Power Model '!E110</f>
        <v>7.400000000000001E-2</v>
      </c>
      <c r="F110" s="327">
        <f>+'Purchased Power Model '!F110</f>
        <v>31</v>
      </c>
      <c r="G110" s="327">
        <f>+'Purchased Power Model '!G110</f>
        <v>0</v>
      </c>
      <c r="H110" s="328">
        <f>+'Purchased Power Model '!H110</f>
        <v>108571872.86723775</v>
      </c>
      <c r="J110" s="323">
        <f>+'10 Year Average'!A110</f>
        <v>40878</v>
      </c>
      <c r="K110" s="329">
        <f>+'10 Year Average'!B110</f>
        <v>103511621.38461539</v>
      </c>
      <c r="L110" s="325">
        <f>+'10 Year Average'!C110</f>
        <v>531.20000000000005</v>
      </c>
      <c r="M110" s="325">
        <f>+'10 Year Average'!D110</f>
        <v>0</v>
      </c>
      <c r="N110" s="326">
        <f>+'10 Year Average'!E110</f>
        <v>7.400000000000001E-2</v>
      </c>
      <c r="O110" s="327">
        <f>+'10 Year Average'!F110</f>
        <v>31</v>
      </c>
      <c r="P110" s="327">
        <f>+'10 Year Average'!G110</f>
        <v>0</v>
      </c>
      <c r="Q110" s="328">
        <f>+'10 Year Average'!H110</f>
        <v>108571872.86723775</v>
      </c>
      <c r="S110" s="323">
        <f>+'20 Year Trend'!A110</f>
        <v>40878</v>
      </c>
      <c r="T110" s="329">
        <f>+'20 Year Trend'!B110</f>
        <v>103511621.38461539</v>
      </c>
      <c r="U110" s="325">
        <f>+'20 Year Trend'!C110</f>
        <v>531.20000000000005</v>
      </c>
      <c r="V110" s="325">
        <f>+'20 Year Trend'!D110</f>
        <v>0</v>
      </c>
      <c r="W110" s="326">
        <f>+'20 Year Trend'!E110</f>
        <v>7.400000000000001E-2</v>
      </c>
      <c r="X110" s="327">
        <f>+'20 Year Trend'!F110</f>
        <v>31</v>
      </c>
      <c r="Y110" s="327">
        <f>+'20 Year Trend'!G110</f>
        <v>0</v>
      </c>
      <c r="Z110" s="328">
        <f>+'20 Year Trend'!H110</f>
        <v>108571872.86723775</v>
      </c>
    </row>
    <row r="111" spans="1:26" x14ac:dyDescent="0.3">
      <c r="A111" s="323">
        <f>+'Purchased Power Model '!A111</f>
        <v>40909</v>
      </c>
      <c r="B111" s="329">
        <f>+'Purchased Power Model '!B111</f>
        <v>107982172.33461541</v>
      </c>
      <c r="C111" s="325">
        <f>+'Purchased Power Model '!C111</f>
        <v>611</v>
      </c>
      <c r="D111" s="325">
        <f>+'Purchased Power Model '!D111</f>
        <v>0</v>
      </c>
      <c r="E111" s="326">
        <f>+'Purchased Power Model '!E111</f>
        <v>7.9000000000000001E-2</v>
      </c>
      <c r="F111" s="327">
        <f>+'Purchased Power Model '!F111</f>
        <v>31</v>
      </c>
      <c r="G111" s="327">
        <f>+'Purchased Power Model '!G111</f>
        <v>0</v>
      </c>
      <c r="H111" s="328">
        <f>+'Purchased Power Model '!H111</f>
        <v>111208946.85278597</v>
      </c>
      <c r="J111" s="323">
        <f>+'10 Year Average'!A111</f>
        <v>40909</v>
      </c>
      <c r="K111" s="329">
        <f>+'10 Year Average'!B111</f>
        <v>107982172.33461541</v>
      </c>
      <c r="L111" s="325">
        <f>+'10 Year Average'!C111</f>
        <v>611</v>
      </c>
      <c r="M111" s="325">
        <f>+'10 Year Average'!D111</f>
        <v>0</v>
      </c>
      <c r="N111" s="326">
        <f>+'10 Year Average'!E111</f>
        <v>7.9000000000000001E-2</v>
      </c>
      <c r="O111" s="327">
        <f>+'10 Year Average'!F111</f>
        <v>31</v>
      </c>
      <c r="P111" s="327">
        <f>+'10 Year Average'!G111</f>
        <v>0</v>
      </c>
      <c r="Q111" s="328">
        <f>+'10 Year Average'!H111</f>
        <v>111208946.85278597</v>
      </c>
      <c r="S111" s="323">
        <f>+'20 Year Trend'!A111</f>
        <v>40909</v>
      </c>
      <c r="T111" s="329">
        <f>+'20 Year Trend'!B111</f>
        <v>107982172.33461541</v>
      </c>
      <c r="U111" s="325">
        <f>+'20 Year Trend'!C111</f>
        <v>611</v>
      </c>
      <c r="V111" s="325">
        <f>+'20 Year Trend'!D111</f>
        <v>0</v>
      </c>
      <c r="W111" s="326">
        <f>+'20 Year Trend'!E111</f>
        <v>7.9000000000000001E-2</v>
      </c>
      <c r="X111" s="327">
        <f>+'20 Year Trend'!F111</f>
        <v>31</v>
      </c>
      <c r="Y111" s="327">
        <f>+'20 Year Trend'!G111</f>
        <v>0</v>
      </c>
      <c r="Z111" s="328">
        <f>+'20 Year Trend'!H111</f>
        <v>111208946.85278597</v>
      </c>
    </row>
    <row r="112" spans="1:26" x14ac:dyDescent="0.3">
      <c r="A112" s="323">
        <f>+'Purchased Power Model '!A112</f>
        <v>40940</v>
      </c>
      <c r="B112" s="329">
        <f>+'Purchased Power Model '!B112</f>
        <v>97310518.529230773</v>
      </c>
      <c r="C112" s="325">
        <f>+'Purchased Power Model '!C112</f>
        <v>536.20000000000005</v>
      </c>
      <c r="D112" s="325">
        <f>+'Purchased Power Model '!D112</f>
        <v>0</v>
      </c>
      <c r="E112" s="326">
        <f>+'Purchased Power Model '!E112</f>
        <v>7.9000000000000001E-2</v>
      </c>
      <c r="F112" s="327">
        <f>+'Purchased Power Model '!F112</f>
        <v>29</v>
      </c>
      <c r="G112" s="327">
        <f>+'Purchased Power Model '!G112</f>
        <v>0</v>
      </c>
      <c r="H112" s="328">
        <f>+'Purchased Power Model '!H112</f>
        <v>102547340.16881569</v>
      </c>
      <c r="J112" s="323">
        <f>+'10 Year Average'!A112</f>
        <v>40940</v>
      </c>
      <c r="K112" s="329">
        <f>+'10 Year Average'!B112</f>
        <v>97310518.529230773</v>
      </c>
      <c r="L112" s="325">
        <f>+'10 Year Average'!C112</f>
        <v>536.20000000000005</v>
      </c>
      <c r="M112" s="325">
        <f>+'10 Year Average'!D112</f>
        <v>0</v>
      </c>
      <c r="N112" s="326">
        <f>+'10 Year Average'!E112</f>
        <v>7.9000000000000001E-2</v>
      </c>
      <c r="O112" s="327">
        <f>+'10 Year Average'!F112</f>
        <v>29</v>
      </c>
      <c r="P112" s="327">
        <f>+'10 Year Average'!G112</f>
        <v>0</v>
      </c>
      <c r="Q112" s="328">
        <f>+'10 Year Average'!H112</f>
        <v>102547340.16881569</v>
      </c>
      <c r="S112" s="323">
        <f>+'20 Year Trend'!A112</f>
        <v>40940</v>
      </c>
      <c r="T112" s="329">
        <f>+'20 Year Trend'!B112</f>
        <v>97310518.529230773</v>
      </c>
      <c r="U112" s="325">
        <f>+'20 Year Trend'!C112</f>
        <v>536.20000000000005</v>
      </c>
      <c r="V112" s="325">
        <f>+'20 Year Trend'!D112</f>
        <v>0</v>
      </c>
      <c r="W112" s="326">
        <f>+'20 Year Trend'!E112</f>
        <v>7.9000000000000001E-2</v>
      </c>
      <c r="X112" s="327">
        <f>+'20 Year Trend'!F112</f>
        <v>29</v>
      </c>
      <c r="Y112" s="327">
        <f>+'20 Year Trend'!G112</f>
        <v>0</v>
      </c>
      <c r="Z112" s="328">
        <f>+'20 Year Trend'!H112</f>
        <v>102547340.16881569</v>
      </c>
    </row>
    <row r="113" spans="1:26" x14ac:dyDescent="0.3">
      <c r="A113" s="323">
        <f>+'Purchased Power Model '!A113</f>
        <v>40969</v>
      </c>
      <c r="B113" s="329">
        <f>+'Purchased Power Model '!B113</f>
        <v>92940593.720769227</v>
      </c>
      <c r="C113" s="325">
        <f>+'Purchased Power Model '!C113</f>
        <v>399.39999999999992</v>
      </c>
      <c r="D113" s="325">
        <f>+'Purchased Power Model '!D113</f>
        <v>0</v>
      </c>
      <c r="E113" s="326">
        <f>+'Purchased Power Model '!E113</f>
        <v>7.9000000000000001E-2</v>
      </c>
      <c r="F113" s="327">
        <f>+'Purchased Power Model '!F113</f>
        <v>31</v>
      </c>
      <c r="G113" s="327">
        <f>+'Purchased Power Model '!G113</f>
        <v>1</v>
      </c>
      <c r="H113" s="328">
        <f>+'Purchased Power Model '!H113</f>
        <v>95557255.630139008</v>
      </c>
      <c r="J113" s="323">
        <f>+'10 Year Average'!A113</f>
        <v>40969</v>
      </c>
      <c r="K113" s="329">
        <f>+'10 Year Average'!B113</f>
        <v>92940593.720769227</v>
      </c>
      <c r="L113" s="325">
        <f>+'10 Year Average'!C113</f>
        <v>399.39999999999992</v>
      </c>
      <c r="M113" s="325">
        <f>+'10 Year Average'!D113</f>
        <v>0</v>
      </c>
      <c r="N113" s="326">
        <f>+'10 Year Average'!E113</f>
        <v>7.9000000000000001E-2</v>
      </c>
      <c r="O113" s="327">
        <f>+'10 Year Average'!F113</f>
        <v>31</v>
      </c>
      <c r="P113" s="327">
        <f>+'10 Year Average'!G113</f>
        <v>1</v>
      </c>
      <c r="Q113" s="328">
        <f>+'10 Year Average'!H113</f>
        <v>95557255.630139008</v>
      </c>
      <c r="S113" s="323">
        <f>+'20 Year Trend'!A113</f>
        <v>40969</v>
      </c>
      <c r="T113" s="329">
        <f>+'20 Year Trend'!B113</f>
        <v>92940593.720769227</v>
      </c>
      <c r="U113" s="325">
        <f>+'20 Year Trend'!C113</f>
        <v>399.39999999999992</v>
      </c>
      <c r="V113" s="325">
        <f>+'20 Year Trend'!D113</f>
        <v>0</v>
      </c>
      <c r="W113" s="326">
        <f>+'20 Year Trend'!E113</f>
        <v>7.9000000000000001E-2</v>
      </c>
      <c r="X113" s="327">
        <f>+'20 Year Trend'!F113</f>
        <v>31</v>
      </c>
      <c r="Y113" s="327">
        <f>+'20 Year Trend'!G113</f>
        <v>1</v>
      </c>
      <c r="Z113" s="328">
        <f>+'20 Year Trend'!H113</f>
        <v>95557255.630139008</v>
      </c>
    </row>
    <row r="114" spans="1:26" x14ac:dyDescent="0.3">
      <c r="A114" s="323">
        <f>+'Purchased Power Model '!A114</f>
        <v>41000</v>
      </c>
      <c r="B114" s="329">
        <f>+'Purchased Power Model '!B114</f>
        <v>84061512.170000002</v>
      </c>
      <c r="C114" s="325">
        <f>+'Purchased Power Model '!C114</f>
        <v>336.89999999999992</v>
      </c>
      <c r="D114" s="325">
        <f>+'Purchased Power Model '!D114</f>
        <v>0</v>
      </c>
      <c r="E114" s="326">
        <f>+'Purchased Power Model '!E114</f>
        <v>8.4000000000000005E-2</v>
      </c>
      <c r="F114" s="327">
        <f>+'Purchased Power Model '!F114</f>
        <v>30</v>
      </c>
      <c r="G114" s="327">
        <f>+'Purchased Power Model '!G114</f>
        <v>1</v>
      </c>
      <c r="H114" s="328">
        <f>+'Purchased Power Model '!H114</f>
        <v>89597771.754772455</v>
      </c>
      <c r="J114" s="323">
        <f>+'10 Year Average'!A114</f>
        <v>41000</v>
      </c>
      <c r="K114" s="329">
        <f>+'10 Year Average'!B114</f>
        <v>84061512.170000002</v>
      </c>
      <c r="L114" s="325">
        <f>+'10 Year Average'!C114</f>
        <v>336.89999999999992</v>
      </c>
      <c r="M114" s="325">
        <f>+'10 Year Average'!D114</f>
        <v>0</v>
      </c>
      <c r="N114" s="326">
        <f>+'10 Year Average'!E114</f>
        <v>8.4000000000000005E-2</v>
      </c>
      <c r="O114" s="327">
        <f>+'10 Year Average'!F114</f>
        <v>30</v>
      </c>
      <c r="P114" s="327">
        <f>+'10 Year Average'!G114</f>
        <v>1</v>
      </c>
      <c r="Q114" s="328">
        <f>+'10 Year Average'!H114</f>
        <v>89597771.754772455</v>
      </c>
      <c r="S114" s="323">
        <f>+'20 Year Trend'!A114</f>
        <v>41000</v>
      </c>
      <c r="T114" s="329">
        <f>+'20 Year Trend'!B114</f>
        <v>84061512.170000002</v>
      </c>
      <c r="U114" s="325">
        <f>+'20 Year Trend'!C114</f>
        <v>336.89999999999992</v>
      </c>
      <c r="V114" s="325">
        <f>+'20 Year Trend'!D114</f>
        <v>0</v>
      </c>
      <c r="W114" s="326">
        <f>+'20 Year Trend'!E114</f>
        <v>8.4000000000000005E-2</v>
      </c>
      <c r="X114" s="327">
        <f>+'20 Year Trend'!F114</f>
        <v>30</v>
      </c>
      <c r="Y114" s="327">
        <f>+'20 Year Trend'!G114</f>
        <v>1</v>
      </c>
      <c r="Z114" s="328">
        <f>+'20 Year Trend'!H114</f>
        <v>89597771.754772455</v>
      </c>
    </row>
    <row r="115" spans="1:26" x14ac:dyDescent="0.3">
      <c r="A115" s="323">
        <f>+'Purchased Power Model '!A115</f>
        <v>41030</v>
      </c>
      <c r="B115" s="329">
        <f>+'Purchased Power Model '!B115</f>
        <v>84298340.921818167</v>
      </c>
      <c r="C115" s="325">
        <f>+'Purchased Power Model '!C115</f>
        <v>109.30000000000001</v>
      </c>
      <c r="D115" s="325">
        <f>+'Purchased Power Model '!D115</f>
        <v>21.8</v>
      </c>
      <c r="E115" s="326">
        <f>+'Purchased Power Model '!E115</f>
        <v>8.4000000000000005E-2</v>
      </c>
      <c r="F115" s="327">
        <f>+'Purchased Power Model '!F115</f>
        <v>31</v>
      </c>
      <c r="G115" s="327">
        <f>+'Purchased Power Model '!G115</f>
        <v>1</v>
      </c>
      <c r="H115" s="328">
        <f>+'Purchased Power Model '!H115</f>
        <v>86296247.724941522</v>
      </c>
      <c r="J115" s="323">
        <f>+'10 Year Average'!A115</f>
        <v>41030</v>
      </c>
      <c r="K115" s="329">
        <f>+'10 Year Average'!B115</f>
        <v>84298340.921818167</v>
      </c>
      <c r="L115" s="325">
        <f>+'10 Year Average'!C115</f>
        <v>109.30000000000001</v>
      </c>
      <c r="M115" s="325">
        <f>+'10 Year Average'!D115</f>
        <v>21.8</v>
      </c>
      <c r="N115" s="326">
        <f>+'10 Year Average'!E115</f>
        <v>8.4000000000000005E-2</v>
      </c>
      <c r="O115" s="327">
        <f>+'10 Year Average'!F115</f>
        <v>31</v>
      </c>
      <c r="P115" s="327">
        <f>+'10 Year Average'!G115</f>
        <v>1</v>
      </c>
      <c r="Q115" s="328">
        <f>+'10 Year Average'!H115</f>
        <v>86296247.724941522</v>
      </c>
      <c r="S115" s="323">
        <f>+'20 Year Trend'!A115</f>
        <v>41030</v>
      </c>
      <c r="T115" s="329">
        <f>+'20 Year Trend'!B115</f>
        <v>84298340.921818167</v>
      </c>
      <c r="U115" s="325">
        <f>+'20 Year Trend'!C115</f>
        <v>109.30000000000001</v>
      </c>
      <c r="V115" s="325">
        <f>+'20 Year Trend'!D115</f>
        <v>21.8</v>
      </c>
      <c r="W115" s="326">
        <f>+'20 Year Trend'!E115</f>
        <v>8.4000000000000005E-2</v>
      </c>
      <c r="X115" s="327">
        <f>+'20 Year Trend'!F115</f>
        <v>31</v>
      </c>
      <c r="Y115" s="327">
        <f>+'20 Year Trend'!G115</f>
        <v>1</v>
      </c>
      <c r="Z115" s="328">
        <f>+'20 Year Trend'!H115</f>
        <v>86296247.724941522</v>
      </c>
    </row>
    <row r="116" spans="1:26" x14ac:dyDescent="0.3">
      <c r="A116" s="323">
        <f>+'Purchased Power Model '!A116</f>
        <v>41061</v>
      </c>
      <c r="B116" s="329">
        <f>+'Purchased Power Model '!B116</f>
        <v>93187121.853636354</v>
      </c>
      <c r="C116" s="325">
        <f>+'Purchased Power Model '!C116</f>
        <v>28.2</v>
      </c>
      <c r="D116" s="325">
        <f>+'Purchased Power Model '!D116</f>
        <v>64.3</v>
      </c>
      <c r="E116" s="326">
        <f>+'Purchased Power Model '!E116</f>
        <v>8.4000000000000005E-2</v>
      </c>
      <c r="F116" s="327">
        <f>+'Purchased Power Model '!F116</f>
        <v>30</v>
      </c>
      <c r="G116" s="327">
        <f>+'Purchased Power Model '!G116</f>
        <v>0</v>
      </c>
      <c r="H116" s="328">
        <f>+'Purchased Power Model '!H116</f>
        <v>93364509.407985032</v>
      </c>
      <c r="J116" s="323">
        <f>+'10 Year Average'!A116</f>
        <v>41061</v>
      </c>
      <c r="K116" s="329">
        <f>+'10 Year Average'!B116</f>
        <v>93187121.853636354</v>
      </c>
      <c r="L116" s="325">
        <f>+'10 Year Average'!C116</f>
        <v>28.2</v>
      </c>
      <c r="M116" s="325">
        <f>+'10 Year Average'!D116</f>
        <v>64.3</v>
      </c>
      <c r="N116" s="326">
        <f>+'10 Year Average'!E116</f>
        <v>8.4000000000000005E-2</v>
      </c>
      <c r="O116" s="327">
        <f>+'10 Year Average'!F116</f>
        <v>30</v>
      </c>
      <c r="P116" s="327">
        <f>+'10 Year Average'!G116</f>
        <v>0</v>
      </c>
      <c r="Q116" s="328">
        <f>+'10 Year Average'!H116</f>
        <v>93364509.407985032</v>
      </c>
      <c r="S116" s="323">
        <f>+'20 Year Trend'!A116</f>
        <v>41061</v>
      </c>
      <c r="T116" s="329">
        <f>+'20 Year Trend'!B116</f>
        <v>93187121.853636354</v>
      </c>
      <c r="U116" s="325">
        <f>+'20 Year Trend'!C116</f>
        <v>28.2</v>
      </c>
      <c r="V116" s="325">
        <f>+'20 Year Trend'!D116</f>
        <v>64.3</v>
      </c>
      <c r="W116" s="326">
        <f>+'20 Year Trend'!E116</f>
        <v>8.4000000000000005E-2</v>
      </c>
      <c r="X116" s="327">
        <f>+'20 Year Trend'!F116</f>
        <v>30</v>
      </c>
      <c r="Y116" s="327">
        <f>+'20 Year Trend'!G116</f>
        <v>0</v>
      </c>
      <c r="Z116" s="328">
        <f>+'20 Year Trend'!H116</f>
        <v>93364509.407985032</v>
      </c>
    </row>
    <row r="117" spans="1:26" x14ac:dyDescent="0.3">
      <c r="A117" s="323">
        <f>+'Purchased Power Model '!A117</f>
        <v>41091</v>
      </c>
      <c r="B117" s="329">
        <f>+'Purchased Power Model '!B117</f>
        <v>110767074.55090907</v>
      </c>
      <c r="C117" s="325">
        <f>+'Purchased Power Model '!C117</f>
        <v>0</v>
      </c>
      <c r="D117" s="325">
        <f>+'Purchased Power Model '!D117</f>
        <v>155.30000000000001</v>
      </c>
      <c r="E117" s="326">
        <f>+'Purchased Power Model '!E117</f>
        <v>8.900000000000001E-2</v>
      </c>
      <c r="F117" s="327">
        <f>+'Purchased Power Model '!F117</f>
        <v>31</v>
      </c>
      <c r="G117" s="327">
        <f>+'Purchased Power Model '!G117</f>
        <v>0</v>
      </c>
      <c r="H117" s="328">
        <f>+'Purchased Power Model '!H117</f>
        <v>107543268.63773531</v>
      </c>
      <c r="J117" s="323">
        <f>+'10 Year Average'!A117</f>
        <v>41091</v>
      </c>
      <c r="K117" s="329">
        <f>+'10 Year Average'!B117</f>
        <v>110767074.55090907</v>
      </c>
      <c r="L117" s="325">
        <f>+'10 Year Average'!C117</f>
        <v>0</v>
      </c>
      <c r="M117" s="325">
        <f>+'10 Year Average'!D117</f>
        <v>155.30000000000001</v>
      </c>
      <c r="N117" s="326">
        <f>+'10 Year Average'!E117</f>
        <v>8.900000000000001E-2</v>
      </c>
      <c r="O117" s="327">
        <f>+'10 Year Average'!F117</f>
        <v>31</v>
      </c>
      <c r="P117" s="327">
        <f>+'10 Year Average'!G117</f>
        <v>0</v>
      </c>
      <c r="Q117" s="328">
        <f>+'10 Year Average'!H117</f>
        <v>107543268.63773531</v>
      </c>
      <c r="S117" s="323">
        <f>+'20 Year Trend'!A117</f>
        <v>41091</v>
      </c>
      <c r="T117" s="329">
        <f>+'20 Year Trend'!B117</f>
        <v>110767074.55090907</v>
      </c>
      <c r="U117" s="325">
        <f>+'20 Year Trend'!C117</f>
        <v>0</v>
      </c>
      <c r="V117" s="325">
        <f>+'20 Year Trend'!D117</f>
        <v>155.30000000000001</v>
      </c>
      <c r="W117" s="326">
        <f>+'20 Year Trend'!E117</f>
        <v>8.900000000000001E-2</v>
      </c>
      <c r="X117" s="327">
        <f>+'20 Year Trend'!F117</f>
        <v>31</v>
      </c>
      <c r="Y117" s="327">
        <f>+'20 Year Trend'!G117</f>
        <v>0</v>
      </c>
      <c r="Z117" s="328">
        <f>+'20 Year Trend'!H117</f>
        <v>107543268.63773531</v>
      </c>
    </row>
    <row r="118" spans="1:26" x14ac:dyDescent="0.3">
      <c r="A118" s="323">
        <f>+'Purchased Power Model '!A118</f>
        <v>41122</v>
      </c>
      <c r="B118" s="329">
        <f>+'Purchased Power Model '!B118</f>
        <v>101373951.59181817</v>
      </c>
      <c r="C118" s="325">
        <f>+'Purchased Power Model '!C118</f>
        <v>4.4000000000000004</v>
      </c>
      <c r="D118" s="325">
        <f>+'Purchased Power Model '!D118</f>
        <v>102.79999999999998</v>
      </c>
      <c r="E118" s="326">
        <f>+'Purchased Power Model '!E118</f>
        <v>8.900000000000001E-2</v>
      </c>
      <c r="F118" s="327">
        <f>+'Purchased Power Model '!F118</f>
        <v>31</v>
      </c>
      <c r="G118" s="327">
        <f>+'Purchased Power Model '!G118</f>
        <v>0</v>
      </c>
      <c r="H118" s="328">
        <f>+'Purchased Power Model '!H118</f>
        <v>100150905.59529257</v>
      </c>
      <c r="J118" s="323">
        <f>+'10 Year Average'!A118</f>
        <v>41122</v>
      </c>
      <c r="K118" s="329">
        <f>+'10 Year Average'!B118</f>
        <v>101373951.59181817</v>
      </c>
      <c r="L118" s="325">
        <f>+'10 Year Average'!C118</f>
        <v>4.4000000000000004</v>
      </c>
      <c r="M118" s="325">
        <f>+'10 Year Average'!D118</f>
        <v>102.79999999999998</v>
      </c>
      <c r="N118" s="326">
        <f>+'10 Year Average'!E118</f>
        <v>8.900000000000001E-2</v>
      </c>
      <c r="O118" s="327">
        <f>+'10 Year Average'!F118</f>
        <v>31</v>
      </c>
      <c r="P118" s="327">
        <f>+'10 Year Average'!G118</f>
        <v>0</v>
      </c>
      <c r="Q118" s="328">
        <f>+'10 Year Average'!H118</f>
        <v>100150905.59529257</v>
      </c>
      <c r="S118" s="323">
        <f>+'20 Year Trend'!A118</f>
        <v>41122</v>
      </c>
      <c r="T118" s="329">
        <f>+'20 Year Trend'!B118</f>
        <v>101373951.59181817</v>
      </c>
      <c r="U118" s="325">
        <f>+'20 Year Trend'!C118</f>
        <v>4.4000000000000004</v>
      </c>
      <c r="V118" s="325">
        <f>+'20 Year Trend'!D118</f>
        <v>102.79999999999998</v>
      </c>
      <c r="W118" s="326">
        <f>+'20 Year Trend'!E118</f>
        <v>8.900000000000001E-2</v>
      </c>
      <c r="X118" s="327">
        <f>+'20 Year Trend'!F118</f>
        <v>31</v>
      </c>
      <c r="Y118" s="327">
        <f>+'20 Year Trend'!G118</f>
        <v>0</v>
      </c>
      <c r="Z118" s="328">
        <f>+'20 Year Trend'!H118</f>
        <v>100150905.59529257</v>
      </c>
    </row>
    <row r="119" spans="1:26" x14ac:dyDescent="0.3">
      <c r="A119" s="323">
        <f>+'Purchased Power Model '!A119</f>
        <v>41153</v>
      </c>
      <c r="B119" s="329">
        <f>+'Purchased Power Model '!B119</f>
        <v>85023139.218181819</v>
      </c>
      <c r="C119" s="325">
        <f>+'Purchased Power Model '!C119</f>
        <v>84</v>
      </c>
      <c r="D119" s="325">
        <f>+'Purchased Power Model '!D119</f>
        <v>24.400000000000002</v>
      </c>
      <c r="E119" s="326">
        <f>+'Purchased Power Model '!E119</f>
        <v>8.900000000000001E-2</v>
      </c>
      <c r="F119" s="327">
        <f>+'Purchased Power Model '!F119</f>
        <v>30</v>
      </c>
      <c r="G119" s="327">
        <f>+'Purchased Power Model '!G119</f>
        <v>1</v>
      </c>
      <c r="H119" s="328">
        <f>+'Purchased Power Model '!H119</f>
        <v>82224459.505911976</v>
      </c>
      <c r="J119" s="323">
        <f>+'10 Year Average'!A119</f>
        <v>41153</v>
      </c>
      <c r="K119" s="329">
        <f>+'10 Year Average'!B119</f>
        <v>85023139.218181819</v>
      </c>
      <c r="L119" s="325">
        <f>+'10 Year Average'!C119</f>
        <v>84</v>
      </c>
      <c r="M119" s="325">
        <f>+'10 Year Average'!D119</f>
        <v>24.400000000000002</v>
      </c>
      <c r="N119" s="326">
        <f>+'10 Year Average'!E119</f>
        <v>8.900000000000001E-2</v>
      </c>
      <c r="O119" s="327">
        <f>+'10 Year Average'!F119</f>
        <v>30</v>
      </c>
      <c r="P119" s="327">
        <f>+'10 Year Average'!G119</f>
        <v>1</v>
      </c>
      <c r="Q119" s="328">
        <f>+'10 Year Average'!H119</f>
        <v>82224459.505911976</v>
      </c>
      <c r="S119" s="323">
        <f>+'20 Year Trend'!A119</f>
        <v>41153</v>
      </c>
      <c r="T119" s="329">
        <f>+'20 Year Trend'!B119</f>
        <v>85023139.218181819</v>
      </c>
      <c r="U119" s="325">
        <f>+'20 Year Trend'!C119</f>
        <v>84</v>
      </c>
      <c r="V119" s="325">
        <f>+'20 Year Trend'!D119</f>
        <v>24.400000000000002</v>
      </c>
      <c r="W119" s="326">
        <f>+'20 Year Trend'!E119</f>
        <v>8.900000000000001E-2</v>
      </c>
      <c r="X119" s="327">
        <f>+'20 Year Trend'!F119</f>
        <v>30</v>
      </c>
      <c r="Y119" s="327">
        <f>+'20 Year Trend'!G119</f>
        <v>1</v>
      </c>
      <c r="Z119" s="328">
        <f>+'20 Year Trend'!H119</f>
        <v>82224459.505911976</v>
      </c>
    </row>
    <row r="120" spans="1:26" x14ac:dyDescent="0.3">
      <c r="A120" s="323">
        <f>+'Purchased Power Model '!A120</f>
        <v>41183</v>
      </c>
      <c r="B120" s="329">
        <f>+'Purchased Power Model '!B120</f>
        <v>85295690.281818166</v>
      </c>
      <c r="C120" s="325">
        <f>+'Purchased Power Model '!C120</f>
        <v>228.99999999999994</v>
      </c>
      <c r="D120" s="325">
        <f>+'Purchased Power Model '!D120</f>
        <v>0</v>
      </c>
      <c r="E120" s="326">
        <f>+'Purchased Power Model '!E120</f>
        <v>9.1999999999999998E-2</v>
      </c>
      <c r="F120" s="327">
        <f>+'Purchased Power Model '!F120</f>
        <v>31</v>
      </c>
      <c r="G120" s="327">
        <f>+'Purchased Power Model '!G120</f>
        <v>1</v>
      </c>
      <c r="H120" s="328">
        <f>+'Purchased Power Model '!H120</f>
        <v>87047172.133525953</v>
      </c>
      <c r="J120" s="323">
        <f>+'10 Year Average'!A120</f>
        <v>41183</v>
      </c>
      <c r="K120" s="329">
        <f>+'10 Year Average'!B120</f>
        <v>85295690.281818166</v>
      </c>
      <c r="L120" s="325">
        <f>+'10 Year Average'!C120</f>
        <v>228.99999999999994</v>
      </c>
      <c r="M120" s="325">
        <f>+'10 Year Average'!D120</f>
        <v>0</v>
      </c>
      <c r="N120" s="326">
        <f>+'10 Year Average'!E120</f>
        <v>9.1999999999999998E-2</v>
      </c>
      <c r="O120" s="327">
        <f>+'10 Year Average'!F120</f>
        <v>31</v>
      </c>
      <c r="P120" s="327">
        <f>+'10 Year Average'!G120</f>
        <v>1</v>
      </c>
      <c r="Q120" s="328">
        <f>+'10 Year Average'!H120</f>
        <v>87047172.133525953</v>
      </c>
      <c r="S120" s="323">
        <f>+'20 Year Trend'!A120</f>
        <v>41183</v>
      </c>
      <c r="T120" s="329">
        <f>+'20 Year Trend'!B120</f>
        <v>85295690.281818166</v>
      </c>
      <c r="U120" s="325">
        <f>+'20 Year Trend'!C120</f>
        <v>228.99999999999994</v>
      </c>
      <c r="V120" s="325">
        <f>+'20 Year Trend'!D120</f>
        <v>0</v>
      </c>
      <c r="W120" s="326">
        <f>+'20 Year Trend'!E120</f>
        <v>9.1999999999999998E-2</v>
      </c>
      <c r="X120" s="327">
        <f>+'20 Year Trend'!F120</f>
        <v>31</v>
      </c>
      <c r="Y120" s="327">
        <f>+'20 Year Trend'!G120</f>
        <v>1</v>
      </c>
      <c r="Z120" s="328">
        <f>+'20 Year Trend'!H120</f>
        <v>87047172.133525953</v>
      </c>
    </row>
    <row r="121" spans="1:26" x14ac:dyDescent="0.3">
      <c r="A121" s="323">
        <f>+'Purchased Power Model '!A121</f>
        <v>41214</v>
      </c>
      <c r="B121" s="329">
        <f>+'Purchased Power Model '!B121</f>
        <v>91679199.734545454</v>
      </c>
      <c r="C121" s="325">
        <f>+'Purchased Power Model '!C121</f>
        <v>427.89999999999992</v>
      </c>
      <c r="D121" s="325">
        <f>+'Purchased Power Model '!D121</f>
        <v>0</v>
      </c>
      <c r="E121" s="326">
        <f>+'Purchased Power Model '!E121</f>
        <v>9.1999999999999998E-2</v>
      </c>
      <c r="F121" s="327">
        <f>+'Purchased Power Model '!F121</f>
        <v>30</v>
      </c>
      <c r="G121" s="327">
        <f>+'Purchased Power Model '!G121</f>
        <v>1</v>
      </c>
      <c r="H121" s="328">
        <f>+'Purchased Power Model '!H121</f>
        <v>92325499.323695958</v>
      </c>
      <c r="J121" s="323">
        <f>+'10 Year Average'!A121</f>
        <v>41214</v>
      </c>
      <c r="K121" s="329">
        <f>+'10 Year Average'!B121</f>
        <v>91679199.734545454</v>
      </c>
      <c r="L121" s="325">
        <f>+'10 Year Average'!C121</f>
        <v>427.89999999999992</v>
      </c>
      <c r="M121" s="325">
        <f>+'10 Year Average'!D121</f>
        <v>0</v>
      </c>
      <c r="N121" s="326">
        <f>+'10 Year Average'!E121</f>
        <v>9.1999999999999998E-2</v>
      </c>
      <c r="O121" s="327">
        <f>+'10 Year Average'!F121</f>
        <v>30</v>
      </c>
      <c r="P121" s="327">
        <f>+'10 Year Average'!G121</f>
        <v>1</v>
      </c>
      <c r="Q121" s="328">
        <f>+'10 Year Average'!H121</f>
        <v>92325499.323695958</v>
      </c>
      <c r="S121" s="323">
        <f>+'20 Year Trend'!A121</f>
        <v>41214</v>
      </c>
      <c r="T121" s="329">
        <f>+'20 Year Trend'!B121</f>
        <v>91679199.734545454</v>
      </c>
      <c r="U121" s="325">
        <f>+'20 Year Trend'!C121</f>
        <v>427.89999999999992</v>
      </c>
      <c r="V121" s="325">
        <f>+'20 Year Trend'!D121</f>
        <v>0</v>
      </c>
      <c r="W121" s="326">
        <f>+'20 Year Trend'!E121</f>
        <v>9.1999999999999998E-2</v>
      </c>
      <c r="X121" s="327">
        <f>+'20 Year Trend'!F121</f>
        <v>30</v>
      </c>
      <c r="Y121" s="327">
        <f>+'20 Year Trend'!G121</f>
        <v>1</v>
      </c>
      <c r="Z121" s="328">
        <f>+'20 Year Trend'!H121</f>
        <v>92325499.323695958</v>
      </c>
    </row>
    <row r="122" spans="1:26" ht="12.9" thickBot="1" x14ac:dyDescent="0.35">
      <c r="A122" s="331">
        <f>+'Purchased Power Model '!A122</f>
        <v>41244</v>
      </c>
      <c r="B122" s="420">
        <f>+'Purchased Power Model '!B122</f>
        <v>102292637.76363637</v>
      </c>
      <c r="C122" s="333">
        <f>+'Purchased Power Model '!C122</f>
        <v>451.09999999999997</v>
      </c>
      <c r="D122" s="333">
        <f>+'Purchased Power Model '!D122</f>
        <v>0</v>
      </c>
      <c r="E122" s="334">
        <f>+'Purchased Power Model '!E122</f>
        <v>9.1999999999999998E-2</v>
      </c>
      <c r="F122" s="335">
        <f>+'Purchased Power Model '!F122</f>
        <v>31</v>
      </c>
      <c r="G122" s="335">
        <f>+'Purchased Power Model '!G122</f>
        <v>0</v>
      </c>
      <c r="H122" s="336">
        <f>+'Purchased Power Model '!H122</f>
        <v>103125845.45768636</v>
      </c>
      <c r="J122" s="331">
        <f>+'10 Year Average'!A122</f>
        <v>41244</v>
      </c>
      <c r="K122" s="420">
        <f>+'10 Year Average'!B122</f>
        <v>102292637.76363637</v>
      </c>
      <c r="L122" s="333">
        <f>+'10 Year Average'!C122</f>
        <v>451.09999999999997</v>
      </c>
      <c r="M122" s="333">
        <f>+'10 Year Average'!D122</f>
        <v>0</v>
      </c>
      <c r="N122" s="334">
        <f>+'10 Year Average'!E122</f>
        <v>9.1999999999999998E-2</v>
      </c>
      <c r="O122" s="335">
        <f>+'10 Year Average'!F122</f>
        <v>31</v>
      </c>
      <c r="P122" s="335">
        <f>+'10 Year Average'!G122</f>
        <v>0</v>
      </c>
      <c r="Q122" s="336">
        <f>+'10 Year Average'!H122</f>
        <v>103125845.45768636</v>
      </c>
      <c r="S122" s="331">
        <f>+'20 Year Trend'!A122</f>
        <v>41244</v>
      </c>
      <c r="T122" s="420">
        <f>+'20 Year Trend'!B122</f>
        <v>102292637.76363637</v>
      </c>
      <c r="U122" s="333">
        <f>+'20 Year Trend'!C122</f>
        <v>451.09999999999997</v>
      </c>
      <c r="V122" s="333">
        <f>+'20 Year Trend'!D122</f>
        <v>0</v>
      </c>
      <c r="W122" s="334">
        <f>+'20 Year Trend'!E122</f>
        <v>9.1999999999999998E-2</v>
      </c>
      <c r="X122" s="335">
        <f>+'20 Year Trend'!F122</f>
        <v>31</v>
      </c>
      <c r="Y122" s="335">
        <f>+'20 Year Trend'!G122</f>
        <v>0</v>
      </c>
      <c r="Z122" s="336">
        <f>+'20 Year Trend'!H122</f>
        <v>103125845.45768636</v>
      </c>
    </row>
    <row r="123" spans="1:26" x14ac:dyDescent="0.3">
      <c r="A123" s="323">
        <f>+'Purchased Power Model '!A123</f>
        <v>41275</v>
      </c>
      <c r="B123" s="329">
        <f>+'Purchased Power Model '!B123</f>
        <v>107376383.33333334</v>
      </c>
      <c r="C123" s="325">
        <f>+'Purchased Power Model '!C123</f>
        <v>615.40000000000009</v>
      </c>
      <c r="D123" s="325">
        <f>+'Purchased Power Model '!D123</f>
        <v>0</v>
      </c>
      <c r="E123" s="326">
        <f>+'Purchased Power Model '!E123</f>
        <v>8.8000000000000009E-2</v>
      </c>
      <c r="F123" s="327">
        <f>+'Purchased Power Model '!F123</f>
        <v>31</v>
      </c>
      <c r="G123" s="327">
        <f>+'Purchased Power Model '!G123</f>
        <v>0</v>
      </c>
      <c r="H123" s="328">
        <f>+'Purchased Power Model '!H123</f>
        <v>110293490.7110839</v>
      </c>
      <c r="J123" s="323">
        <f>+'10 Year Average'!A123</f>
        <v>41275</v>
      </c>
      <c r="K123" s="329">
        <f>+'10 Year Average'!B123</f>
        <v>107376383.33333334</v>
      </c>
      <c r="L123" s="325">
        <f>+'10 Year Average'!C123</f>
        <v>615.40000000000009</v>
      </c>
      <c r="M123" s="325">
        <f>+'10 Year Average'!D123</f>
        <v>0</v>
      </c>
      <c r="N123" s="326">
        <f>+'10 Year Average'!E123</f>
        <v>8.8000000000000009E-2</v>
      </c>
      <c r="O123" s="327">
        <f>+'10 Year Average'!F123</f>
        <v>31</v>
      </c>
      <c r="P123" s="327">
        <f>+'10 Year Average'!G123</f>
        <v>0</v>
      </c>
      <c r="Q123" s="328">
        <f>+'10 Year Average'!H123</f>
        <v>110293490.7110839</v>
      </c>
      <c r="S123" s="323">
        <f>+'20 Year Trend'!A123</f>
        <v>41275</v>
      </c>
      <c r="T123" s="329">
        <f>+'20 Year Trend'!B123</f>
        <v>107376383.33333334</v>
      </c>
      <c r="U123" s="325">
        <f>+'20 Year Trend'!C123</f>
        <v>615.40000000000009</v>
      </c>
      <c r="V123" s="325">
        <f>+'20 Year Trend'!D123</f>
        <v>0</v>
      </c>
      <c r="W123" s="326">
        <f>+'20 Year Trend'!E123</f>
        <v>8.8000000000000009E-2</v>
      </c>
      <c r="X123" s="327">
        <f>+'20 Year Trend'!F123</f>
        <v>31</v>
      </c>
      <c r="Y123" s="327">
        <f>+'20 Year Trend'!G123</f>
        <v>0</v>
      </c>
      <c r="Z123" s="328">
        <f>+'20 Year Trend'!H123</f>
        <v>110293490.7110839</v>
      </c>
    </row>
    <row r="124" spans="1:26" x14ac:dyDescent="0.3">
      <c r="A124" s="323">
        <f>+'Purchased Power Model '!A124</f>
        <v>41306</v>
      </c>
      <c r="B124" s="329">
        <f>+'Purchased Power Model '!B124</f>
        <v>98702891.666666672</v>
      </c>
      <c r="C124" s="325">
        <f>+'Purchased Power Model '!C124</f>
        <v>611.5</v>
      </c>
      <c r="D124" s="325">
        <f>+'Purchased Power Model '!D124</f>
        <v>0</v>
      </c>
      <c r="E124" s="326">
        <f>+'Purchased Power Model '!E124</f>
        <v>8.8000000000000009E-2</v>
      </c>
      <c r="F124" s="327">
        <f>+'Purchased Power Model '!F124</f>
        <v>28</v>
      </c>
      <c r="G124" s="327">
        <f>+'Purchased Power Model '!G124</f>
        <v>0</v>
      </c>
      <c r="H124" s="328">
        <f>+'Purchased Power Model '!H124</f>
        <v>101705096.07502438</v>
      </c>
      <c r="J124" s="323">
        <f>+'10 Year Average'!A124</f>
        <v>41306</v>
      </c>
      <c r="K124" s="329">
        <f>+'10 Year Average'!B124</f>
        <v>98702891.666666672</v>
      </c>
      <c r="L124" s="325">
        <f>+'10 Year Average'!C124</f>
        <v>611.5</v>
      </c>
      <c r="M124" s="325">
        <f>+'10 Year Average'!D124</f>
        <v>0</v>
      </c>
      <c r="N124" s="326">
        <f>+'10 Year Average'!E124</f>
        <v>8.8000000000000009E-2</v>
      </c>
      <c r="O124" s="327">
        <f>+'10 Year Average'!F124</f>
        <v>28</v>
      </c>
      <c r="P124" s="327">
        <f>+'10 Year Average'!G124</f>
        <v>0</v>
      </c>
      <c r="Q124" s="328">
        <f>+'10 Year Average'!H124</f>
        <v>101705096.07502438</v>
      </c>
      <c r="S124" s="323">
        <f>+'20 Year Trend'!A124</f>
        <v>41306</v>
      </c>
      <c r="T124" s="329">
        <f>+'20 Year Trend'!B124</f>
        <v>98702891.666666672</v>
      </c>
      <c r="U124" s="325">
        <f>+'20 Year Trend'!C124</f>
        <v>611.5</v>
      </c>
      <c r="V124" s="325">
        <f>+'20 Year Trend'!D124</f>
        <v>0</v>
      </c>
      <c r="W124" s="326">
        <f>+'20 Year Trend'!E124</f>
        <v>8.8000000000000009E-2</v>
      </c>
      <c r="X124" s="327">
        <f>+'20 Year Trend'!F124</f>
        <v>28</v>
      </c>
      <c r="Y124" s="327">
        <f>+'20 Year Trend'!G124</f>
        <v>0</v>
      </c>
      <c r="Z124" s="328">
        <f>+'20 Year Trend'!H124</f>
        <v>101705096.07502438</v>
      </c>
    </row>
    <row r="125" spans="1:26" x14ac:dyDescent="0.3">
      <c r="A125" s="323">
        <f>+'Purchased Power Model '!A125</f>
        <v>41334</v>
      </c>
      <c r="B125" s="329">
        <f>+'Purchased Power Model '!B125</f>
        <v>98851083.333333343</v>
      </c>
      <c r="C125" s="325">
        <f>+'Purchased Power Model '!C125</f>
        <v>545</v>
      </c>
      <c r="D125" s="325">
        <f>+'Purchased Power Model '!D125</f>
        <v>0</v>
      </c>
      <c r="E125" s="326">
        <f>+'Purchased Power Model '!E125</f>
        <v>8.8000000000000009E-2</v>
      </c>
      <c r="F125" s="327">
        <f>+'Purchased Power Model '!F125</f>
        <v>31</v>
      </c>
      <c r="G125" s="327">
        <f>+'Purchased Power Model '!G125</f>
        <v>1</v>
      </c>
      <c r="H125" s="328">
        <f>+'Purchased Power Model '!H125</f>
        <v>100383692.12974165</v>
      </c>
      <c r="J125" s="323">
        <f>+'10 Year Average'!A125</f>
        <v>41334</v>
      </c>
      <c r="K125" s="329">
        <f>+'10 Year Average'!B125</f>
        <v>98851083.333333343</v>
      </c>
      <c r="L125" s="325">
        <f>+'10 Year Average'!C125</f>
        <v>545</v>
      </c>
      <c r="M125" s="325">
        <f>+'10 Year Average'!D125</f>
        <v>0</v>
      </c>
      <c r="N125" s="326">
        <f>+'10 Year Average'!E125</f>
        <v>8.8000000000000009E-2</v>
      </c>
      <c r="O125" s="327">
        <f>+'10 Year Average'!F125</f>
        <v>31</v>
      </c>
      <c r="P125" s="327">
        <f>+'10 Year Average'!G125</f>
        <v>1</v>
      </c>
      <c r="Q125" s="328">
        <f>+'10 Year Average'!H125</f>
        <v>100383692.12974165</v>
      </c>
      <c r="S125" s="323">
        <f>+'20 Year Trend'!A125</f>
        <v>41334</v>
      </c>
      <c r="T125" s="329">
        <f>+'20 Year Trend'!B125</f>
        <v>98851083.333333343</v>
      </c>
      <c r="U125" s="325">
        <f>+'20 Year Trend'!C125</f>
        <v>545</v>
      </c>
      <c r="V125" s="325">
        <f>+'20 Year Trend'!D125</f>
        <v>0</v>
      </c>
      <c r="W125" s="326">
        <f>+'20 Year Trend'!E125</f>
        <v>8.8000000000000009E-2</v>
      </c>
      <c r="X125" s="327">
        <f>+'20 Year Trend'!F125</f>
        <v>31</v>
      </c>
      <c r="Y125" s="327">
        <f>+'20 Year Trend'!G125</f>
        <v>1</v>
      </c>
      <c r="Z125" s="328">
        <f>+'20 Year Trend'!H125</f>
        <v>100383692.12974165</v>
      </c>
    </row>
    <row r="126" spans="1:26" x14ac:dyDescent="0.3">
      <c r="A126" s="323">
        <f>+'Purchased Power Model '!A126</f>
        <v>41365</v>
      </c>
      <c r="B126" s="329">
        <f>+'Purchased Power Model '!B126</f>
        <v>87330008.333333343</v>
      </c>
      <c r="C126" s="325">
        <f>+'Purchased Power Model '!C126</f>
        <v>366.49999999999994</v>
      </c>
      <c r="D126" s="325">
        <f>+'Purchased Power Model '!D126</f>
        <v>0</v>
      </c>
      <c r="E126" s="326">
        <f>+'Purchased Power Model '!E126</f>
        <v>7.400000000000001E-2</v>
      </c>
      <c r="F126" s="327">
        <f>+'Purchased Power Model '!F126</f>
        <v>30</v>
      </c>
      <c r="G126" s="327">
        <f>+'Purchased Power Model '!G126</f>
        <v>1</v>
      </c>
      <c r="H126" s="328">
        <f>+'Purchased Power Model '!H126</f>
        <v>92017434.60332793</v>
      </c>
      <c r="J126" s="323">
        <f>+'10 Year Average'!A126</f>
        <v>41365</v>
      </c>
      <c r="K126" s="329">
        <f>+'10 Year Average'!B126</f>
        <v>87330008.333333343</v>
      </c>
      <c r="L126" s="325">
        <f>+'10 Year Average'!C126</f>
        <v>366.49999999999994</v>
      </c>
      <c r="M126" s="325">
        <f>+'10 Year Average'!D126</f>
        <v>0</v>
      </c>
      <c r="N126" s="326">
        <f>+'10 Year Average'!E126</f>
        <v>7.400000000000001E-2</v>
      </c>
      <c r="O126" s="327">
        <f>+'10 Year Average'!F126</f>
        <v>30</v>
      </c>
      <c r="P126" s="327">
        <f>+'10 Year Average'!G126</f>
        <v>1</v>
      </c>
      <c r="Q126" s="328">
        <f>+'10 Year Average'!H126</f>
        <v>92017434.60332793</v>
      </c>
      <c r="S126" s="323">
        <f>+'20 Year Trend'!A126</f>
        <v>41365</v>
      </c>
      <c r="T126" s="329">
        <f>+'20 Year Trend'!B126</f>
        <v>87330008.333333343</v>
      </c>
      <c r="U126" s="325">
        <f>+'20 Year Trend'!C126</f>
        <v>366.49999999999994</v>
      </c>
      <c r="V126" s="325">
        <f>+'20 Year Trend'!D126</f>
        <v>0</v>
      </c>
      <c r="W126" s="326">
        <f>+'20 Year Trend'!E126</f>
        <v>7.400000000000001E-2</v>
      </c>
      <c r="X126" s="327">
        <f>+'20 Year Trend'!F126</f>
        <v>30</v>
      </c>
      <c r="Y126" s="327">
        <f>+'20 Year Trend'!G126</f>
        <v>1</v>
      </c>
      <c r="Z126" s="328">
        <f>+'20 Year Trend'!H126</f>
        <v>92017434.60332793</v>
      </c>
    </row>
    <row r="127" spans="1:26" x14ac:dyDescent="0.3">
      <c r="A127" s="323">
        <f>+'Purchased Power Model '!A127</f>
        <v>41395</v>
      </c>
      <c r="B127" s="329">
        <f>+'Purchased Power Model '!B127</f>
        <v>81913958.333333343</v>
      </c>
      <c r="C127" s="325">
        <f>+'Purchased Power Model '!C127</f>
        <v>133.4</v>
      </c>
      <c r="D127" s="325">
        <f>+'Purchased Power Model '!D127</f>
        <v>3</v>
      </c>
      <c r="E127" s="326">
        <f>+'Purchased Power Model '!E127</f>
        <v>7.400000000000001E-2</v>
      </c>
      <c r="F127" s="327">
        <f>+'Purchased Power Model '!F127</f>
        <v>31</v>
      </c>
      <c r="G127" s="327">
        <f>+'Purchased Power Model '!G127</f>
        <v>1</v>
      </c>
      <c r="H127" s="328">
        <f>+'Purchased Power Model '!H127</f>
        <v>85781010.789683133</v>
      </c>
      <c r="J127" s="323">
        <f>+'10 Year Average'!A127</f>
        <v>41395</v>
      </c>
      <c r="K127" s="329">
        <f>+'10 Year Average'!B127</f>
        <v>81913958.333333343</v>
      </c>
      <c r="L127" s="325">
        <f>+'10 Year Average'!C127</f>
        <v>133.4</v>
      </c>
      <c r="M127" s="325">
        <f>+'10 Year Average'!D127</f>
        <v>3</v>
      </c>
      <c r="N127" s="326">
        <f>+'10 Year Average'!E127</f>
        <v>7.400000000000001E-2</v>
      </c>
      <c r="O127" s="327">
        <f>+'10 Year Average'!F127</f>
        <v>31</v>
      </c>
      <c r="P127" s="327">
        <f>+'10 Year Average'!G127</f>
        <v>1</v>
      </c>
      <c r="Q127" s="328">
        <f>+'10 Year Average'!H127</f>
        <v>85781010.789683133</v>
      </c>
      <c r="S127" s="323">
        <f>+'20 Year Trend'!A127</f>
        <v>41395</v>
      </c>
      <c r="T127" s="329">
        <f>+'20 Year Trend'!B127</f>
        <v>81913958.333333343</v>
      </c>
      <c r="U127" s="325">
        <f>+'20 Year Trend'!C127</f>
        <v>133.4</v>
      </c>
      <c r="V127" s="325">
        <f>+'20 Year Trend'!D127</f>
        <v>3</v>
      </c>
      <c r="W127" s="326">
        <f>+'20 Year Trend'!E127</f>
        <v>7.400000000000001E-2</v>
      </c>
      <c r="X127" s="327">
        <f>+'20 Year Trend'!F127</f>
        <v>31</v>
      </c>
      <c r="Y127" s="327">
        <f>+'20 Year Trend'!G127</f>
        <v>1</v>
      </c>
      <c r="Z127" s="328">
        <f>+'20 Year Trend'!H127</f>
        <v>85781010.789683133</v>
      </c>
    </row>
    <row r="128" spans="1:26" x14ac:dyDescent="0.3">
      <c r="A128" s="323">
        <f>+'Purchased Power Model '!A128</f>
        <v>41426</v>
      </c>
      <c r="B128" s="329">
        <f>+'Purchased Power Model '!B128</f>
        <v>86391933.333333343</v>
      </c>
      <c r="C128" s="325">
        <f>+'Purchased Power Model '!C128</f>
        <v>42.900000000000006</v>
      </c>
      <c r="D128" s="325">
        <f>+'Purchased Power Model '!D128</f>
        <v>32.200000000000003</v>
      </c>
      <c r="E128" s="326">
        <f>+'Purchased Power Model '!E128</f>
        <v>7.400000000000001E-2</v>
      </c>
      <c r="F128" s="327">
        <f>+'Purchased Power Model '!F128</f>
        <v>30</v>
      </c>
      <c r="G128" s="327">
        <f>+'Purchased Power Model '!G128</f>
        <v>0</v>
      </c>
      <c r="H128" s="328">
        <f>+'Purchased Power Model '!H128</f>
        <v>90548961.981017634</v>
      </c>
      <c r="J128" s="323">
        <f>+'10 Year Average'!A128</f>
        <v>41426</v>
      </c>
      <c r="K128" s="329">
        <f>+'10 Year Average'!B128</f>
        <v>86391933.333333343</v>
      </c>
      <c r="L128" s="325">
        <f>+'10 Year Average'!C128</f>
        <v>42.900000000000006</v>
      </c>
      <c r="M128" s="325">
        <f>+'10 Year Average'!D128</f>
        <v>32.200000000000003</v>
      </c>
      <c r="N128" s="326">
        <f>+'10 Year Average'!E128</f>
        <v>7.400000000000001E-2</v>
      </c>
      <c r="O128" s="327">
        <f>+'10 Year Average'!F128</f>
        <v>30</v>
      </c>
      <c r="P128" s="327">
        <f>+'10 Year Average'!G128</f>
        <v>0</v>
      </c>
      <c r="Q128" s="328">
        <f>+'10 Year Average'!H128</f>
        <v>90548961.981017634</v>
      </c>
      <c r="S128" s="323">
        <f>+'20 Year Trend'!A128</f>
        <v>41426</v>
      </c>
      <c r="T128" s="329">
        <f>+'20 Year Trend'!B128</f>
        <v>86391933.333333343</v>
      </c>
      <c r="U128" s="325">
        <f>+'20 Year Trend'!C128</f>
        <v>42.900000000000006</v>
      </c>
      <c r="V128" s="325">
        <f>+'20 Year Trend'!D128</f>
        <v>32.200000000000003</v>
      </c>
      <c r="W128" s="326">
        <f>+'20 Year Trend'!E128</f>
        <v>7.400000000000001E-2</v>
      </c>
      <c r="X128" s="327">
        <f>+'20 Year Trend'!F128</f>
        <v>30</v>
      </c>
      <c r="Y128" s="327">
        <f>+'20 Year Trend'!G128</f>
        <v>0</v>
      </c>
      <c r="Z128" s="328">
        <f>+'20 Year Trend'!H128</f>
        <v>90548961.981017634</v>
      </c>
    </row>
    <row r="129" spans="1:26" x14ac:dyDescent="0.3">
      <c r="A129" s="323">
        <f>+'Purchased Power Model '!A129</f>
        <v>41456</v>
      </c>
      <c r="B129" s="329">
        <f>+'Purchased Power Model '!B129</f>
        <v>104037066.66666667</v>
      </c>
      <c r="C129" s="325">
        <f>+'Purchased Power Model '!C129</f>
        <v>4.4000000000000004</v>
      </c>
      <c r="D129" s="325">
        <f>+'Purchased Power Model '!D129</f>
        <v>109.99999999999999</v>
      </c>
      <c r="E129" s="326">
        <f>+'Purchased Power Model '!E129</f>
        <v>6.2E-2</v>
      </c>
      <c r="F129" s="327">
        <f>+'Purchased Power Model '!F129</f>
        <v>31</v>
      </c>
      <c r="G129" s="327">
        <f>+'Purchased Power Model '!G129</f>
        <v>0</v>
      </c>
      <c r="H129" s="328">
        <f>+'Purchased Power Model '!H129</f>
        <v>104472399.70807847</v>
      </c>
      <c r="J129" s="323">
        <f>+'10 Year Average'!A129</f>
        <v>41456</v>
      </c>
      <c r="K129" s="329">
        <f>+'10 Year Average'!B129</f>
        <v>104037066.66666667</v>
      </c>
      <c r="L129" s="325">
        <f>+'10 Year Average'!C129</f>
        <v>4.4000000000000004</v>
      </c>
      <c r="M129" s="325">
        <f>+'10 Year Average'!D129</f>
        <v>109.99999999999999</v>
      </c>
      <c r="N129" s="326">
        <f>+'10 Year Average'!E129</f>
        <v>6.2E-2</v>
      </c>
      <c r="O129" s="327">
        <f>+'10 Year Average'!F129</f>
        <v>31</v>
      </c>
      <c r="P129" s="327">
        <f>+'10 Year Average'!G129</f>
        <v>0</v>
      </c>
      <c r="Q129" s="328">
        <f>+'10 Year Average'!H129</f>
        <v>104472399.70807847</v>
      </c>
      <c r="S129" s="323">
        <f>+'20 Year Trend'!A129</f>
        <v>41456</v>
      </c>
      <c r="T129" s="329">
        <f>+'20 Year Trend'!B129</f>
        <v>104037066.66666667</v>
      </c>
      <c r="U129" s="325">
        <f>+'20 Year Trend'!C129</f>
        <v>4.4000000000000004</v>
      </c>
      <c r="V129" s="325">
        <f>+'20 Year Trend'!D129</f>
        <v>109.99999999999999</v>
      </c>
      <c r="W129" s="326">
        <f>+'20 Year Trend'!E129</f>
        <v>6.2E-2</v>
      </c>
      <c r="X129" s="327">
        <f>+'20 Year Trend'!F129</f>
        <v>31</v>
      </c>
      <c r="Y129" s="327">
        <f>+'20 Year Trend'!G129</f>
        <v>0</v>
      </c>
      <c r="Z129" s="328">
        <f>+'20 Year Trend'!H129</f>
        <v>104472399.70807847</v>
      </c>
    </row>
    <row r="130" spans="1:26" x14ac:dyDescent="0.3">
      <c r="A130" s="323">
        <f>+'Purchased Power Model '!A130</f>
        <v>41487</v>
      </c>
      <c r="B130" s="329">
        <f>+'Purchased Power Model '!B130</f>
        <v>95663441.666666672</v>
      </c>
      <c r="C130" s="325">
        <f>+'Purchased Power Model '!C130</f>
        <v>11</v>
      </c>
      <c r="D130" s="325">
        <f>+'Purchased Power Model '!D130</f>
        <v>57.899999999999991</v>
      </c>
      <c r="E130" s="326">
        <f>+'Purchased Power Model '!E130</f>
        <v>6.2E-2</v>
      </c>
      <c r="F130" s="327">
        <f>+'Purchased Power Model '!F130</f>
        <v>31</v>
      </c>
      <c r="G130" s="327">
        <f>+'Purchased Power Model '!G130</f>
        <v>0</v>
      </c>
      <c r="H130" s="328">
        <f>+'Purchased Power Model '!H130</f>
        <v>97227185.59262301</v>
      </c>
      <c r="J130" s="323">
        <f>+'10 Year Average'!A130</f>
        <v>41487</v>
      </c>
      <c r="K130" s="329">
        <f>+'10 Year Average'!B130</f>
        <v>95663441.666666672</v>
      </c>
      <c r="L130" s="325">
        <f>+'10 Year Average'!C130</f>
        <v>11</v>
      </c>
      <c r="M130" s="325">
        <f>+'10 Year Average'!D130</f>
        <v>57.899999999999991</v>
      </c>
      <c r="N130" s="326">
        <f>+'10 Year Average'!E130</f>
        <v>6.2E-2</v>
      </c>
      <c r="O130" s="327">
        <f>+'10 Year Average'!F130</f>
        <v>31</v>
      </c>
      <c r="P130" s="327">
        <f>+'10 Year Average'!G130</f>
        <v>0</v>
      </c>
      <c r="Q130" s="328">
        <f>+'10 Year Average'!H130</f>
        <v>97227185.59262301</v>
      </c>
      <c r="S130" s="323">
        <f>+'20 Year Trend'!A130</f>
        <v>41487</v>
      </c>
      <c r="T130" s="329">
        <f>+'20 Year Trend'!B130</f>
        <v>95663441.666666672</v>
      </c>
      <c r="U130" s="325">
        <f>+'20 Year Trend'!C130</f>
        <v>11</v>
      </c>
      <c r="V130" s="325">
        <f>+'20 Year Trend'!D130</f>
        <v>57.899999999999991</v>
      </c>
      <c r="W130" s="326">
        <f>+'20 Year Trend'!E130</f>
        <v>6.2E-2</v>
      </c>
      <c r="X130" s="327">
        <f>+'20 Year Trend'!F130</f>
        <v>31</v>
      </c>
      <c r="Y130" s="327">
        <f>+'20 Year Trend'!G130</f>
        <v>0</v>
      </c>
      <c r="Z130" s="328">
        <f>+'20 Year Trend'!H130</f>
        <v>97227185.59262301</v>
      </c>
    </row>
    <row r="131" spans="1:26" x14ac:dyDescent="0.3">
      <c r="A131" s="323">
        <f>+'Purchased Power Model '!A131</f>
        <v>41518</v>
      </c>
      <c r="B131" s="329">
        <f>+'Purchased Power Model '!B131</f>
        <v>83012108.333333343</v>
      </c>
      <c r="C131" s="325">
        <f>+'Purchased Power Model '!C131</f>
        <v>96.600000000000009</v>
      </c>
      <c r="D131" s="325">
        <f>+'Purchased Power Model '!D131</f>
        <v>15.700000000000001</v>
      </c>
      <c r="E131" s="326">
        <f>+'Purchased Power Model '!E131</f>
        <v>6.2E-2</v>
      </c>
      <c r="F131" s="327">
        <f>+'Purchased Power Model '!F131</f>
        <v>30</v>
      </c>
      <c r="G131" s="327">
        <f>+'Purchased Power Model '!G131</f>
        <v>1</v>
      </c>
      <c r="H131" s="328">
        <f>+'Purchased Power Model '!H131</f>
        <v>84765313.223946795</v>
      </c>
      <c r="J131" s="323">
        <f>+'10 Year Average'!A131</f>
        <v>41518</v>
      </c>
      <c r="K131" s="329">
        <f>+'10 Year Average'!B131</f>
        <v>83012108.333333343</v>
      </c>
      <c r="L131" s="325">
        <f>+'10 Year Average'!C131</f>
        <v>96.600000000000009</v>
      </c>
      <c r="M131" s="325">
        <f>+'10 Year Average'!D131</f>
        <v>15.700000000000001</v>
      </c>
      <c r="N131" s="326">
        <f>+'10 Year Average'!E131</f>
        <v>6.2E-2</v>
      </c>
      <c r="O131" s="327">
        <f>+'10 Year Average'!F131</f>
        <v>30</v>
      </c>
      <c r="P131" s="327">
        <f>+'10 Year Average'!G131</f>
        <v>1</v>
      </c>
      <c r="Q131" s="328">
        <f>+'10 Year Average'!H131</f>
        <v>84765313.223946795</v>
      </c>
      <c r="S131" s="323">
        <f>+'20 Year Trend'!A131</f>
        <v>41518</v>
      </c>
      <c r="T131" s="329">
        <f>+'20 Year Trend'!B131</f>
        <v>83012108.333333343</v>
      </c>
      <c r="U131" s="325">
        <f>+'20 Year Trend'!C131</f>
        <v>96.600000000000009</v>
      </c>
      <c r="V131" s="325">
        <f>+'20 Year Trend'!D131</f>
        <v>15.700000000000001</v>
      </c>
      <c r="W131" s="326">
        <f>+'20 Year Trend'!E131</f>
        <v>6.2E-2</v>
      </c>
      <c r="X131" s="327">
        <f>+'20 Year Trend'!F131</f>
        <v>30</v>
      </c>
      <c r="Y131" s="327">
        <f>+'20 Year Trend'!G131</f>
        <v>1</v>
      </c>
      <c r="Z131" s="328">
        <f>+'20 Year Trend'!H131</f>
        <v>84765313.223946795</v>
      </c>
    </row>
    <row r="132" spans="1:26" x14ac:dyDescent="0.3">
      <c r="A132" s="323">
        <f>+'Purchased Power Model '!A132</f>
        <v>41548</v>
      </c>
      <c r="B132" s="329">
        <f>+'Purchased Power Model '!B132</f>
        <v>84463400.000000015</v>
      </c>
      <c r="C132" s="325">
        <f>+'Purchased Power Model '!C132</f>
        <v>221</v>
      </c>
      <c r="D132" s="325">
        <f>+'Purchased Power Model '!D132</f>
        <v>3</v>
      </c>
      <c r="E132" s="326">
        <f>+'Purchased Power Model '!E132</f>
        <v>7.5999999999999998E-2</v>
      </c>
      <c r="F132" s="327">
        <f>+'Purchased Power Model '!F132</f>
        <v>31</v>
      </c>
      <c r="G132" s="327">
        <f>+'Purchased Power Model '!G132</f>
        <v>1</v>
      </c>
      <c r="H132" s="328">
        <f>+'Purchased Power Model '!H132</f>
        <v>89100065.470785186</v>
      </c>
      <c r="J132" s="323">
        <f>+'10 Year Average'!A132</f>
        <v>41548</v>
      </c>
      <c r="K132" s="329">
        <f>+'10 Year Average'!B132</f>
        <v>84463400.000000015</v>
      </c>
      <c r="L132" s="325">
        <f>+'10 Year Average'!C132</f>
        <v>221</v>
      </c>
      <c r="M132" s="325">
        <f>+'10 Year Average'!D132</f>
        <v>3</v>
      </c>
      <c r="N132" s="326">
        <f>+'10 Year Average'!E132</f>
        <v>7.5999999999999998E-2</v>
      </c>
      <c r="O132" s="327">
        <f>+'10 Year Average'!F132</f>
        <v>31</v>
      </c>
      <c r="P132" s="327">
        <f>+'10 Year Average'!G132</f>
        <v>1</v>
      </c>
      <c r="Q132" s="328">
        <f>+'10 Year Average'!H132</f>
        <v>89100065.470785186</v>
      </c>
      <c r="S132" s="323">
        <f>+'20 Year Trend'!A132</f>
        <v>41548</v>
      </c>
      <c r="T132" s="329">
        <f>+'20 Year Trend'!B132</f>
        <v>84463400.000000015</v>
      </c>
      <c r="U132" s="325">
        <f>+'20 Year Trend'!C132</f>
        <v>221</v>
      </c>
      <c r="V132" s="325">
        <f>+'20 Year Trend'!D132</f>
        <v>3</v>
      </c>
      <c r="W132" s="326">
        <f>+'20 Year Trend'!E132</f>
        <v>7.5999999999999998E-2</v>
      </c>
      <c r="X132" s="327">
        <f>+'20 Year Trend'!F132</f>
        <v>31</v>
      </c>
      <c r="Y132" s="327">
        <f>+'20 Year Trend'!G132</f>
        <v>1</v>
      </c>
      <c r="Z132" s="328">
        <f>+'20 Year Trend'!H132</f>
        <v>89100065.470785186</v>
      </c>
    </row>
    <row r="133" spans="1:26" x14ac:dyDescent="0.3">
      <c r="A133" s="323">
        <f>+'Purchased Power Model '!A133</f>
        <v>41579</v>
      </c>
      <c r="B133" s="329">
        <f>+'Purchased Power Model '!B133</f>
        <v>94249183.333333343</v>
      </c>
      <c r="C133" s="325">
        <f>+'Purchased Power Model '!C133</f>
        <v>458.6</v>
      </c>
      <c r="D133" s="325">
        <f>+'Purchased Power Model '!D133</f>
        <v>0</v>
      </c>
      <c r="E133" s="326">
        <f>+'Purchased Power Model '!E133</f>
        <v>7.5999999999999998E-2</v>
      </c>
      <c r="F133" s="327">
        <f>+'Purchased Power Model '!F133</f>
        <v>30</v>
      </c>
      <c r="G133" s="327">
        <f>+'Purchased Power Model '!G133</f>
        <v>1</v>
      </c>
      <c r="H133" s="328">
        <f>+'Purchased Power Model '!H133</f>
        <v>95519481.613650039</v>
      </c>
      <c r="J133" s="323">
        <f>+'10 Year Average'!A133</f>
        <v>41579</v>
      </c>
      <c r="K133" s="329">
        <f>+'10 Year Average'!B133</f>
        <v>94249183.333333343</v>
      </c>
      <c r="L133" s="325">
        <f>+'10 Year Average'!C133</f>
        <v>458.6</v>
      </c>
      <c r="M133" s="325">
        <f>+'10 Year Average'!D133</f>
        <v>0</v>
      </c>
      <c r="N133" s="326">
        <f>+'10 Year Average'!E133</f>
        <v>7.5999999999999998E-2</v>
      </c>
      <c r="O133" s="327">
        <f>+'10 Year Average'!F133</f>
        <v>30</v>
      </c>
      <c r="P133" s="327">
        <f>+'10 Year Average'!G133</f>
        <v>1</v>
      </c>
      <c r="Q133" s="328">
        <f>+'10 Year Average'!H133</f>
        <v>95519481.613650039</v>
      </c>
      <c r="S133" s="323">
        <f>+'20 Year Trend'!A133</f>
        <v>41579</v>
      </c>
      <c r="T133" s="329">
        <f>+'20 Year Trend'!B133</f>
        <v>94249183.333333343</v>
      </c>
      <c r="U133" s="325">
        <f>+'20 Year Trend'!C133</f>
        <v>458.6</v>
      </c>
      <c r="V133" s="325">
        <f>+'20 Year Trend'!D133</f>
        <v>0</v>
      </c>
      <c r="W133" s="326">
        <f>+'20 Year Trend'!E133</f>
        <v>7.5999999999999998E-2</v>
      </c>
      <c r="X133" s="327">
        <f>+'20 Year Trend'!F133</f>
        <v>30</v>
      </c>
      <c r="Y133" s="327">
        <f>+'20 Year Trend'!G133</f>
        <v>1</v>
      </c>
      <c r="Z133" s="328">
        <f>+'20 Year Trend'!H133</f>
        <v>95519481.613650039</v>
      </c>
    </row>
    <row r="134" spans="1:26" x14ac:dyDescent="0.3">
      <c r="A134" s="323">
        <f>+'Purchased Power Model '!A134</f>
        <v>41609</v>
      </c>
      <c r="B134" s="329">
        <f>+'Purchased Power Model '!B134</f>
        <v>108415583.33333334</v>
      </c>
      <c r="C134" s="325">
        <f>+'Purchased Power Model '!C134</f>
        <v>472.8</v>
      </c>
      <c r="D134" s="325">
        <f ca="1">+'Purchased Power Model '!D134</f>
        <v>0</v>
      </c>
      <c r="E134" s="326">
        <f>+'Purchased Power Model '!E134</f>
        <v>7.5999999999999998E-2</v>
      </c>
      <c r="F134" s="327">
        <f>+'Purchased Power Model '!F134</f>
        <v>31</v>
      </c>
      <c r="G134" s="327">
        <f>+'Purchased Power Model '!G134</f>
        <v>0</v>
      </c>
      <c r="H134" s="328">
        <f ca="1">+'Purchased Power Model '!H134</f>
        <v>105953843.08920036</v>
      </c>
      <c r="J134" s="323">
        <f>+'10 Year Average'!A134</f>
        <v>41609</v>
      </c>
      <c r="K134" s="329">
        <f>+'10 Year Average'!B134</f>
        <v>108415583.33333334</v>
      </c>
      <c r="L134" s="325">
        <f>+'10 Year Average'!C134</f>
        <v>472.8</v>
      </c>
      <c r="M134" s="325">
        <f ca="1">+'10 Year Average'!D134</f>
        <v>0</v>
      </c>
      <c r="N134" s="326">
        <f>+'10 Year Average'!E134</f>
        <v>7.5999999999999998E-2</v>
      </c>
      <c r="O134" s="327">
        <f>+'10 Year Average'!F134</f>
        <v>31</v>
      </c>
      <c r="P134" s="327">
        <f>+'10 Year Average'!G134</f>
        <v>0</v>
      </c>
      <c r="Q134" s="328">
        <f ca="1">+'10 Year Average'!H134</f>
        <v>105953843.08920036</v>
      </c>
      <c r="S134" s="323">
        <f>+'20 Year Trend'!A134</f>
        <v>41609</v>
      </c>
      <c r="T134" s="329">
        <f>+'20 Year Trend'!B134</f>
        <v>108415583.33333334</v>
      </c>
      <c r="U134" s="325">
        <f>+'20 Year Trend'!C134</f>
        <v>472.8</v>
      </c>
      <c r="V134" s="325">
        <f ca="1">+'20 Year Trend'!D134</f>
        <v>0</v>
      </c>
      <c r="W134" s="326">
        <f>+'20 Year Trend'!E134</f>
        <v>7.5999999999999998E-2</v>
      </c>
      <c r="X134" s="327">
        <f>+'20 Year Trend'!F134</f>
        <v>31</v>
      </c>
      <c r="Y134" s="327">
        <f>+'20 Year Trend'!G134</f>
        <v>0</v>
      </c>
      <c r="Z134" s="328">
        <f ca="1">+'20 Year Trend'!H134</f>
        <v>105953843.08920036</v>
      </c>
    </row>
    <row r="135" spans="1:26" x14ac:dyDescent="0.3">
      <c r="A135" s="323">
        <f>+'Purchased Power Model '!A135</f>
        <v>41640</v>
      </c>
      <c r="B135" s="330"/>
      <c r="C135" s="325">
        <f>+'Purchased Power Model '!C135</f>
        <v>771.3</v>
      </c>
      <c r="D135" s="325">
        <f>+'Purchased Power Model '!D135</f>
        <v>0</v>
      </c>
      <c r="E135" s="326">
        <f>+'Purchased Power Model '!E135</f>
        <v>7.6999999999999999E-2</v>
      </c>
      <c r="F135" s="327">
        <f>+'Purchased Power Model '!F135</f>
        <v>31</v>
      </c>
      <c r="G135" s="327">
        <f>+'Purchased Power Model '!G135</f>
        <v>0</v>
      </c>
      <c r="H135" s="328">
        <f>+'Purchased Power Model '!H135</f>
        <v>117970736.26360629</v>
      </c>
      <c r="J135" s="323">
        <f>+'10 Year Average'!A135</f>
        <v>41640</v>
      </c>
      <c r="K135" s="330"/>
      <c r="L135" s="325">
        <f>+'10 Year Average'!C135</f>
        <v>771.3</v>
      </c>
      <c r="M135" s="325">
        <f>+'10 Year Average'!D135</f>
        <v>0</v>
      </c>
      <c r="N135" s="326">
        <f>+'10 Year Average'!E135</f>
        <v>7.6999999999999999E-2</v>
      </c>
      <c r="O135" s="327">
        <f>+'10 Year Average'!F135</f>
        <v>31</v>
      </c>
      <c r="P135" s="327">
        <f>+'10 Year Average'!G135</f>
        <v>0</v>
      </c>
      <c r="Q135" s="328">
        <f>+'10 Year Average'!H135</f>
        <v>117970736.26360629</v>
      </c>
      <c r="S135" s="323">
        <f>+'20 Year Trend'!A135</f>
        <v>41640</v>
      </c>
      <c r="T135" s="330"/>
      <c r="U135" s="325">
        <f>+'20 Year Trend'!C135</f>
        <v>771.3</v>
      </c>
      <c r="V135" s="325">
        <f>+'20 Year Trend'!D135</f>
        <v>0</v>
      </c>
      <c r="W135" s="326">
        <f>+'20 Year Trend'!E135</f>
        <v>7.6999999999999999E-2</v>
      </c>
      <c r="X135" s="327">
        <f>+'20 Year Trend'!F135</f>
        <v>31</v>
      </c>
      <c r="Y135" s="327">
        <f>+'20 Year Trend'!G135</f>
        <v>0</v>
      </c>
      <c r="Z135" s="328">
        <f>+'20 Year Trend'!H135</f>
        <v>117970736.26360629</v>
      </c>
    </row>
    <row r="136" spans="1:26" x14ac:dyDescent="0.3">
      <c r="A136" s="323">
        <f>+'Purchased Power Model '!A136</f>
        <v>41671</v>
      </c>
      <c r="B136" s="330"/>
      <c r="C136" s="325">
        <f>+'Purchased Power Model '!C136</f>
        <v>690.84999999999991</v>
      </c>
      <c r="D136" s="325">
        <f>+'Purchased Power Model '!D136</f>
        <v>0</v>
      </c>
      <c r="E136" s="326">
        <f>+'Purchased Power Model '!E136</f>
        <v>7.6999999999999999E-2</v>
      </c>
      <c r="F136" s="327">
        <f>+'Purchased Power Model '!F136</f>
        <v>28</v>
      </c>
      <c r="G136" s="327">
        <f>+'Purchased Power Model '!G136</f>
        <v>0</v>
      </c>
      <c r="H136" s="328">
        <f>+'Purchased Power Model '!H136</f>
        <v>106269438.78270346</v>
      </c>
      <c r="J136" s="323">
        <f>+'10 Year Average'!A136</f>
        <v>41671</v>
      </c>
      <c r="K136" s="330"/>
      <c r="L136" s="325">
        <f>+'10 Year Average'!C136</f>
        <v>690.84999999999991</v>
      </c>
      <c r="M136" s="325">
        <f>+'10 Year Average'!D136</f>
        <v>0</v>
      </c>
      <c r="N136" s="326">
        <f>+'10 Year Average'!E136</f>
        <v>7.6999999999999999E-2</v>
      </c>
      <c r="O136" s="327">
        <f>+'10 Year Average'!F136</f>
        <v>28</v>
      </c>
      <c r="P136" s="327">
        <f>+'10 Year Average'!G136</f>
        <v>0</v>
      </c>
      <c r="Q136" s="328">
        <f>+'10 Year Average'!H136</f>
        <v>106269438.78270346</v>
      </c>
      <c r="S136" s="323">
        <f>+'20 Year Trend'!A136</f>
        <v>41671</v>
      </c>
      <c r="T136" s="330"/>
      <c r="U136" s="325">
        <f>+'20 Year Trend'!C136</f>
        <v>690.84999999999991</v>
      </c>
      <c r="V136" s="325">
        <f>+'20 Year Trend'!D136</f>
        <v>0</v>
      </c>
      <c r="W136" s="326">
        <f>+'20 Year Trend'!E136</f>
        <v>7.6999999999999999E-2</v>
      </c>
      <c r="X136" s="327">
        <f>+'20 Year Trend'!F136</f>
        <v>28</v>
      </c>
      <c r="Y136" s="327">
        <f>+'20 Year Trend'!G136</f>
        <v>0</v>
      </c>
      <c r="Z136" s="328">
        <f>+'20 Year Trend'!H136</f>
        <v>106269438.78270346</v>
      </c>
    </row>
    <row r="137" spans="1:26" x14ac:dyDescent="0.3">
      <c r="A137" s="323">
        <f>+'Purchased Power Model '!A137</f>
        <v>41699</v>
      </c>
      <c r="B137" s="330"/>
      <c r="C137" s="325">
        <f>+'Purchased Power Model '!C137</f>
        <v>677.95</v>
      </c>
      <c r="D137" s="325">
        <f>+'Purchased Power Model '!D137</f>
        <v>0</v>
      </c>
      <c r="E137" s="326">
        <f>+'Purchased Power Model '!E137</f>
        <v>7.6999999999999999E-2</v>
      </c>
      <c r="F137" s="327">
        <f>+'Purchased Power Model '!F137</f>
        <v>31</v>
      </c>
      <c r="G137" s="327">
        <f>+'Purchased Power Model '!G137</f>
        <v>1</v>
      </c>
      <c r="H137" s="328">
        <f>+'Purchased Power Model '!H137</f>
        <v>107127676.80324179</v>
      </c>
      <c r="J137" s="323">
        <f>+'10 Year Average'!A137</f>
        <v>41699</v>
      </c>
      <c r="K137" s="330"/>
      <c r="L137" s="325">
        <f>+'10 Year Average'!C137</f>
        <v>677.95</v>
      </c>
      <c r="M137" s="325">
        <f>+'10 Year Average'!D137</f>
        <v>0</v>
      </c>
      <c r="N137" s="326">
        <f>+'10 Year Average'!E137</f>
        <v>7.6999999999999999E-2</v>
      </c>
      <c r="O137" s="327">
        <f>+'10 Year Average'!F137</f>
        <v>31</v>
      </c>
      <c r="P137" s="327">
        <f>+'10 Year Average'!G137</f>
        <v>1</v>
      </c>
      <c r="Q137" s="328">
        <f>+'10 Year Average'!H137</f>
        <v>107127676.80324179</v>
      </c>
      <c r="S137" s="323">
        <f>+'20 Year Trend'!A137</f>
        <v>41699</v>
      </c>
      <c r="T137" s="330"/>
      <c r="U137" s="325">
        <f>+'20 Year Trend'!C137</f>
        <v>677.95</v>
      </c>
      <c r="V137" s="325">
        <f>+'20 Year Trend'!D137</f>
        <v>0</v>
      </c>
      <c r="W137" s="326">
        <f>+'20 Year Trend'!E137</f>
        <v>7.6999999999999999E-2</v>
      </c>
      <c r="X137" s="327">
        <f>+'20 Year Trend'!F137</f>
        <v>31</v>
      </c>
      <c r="Y137" s="327">
        <f>+'20 Year Trend'!G137</f>
        <v>1</v>
      </c>
      <c r="Z137" s="328">
        <f>+'20 Year Trend'!H137</f>
        <v>107127676.80324179</v>
      </c>
    </row>
    <row r="138" spans="1:26" x14ac:dyDescent="0.3">
      <c r="A138" s="323">
        <f>+'Purchased Power Model '!A138</f>
        <v>41730</v>
      </c>
      <c r="B138" s="330"/>
      <c r="C138" s="325">
        <f>+'Purchased Power Model '!C138</f>
        <v>371.2999999999999</v>
      </c>
      <c r="D138" s="325">
        <f>+'Purchased Power Model '!D138</f>
        <v>0</v>
      </c>
      <c r="E138" s="326">
        <f>+'Purchased Power Model '!E138</f>
        <v>6.7000000000000004E-2</v>
      </c>
      <c r="F138" s="327">
        <f>+'Purchased Power Model '!F138</f>
        <v>30</v>
      </c>
      <c r="G138" s="327">
        <f>+'Purchased Power Model '!G138</f>
        <v>1</v>
      </c>
      <c r="H138" s="328">
        <f>+'Purchased Power Model '!H138</f>
        <v>93063812.401498273</v>
      </c>
      <c r="J138" s="323">
        <f>+'10 Year Average'!A138</f>
        <v>41730</v>
      </c>
      <c r="K138" s="330"/>
      <c r="L138" s="325">
        <f>+'10 Year Average'!C138</f>
        <v>371.2999999999999</v>
      </c>
      <c r="M138" s="325">
        <f>+'10 Year Average'!D138</f>
        <v>0</v>
      </c>
      <c r="N138" s="326">
        <f>+'10 Year Average'!E138</f>
        <v>6.7000000000000004E-2</v>
      </c>
      <c r="O138" s="327">
        <f>+'10 Year Average'!F138</f>
        <v>30</v>
      </c>
      <c r="P138" s="327">
        <f>+'10 Year Average'!G138</f>
        <v>1</v>
      </c>
      <c r="Q138" s="328">
        <f>+'10 Year Average'!H138</f>
        <v>93063812.401498273</v>
      </c>
      <c r="S138" s="323">
        <f>+'20 Year Trend'!A138</f>
        <v>41730</v>
      </c>
      <c r="T138" s="330"/>
      <c r="U138" s="325">
        <f>+'20 Year Trend'!C138</f>
        <v>371.2999999999999</v>
      </c>
      <c r="V138" s="325">
        <f>+'20 Year Trend'!D138</f>
        <v>0</v>
      </c>
      <c r="W138" s="326">
        <f>+'20 Year Trend'!E138</f>
        <v>6.7000000000000004E-2</v>
      </c>
      <c r="X138" s="327">
        <f>+'20 Year Trend'!F138</f>
        <v>30</v>
      </c>
      <c r="Y138" s="327">
        <f>+'20 Year Trend'!G138</f>
        <v>1</v>
      </c>
      <c r="Z138" s="328">
        <f>+'20 Year Trend'!H138</f>
        <v>93063812.401498273</v>
      </c>
    </row>
    <row r="139" spans="1:26" x14ac:dyDescent="0.3">
      <c r="A139" s="323">
        <f>+'Purchased Power Model '!A139</f>
        <v>41760</v>
      </c>
      <c r="B139" s="330"/>
      <c r="C139" s="325">
        <f>+'Purchased Power Model '!C139</f>
        <v>160.49999999999994</v>
      </c>
      <c r="D139" s="325">
        <f>+'Purchased Power Model '!D139</f>
        <v>1.3</v>
      </c>
      <c r="E139" s="326">
        <f>+'Purchased Power Model '!E139</f>
        <v>6.7000000000000004E-2</v>
      </c>
      <c r="F139" s="327">
        <f>+'Purchased Power Model '!F139</f>
        <v>31</v>
      </c>
      <c r="G139" s="327">
        <f>+'Purchased Power Model '!G139</f>
        <v>1</v>
      </c>
      <c r="H139" s="328">
        <f>+'Purchased Power Model '!H139</f>
        <v>87489051.697005317</v>
      </c>
      <c r="J139" s="323">
        <f>+'10 Year Average'!A139</f>
        <v>41760</v>
      </c>
      <c r="K139" s="330"/>
      <c r="L139" s="325">
        <f>+'10 Year Average'!C139</f>
        <v>160.49999999999994</v>
      </c>
      <c r="M139" s="325">
        <f>+'10 Year Average'!D139</f>
        <v>1.3</v>
      </c>
      <c r="N139" s="326">
        <f>+'10 Year Average'!E139</f>
        <v>6.7000000000000004E-2</v>
      </c>
      <c r="O139" s="327">
        <f>+'10 Year Average'!F139</f>
        <v>31</v>
      </c>
      <c r="P139" s="327">
        <f>+'10 Year Average'!G139</f>
        <v>1</v>
      </c>
      <c r="Q139" s="328">
        <f>+'10 Year Average'!H139</f>
        <v>87489051.697005317</v>
      </c>
      <c r="S139" s="323">
        <f>+'20 Year Trend'!A139</f>
        <v>41760</v>
      </c>
      <c r="T139" s="330"/>
      <c r="U139" s="325">
        <f>+'20 Year Trend'!C139</f>
        <v>160.49999999999994</v>
      </c>
      <c r="V139" s="325">
        <f>+'20 Year Trend'!D139</f>
        <v>1.3</v>
      </c>
      <c r="W139" s="326">
        <f>+'20 Year Trend'!E139</f>
        <v>6.7000000000000004E-2</v>
      </c>
      <c r="X139" s="327">
        <f>+'20 Year Trend'!F139</f>
        <v>31</v>
      </c>
      <c r="Y139" s="327">
        <f>+'20 Year Trend'!G139</f>
        <v>1</v>
      </c>
      <c r="Z139" s="328">
        <f>+'20 Year Trend'!H139</f>
        <v>87489051.697005317</v>
      </c>
    </row>
    <row r="140" spans="1:26" x14ac:dyDescent="0.3">
      <c r="A140" s="323">
        <f>+'Purchased Power Model '!A140</f>
        <v>41791</v>
      </c>
      <c r="B140" s="330"/>
      <c r="C140" s="325">
        <f>+'Purchased Power Model '!C140</f>
        <v>26.9</v>
      </c>
      <c r="D140" s="325">
        <f>+'Purchased Power Model '!D140</f>
        <v>40.1</v>
      </c>
      <c r="E140" s="326">
        <f>+'Purchased Power Model '!E140</f>
        <v>6.7000000000000004E-2</v>
      </c>
      <c r="F140" s="327">
        <f>+'Purchased Power Model '!F140</f>
        <v>30</v>
      </c>
      <c r="G140" s="327">
        <f>+'Purchased Power Model '!G140</f>
        <v>0</v>
      </c>
      <c r="H140" s="328">
        <f>+'Purchased Power Model '!H140</f>
        <v>91888807.275544524</v>
      </c>
      <c r="J140" s="323">
        <f>+'10 Year Average'!A140</f>
        <v>41791</v>
      </c>
      <c r="K140" s="330"/>
      <c r="L140" s="325">
        <f>+'10 Year Average'!C140</f>
        <v>26.9</v>
      </c>
      <c r="M140" s="325">
        <f>+'10 Year Average'!D140</f>
        <v>40.1</v>
      </c>
      <c r="N140" s="326">
        <f>+'10 Year Average'!E140</f>
        <v>6.7000000000000004E-2</v>
      </c>
      <c r="O140" s="327">
        <f>+'10 Year Average'!F140</f>
        <v>30</v>
      </c>
      <c r="P140" s="327">
        <f>+'10 Year Average'!G140</f>
        <v>0</v>
      </c>
      <c r="Q140" s="328">
        <f>+'10 Year Average'!H140</f>
        <v>91888807.275544524</v>
      </c>
      <c r="S140" s="323">
        <f>+'20 Year Trend'!A140</f>
        <v>41791</v>
      </c>
      <c r="T140" s="330"/>
      <c r="U140" s="325">
        <f>+'20 Year Trend'!C140</f>
        <v>26.9</v>
      </c>
      <c r="V140" s="325">
        <f>+'20 Year Trend'!D140</f>
        <v>40.1</v>
      </c>
      <c r="W140" s="326">
        <f>+'20 Year Trend'!E140</f>
        <v>6.7000000000000004E-2</v>
      </c>
      <c r="X140" s="327">
        <f>+'20 Year Trend'!F140</f>
        <v>30</v>
      </c>
      <c r="Y140" s="327">
        <f>+'20 Year Trend'!G140</f>
        <v>0</v>
      </c>
      <c r="Z140" s="328">
        <f>+'20 Year Trend'!H140</f>
        <v>91888807.275544524</v>
      </c>
    </row>
    <row r="141" spans="1:26" x14ac:dyDescent="0.3">
      <c r="A141" s="323">
        <f>+'Purchased Power Model '!A141</f>
        <v>41821</v>
      </c>
      <c r="B141" s="330"/>
      <c r="C141" s="325">
        <f>+'Purchased Power Model '!C141</f>
        <v>9.5999999999999979</v>
      </c>
      <c r="D141" s="325">
        <f>+'Purchased Power Model '!D141</f>
        <v>54.599999999999994</v>
      </c>
      <c r="E141" s="326">
        <f>+'Purchased Power Model '!E141</f>
        <v>7.5999999999999998E-2</v>
      </c>
      <c r="F141" s="327">
        <f>+'Purchased Power Model '!F141</f>
        <v>31</v>
      </c>
      <c r="G141" s="327">
        <f>+'Purchased Power Model '!G141</f>
        <v>0</v>
      </c>
      <c r="H141" s="328">
        <f>+'Purchased Power Model '!H141</f>
        <v>94991973.098625958</v>
      </c>
      <c r="J141" s="323">
        <f>+'10 Year Average'!A141</f>
        <v>41821</v>
      </c>
      <c r="K141" s="330"/>
      <c r="L141" s="325">
        <f>+'10 Year Average'!C141</f>
        <v>9.5999999999999979</v>
      </c>
      <c r="M141" s="325">
        <f>+'10 Year Average'!D141</f>
        <v>54.599999999999994</v>
      </c>
      <c r="N141" s="326">
        <f>+'10 Year Average'!E141</f>
        <v>7.5999999999999998E-2</v>
      </c>
      <c r="O141" s="327">
        <f>+'10 Year Average'!F141</f>
        <v>31</v>
      </c>
      <c r="P141" s="327">
        <f>+'10 Year Average'!G141</f>
        <v>0</v>
      </c>
      <c r="Q141" s="328">
        <f>+'10 Year Average'!H141</f>
        <v>94991973.098625958</v>
      </c>
      <c r="S141" s="323">
        <f>+'20 Year Trend'!A141</f>
        <v>41821</v>
      </c>
      <c r="T141" s="330"/>
      <c r="U141" s="325">
        <f>+'20 Year Trend'!C141</f>
        <v>9.5999999999999979</v>
      </c>
      <c r="V141" s="325">
        <f>+'20 Year Trend'!D141</f>
        <v>54.599999999999994</v>
      </c>
      <c r="W141" s="326">
        <f>+'20 Year Trend'!E141</f>
        <v>7.5999999999999998E-2</v>
      </c>
      <c r="X141" s="327">
        <f>+'20 Year Trend'!F141</f>
        <v>31</v>
      </c>
      <c r="Y141" s="327">
        <f>+'20 Year Trend'!G141</f>
        <v>0</v>
      </c>
      <c r="Z141" s="328">
        <f>+'20 Year Trend'!H141</f>
        <v>94991973.098625958</v>
      </c>
    </row>
    <row r="142" spans="1:26" x14ac:dyDescent="0.3">
      <c r="A142" s="323">
        <f>+'Purchased Power Model '!A142</f>
        <v>41852</v>
      </c>
      <c r="B142" s="330"/>
      <c r="C142" s="325">
        <f>+'Purchased Power Model '!C142</f>
        <v>12.7</v>
      </c>
      <c r="D142" s="325">
        <f>+'Purchased Power Model '!D142</f>
        <v>58</v>
      </c>
      <c r="E142" s="326">
        <f>+'Purchased Power Model '!E142</f>
        <v>7.5999999999999998E-2</v>
      </c>
      <c r="F142" s="327">
        <f>+'Purchased Power Model '!F142</f>
        <v>31</v>
      </c>
      <c r="G142" s="327">
        <f>+'Purchased Power Model '!G142</f>
        <v>0</v>
      </c>
      <c r="H142" s="328">
        <f>+'Purchased Power Model '!H142</f>
        <v>95608365.570054814</v>
      </c>
      <c r="J142" s="323">
        <f>+'10 Year Average'!A142</f>
        <v>41852</v>
      </c>
      <c r="K142" s="330"/>
      <c r="L142" s="325">
        <f>+'10 Year Average'!C142</f>
        <v>12.7</v>
      </c>
      <c r="M142" s="325">
        <f>+'10 Year Average'!D142</f>
        <v>58</v>
      </c>
      <c r="N142" s="326">
        <f>+'10 Year Average'!E142</f>
        <v>7.5999999999999998E-2</v>
      </c>
      <c r="O142" s="327">
        <f>+'10 Year Average'!F142</f>
        <v>31</v>
      </c>
      <c r="P142" s="327">
        <f>+'10 Year Average'!G142</f>
        <v>0</v>
      </c>
      <c r="Q142" s="328">
        <f>+'10 Year Average'!H142</f>
        <v>95608365.570054814</v>
      </c>
      <c r="S142" s="323">
        <f>+'20 Year Trend'!A142</f>
        <v>41852</v>
      </c>
      <c r="T142" s="330"/>
      <c r="U142" s="325">
        <f>+'20 Year Trend'!C142</f>
        <v>12.7</v>
      </c>
      <c r="V142" s="325">
        <f>+'20 Year Trend'!D142</f>
        <v>58</v>
      </c>
      <c r="W142" s="326">
        <f>+'20 Year Trend'!E142</f>
        <v>7.5999999999999998E-2</v>
      </c>
      <c r="X142" s="327">
        <f>+'20 Year Trend'!F142</f>
        <v>31</v>
      </c>
      <c r="Y142" s="327">
        <f>+'20 Year Trend'!G142</f>
        <v>0</v>
      </c>
      <c r="Z142" s="328">
        <f>+'20 Year Trend'!H142</f>
        <v>95608365.570054814</v>
      </c>
    </row>
    <row r="143" spans="1:26" x14ac:dyDescent="0.3">
      <c r="A143" s="323">
        <f>+'Purchased Power Model '!A143</f>
        <v>41883</v>
      </c>
      <c r="B143" s="330"/>
      <c r="C143" s="325">
        <f>+'Purchased Power Model '!C143</f>
        <v>77.400000000000006</v>
      </c>
      <c r="D143" s="325">
        <f>+'Purchased Power Model '!D143</f>
        <v>22.5</v>
      </c>
      <c r="E143" s="326">
        <f>+'Purchased Power Model '!E143</f>
        <v>7.5999999999999998E-2</v>
      </c>
      <c r="F143" s="327">
        <f>+'Purchased Power Model '!F143</f>
        <v>30</v>
      </c>
      <c r="G143" s="327">
        <f>+'Purchased Power Model '!G143</f>
        <v>1</v>
      </c>
      <c r="H143" s="328">
        <f>+'Purchased Power Model '!H143</f>
        <v>83262836.170091212</v>
      </c>
      <c r="J143" s="323">
        <f>+'10 Year Average'!A143</f>
        <v>41883</v>
      </c>
      <c r="K143" s="330"/>
      <c r="L143" s="325">
        <f>+'10 Year Average'!C143</f>
        <v>77.400000000000006</v>
      </c>
      <c r="M143" s="325">
        <f>+'10 Year Average'!D143</f>
        <v>22.5</v>
      </c>
      <c r="N143" s="326">
        <f>+'10 Year Average'!E143</f>
        <v>7.5999999999999998E-2</v>
      </c>
      <c r="O143" s="327">
        <f>+'10 Year Average'!F143</f>
        <v>30</v>
      </c>
      <c r="P143" s="327">
        <f>+'10 Year Average'!G143</f>
        <v>1</v>
      </c>
      <c r="Q143" s="328">
        <f>+'10 Year Average'!H143</f>
        <v>83262836.170091212</v>
      </c>
      <c r="S143" s="323">
        <f>+'20 Year Trend'!A143</f>
        <v>41883</v>
      </c>
      <c r="T143" s="330"/>
      <c r="U143" s="325">
        <f>+'20 Year Trend'!C143</f>
        <v>77.400000000000006</v>
      </c>
      <c r="V143" s="325">
        <f>+'20 Year Trend'!D143</f>
        <v>22.5</v>
      </c>
      <c r="W143" s="326">
        <f>+'20 Year Trend'!E143</f>
        <v>7.5999999999999998E-2</v>
      </c>
      <c r="X143" s="327">
        <f>+'20 Year Trend'!F143</f>
        <v>30</v>
      </c>
      <c r="Y143" s="327">
        <f>+'20 Year Trend'!G143</f>
        <v>1</v>
      </c>
      <c r="Z143" s="328">
        <f>+'20 Year Trend'!H143</f>
        <v>83262836.170091212</v>
      </c>
    </row>
    <row r="144" spans="1:26" x14ac:dyDescent="0.3">
      <c r="A144" s="323">
        <f>+'Purchased Power Model '!A144</f>
        <v>41913</v>
      </c>
      <c r="B144" s="330"/>
      <c r="C144" s="325">
        <f>+'Purchased Power Model '!C144</f>
        <v>216.29999999999998</v>
      </c>
      <c r="D144" s="325">
        <f>+'Purchased Power Model '!D144</f>
        <v>0.5</v>
      </c>
      <c r="E144" s="326">
        <f>+'Purchased Power Model '!E144</f>
        <v>6.9000000000000006E-2</v>
      </c>
      <c r="F144" s="327">
        <f>+'Purchased Power Model '!F144</f>
        <v>31</v>
      </c>
      <c r="G144" s="327">
        <f>+'Purchased Power Model '!G144</f>
        <v>1</v>
      </c>
      <c r="H144" s="328">
        <f>+'Purchased Power Model '!H144</f>
        <v>89399588.563992992</v>
      </c>
      <c r="J144" s="323">
        <f>+'10 Year Average'!A144</f>
        <v>41913</v>
      </c>
      <c r="K144" s="330"/>
      <c r="L144" s="325">
        <f>+'10 Year Average'!C144</f>
        <v>216.29999999999998</v>
      </c>
      <c r="M144" s="325">
        <f>+'10 Year Average'!D144</f>
        <v>0.5</v>
      </c>
      <c r="N144" s="326">
        <f>+'10 Year Average'!E144</f>
        <v>6.9000000000000006E-2</v>
      </c>
      <c r="O144" s="327">
        <f>+'10 Year Average'!F144</f>
        <v>31</v>
      </c>
      <c r="P144" s="327">
        <f>+'10 Year Average'!G144</f>
        <v>1</v>
      </c>
      <c r="Q144" s="328">
        <f>+'10 Year Average'!H144</f>
        <v>89399588.563992992</v>
      </c>
      <c r="S144" s="323">
        <f>+'20 Year Trend'!A144</f>
        <v>41913</v>
      </c>
      <c r="T144" s="330"/>
      <c r="U144" s="325">
        <f>+'20 Year Trend'!C144</f>
        <v>216.29999999999998</v>
      </c>
      <c r="V144" s="325">
        <f>+'20 Year Trend'!D144</f>
        <v>0.5</v>
      </c>
      <c r="W144" s="326">
        <f>+'20 Year Trend'!E144</f>
        <v>6.9000000000000006E-2</v>
      </c>
      <c r="X144" s="327">
        <f>+'20 Year Trend'!F144</f>
        <v>31</v>
      </c>
      <c r="Y144" s="327">
        <f>+'20 Year Trend'!G144</f>
        <v>1</v>
      </c>
      <c r="Z144" s="328">
        <f>+'20 Year Trend'!H144</f>
        <v>89399588.563992992</v>
      </c>
    </row>
    <row r="145" spans="1:26" x14ac:dyDescent="0.3">
      <c r="A145" s="323">
        <f>+'Purchased Power Model '!A145</f>
        <v>41944</v>
      </c>
      <c r="B145" s="330"/>
      <c r="C145" s="325">
        <f>+'Purchased Power Model '!C145</f>
        <v>407.30000000000013</v>
      </c>
      <c r="D145" s="325">
        <f>+'Purchased Power Model '!D145</f>
        <v>0</v>
      </c>
      <c r="E145" s="326">
        <f>+'Purchased Power Model '!E145</f>
        <v>6.9000000000000006E-2</v>
      </c>
      <c r="F145" s="327">
        <f>+'Purchased Power Model '!F145</f>
        <v>30</v>
      </c>
      <c r="G145" s="327">
        <f>+'Purchased Power Model '!G145</f>
        <v>1</v>
      </c>
      <c r="H145" s="328">
        <f>+'Purchased Power Model '!H145</f>
        <v>94284555.040877089</v>
      </c>
      <c r="J145" s="323">
        <f>+'10 Year Average'!A145</f>
        <v>41944</v>
      </c>
      <c r="K145" s="330"/>
      <c r="L145" s="325">
        <f>+'10 Year Average'!C145</f>
        <v>407.30000000000013</v>
      </c>
      <c r="M145" s="325">
        <f>+'10 Year Average'!D145</f>
        <v>0</v>
      </c>
      <c r="N145" s="326">
        <f>+'10 Year Average'!E145</f>
        <v>6.9000000000000006E-2</v>
      </c>
      <c r="O145" s="327">
        <f>+'10 Year Average'!F145</f>
        <v>30</v>
      </c>
      <c r="P145" s="327">
        <f>+'10 Year Average'!G145</f>
        <v>1</v>
      </c>
      <c r="Q145" s="328">
        <f>+'10 Year Average'!H145</f>
        <v>94284555.040877089</v>
      </c>
      <c r="S145" s="323">
        <f>+'20 Year Trend'!A145</f>
        <v>41944</v>
      </c>
      <c r="T145" s="330"/>
      <c r="U145" s="325">
        <f>+'20 Year Trend'!C145</f>
        <v>407.30000000000013</v>
      </c>
      <c r="V145" s="325">
        <f>+'20 Year Trend'!D145</f>
        <v>0</v>
      </c>
      <c r="W145" s="326">
        <f>+'20 Year Trend'!E145</f>
        <v>6.9000000000000006E-2</v>
      </c>
      <c r="X145" s="327">
        <f>+'20 Year Trend'!F145</f>
        <v>30</v>
      </c>
      <c r="Y145" s="327">
        <f>+'20 Year Trend'!G145</f>
        <v>1</v>
      </c>
      <c r="Z145" s="328">
        <f>+'20 Year Trend'!H145</f>
        <v>94284555.040877089</v>
      </c>
    </row>
    <row r="146" spans="1:26" x14ac:dyDescent="0.3">
      <c r="A146" s="323">
        <f>+'Purchased Power Model '!A146</f>
        <v>41974</v>
      </c>
      <c r="B146" s="330"/>
      <c r="C146" s="325">
        <f>+'Purchased Power Model '!C146</f>
        <v>551.79999999999995</v>
      </c>
      <c r="D146" s="325">
        <f>+'Purchased Power Model '!D146</f>
        <v>0</v>
      </c>
      <c r="E146" s="326">
        <f>+'Purchased Power Model '!E146</f>
        <v>6.9000000000000006E-2</v>
      </c>
      <c r="F146" s="327">
        <f>+'Purchased Power Model '!F146</f>
        <v>31</v>
      </c>
      <c r="G146" s="327">
        <f>+'Purchased Power Model '!G146</f>
        <v>0</v>
      </c>
      <c r="H146" s="328">
        <f>+'Purchased Power Model '!H146</f>
        <v>110017561.07139911</v>
      </c>
      <c r="J146" s="323">
        <f>+'10 Year Average'!A146</f>
        <v>41974</v>
      </c>
      <c r="K146" s="330"/>
      <c r="L146" s="325">
        <f>+'10 Year Average'!C146</f>
        <v>551.79999999999995</v>
      </c>
      <c r="M146" s="325">
        <f>+'10 Year Average'!D146</f>
        <v>0</v>
      </c>
      <c r="N146" s="326">
        <f>+'10 Year Average'!E146</f>
        <v>6.9000000000000006E-2</v>
      </c>
      <c r="O146" s="327">
        <f>+'10 Year Average'!F146</f>
        <v>31</v>
      </c>
      <c r="P146" s="327">
        <f>+'10 Year Average'!G146</f>
        <v>0</v>
      </c>
      <c r="Q146" s="328">
        <f>+'10 Year Average'!H146</f>
        <v>110017561.07139911</v>
      </c>
      <c r="S146" s="323">
        <f>+'20 Year Trend'!A146</f>
        <v>41974</v>
      </c>
      <c r="T146" s="330"/>
      <c r="U146" s="325">
        <f>+'20 Year Trend'!C146</f>
        <v>551.79999999999995</v>
      </c>
      <c r="V146" s="325">
        <f>+'20 Year Trend'!D146</f>
        <v>0</v>
      </c>
      <c r="W146" s="326">
        <f>+'20 Year Trend'!E146</f>
        <v>6.9000000000000006E-2</v>
      </c>
      <c r="X146" s="327">
        <f>+'20 Year Trend'!F146</f>
        <v>31</v>
      </c>
      <c r="Y146" s="327">
        <f>+'20 Year Trend'!G146</f>
        <v>0</v>
      </c>
      <c r="Z146" s="328">
        <f>+'20 Year Trend'!H146</f>
        <v>110017561.07139911</v>
      </c>
    </row>
    <row r="147" spans="1:26" x14ac:dyDescent="0.3">
      <c r="A147" s="323">
        <f>+'Purchased Power Model '!A147</f>
        <v>42005</v>
      </c>
      <c r="B147" s="330"/>
      <c r="C147" s="325">
        <f>+'Purchased Power Model '!C147</f>
        <v>665.29813270224599</v>
      </c>
      <c r="D147" s="325">
        <f ca="1">+'Purchased Power Model '!D147</f>
        <v>0</v>
      </c>
      <c r="E147" s="326">
        <f>+'Purchased Power Model '!E147</f>
        <v>7.4999869999999996E-2</v>
      </c>
      <c r="F147" s="327">
        <f>+'Purchased Power Model '!F147</f>
        <v>31</v>
      </c>
      <c r="G147" s="327">
        <f>+'Purchased Power Model '!G147</f>
        <v>0</v>
      </c>
      <c r="H147" s="328">
        <f ca="1">+'Purchased Power Model '!H147</f>
        <v>113903386.15495181</v>
      </c>
      <c r="J147" s="323">
        <f>+'10 Year Average'!A147</f>
        <v>42005</v>
      </c>
      <c r="K147" s="330"/>
      <c r="L147" s="325">
        <f>+'10 Year Average'!C147</f>
        <v>711.94424771634988</v>
      </c>
      <c r="M147" s="325">
        <f>+'10 Year Average'!D147</f>
        <v>0</v>
      </c>
      <c r="N147" s="326">
        <f>+'10 Year Average'!E147</f>
        <v>7.4999869999999996E-2</v>
      </c>
      <c r="O147" s="327">
        <f>+'10 Year Average'!F147</f>
        <v>31</v>
      </c>
      <c r="P147" s="327">
        <f>+'10 Year Average'!G147</f>
        <v>0</v>
      </c>
      <c r="Q147" s="328">
        <f>+'10 Year Average'!H147</f>
        <v>115800248.65172899</v>
      </c>
      <c r="S147" s="323">
        <f>+'20 Year Trend'!A147</f>
        <v>42005</v>
      </c>
      <c r="T147" s="330"/>
      <c r="U147" s="325">
        <f>+'20 Year Trend'!C147</f>
        <v>650.1643613658066</v>
      </c>
      <c r="V147" s="325">
        <f>+'20 Year Trend'!D147</f>
        <v>0</v>
      </c>
      <c r="W147" s="326">
        <f>+'20 Year Trend'!E147</f>
        <v>7.4999869999999996E-2</v>
      </c>
      <c r="X147" s="327">
        <f>+'20 Year Trend'!F147</f>
        <v>31</v>
      </c>
      <c r="Y147" s="327">
        <f>+'20 Year Trend'!G147</f>
        <v>0</v>
      </c>
      <c r="Z147" s="328">
        <f>+'20 Year Trend'!H147</f>
        <v>113287971.91789877</v>
      </c>
    </row>
    <row r="148" spans="1:26" x14ac:dyDescent="0.3">
      <c r="A148" s="323">
        <f>+'Purchased Power Model '!A148</f>
        <v>42036</v>
      </c>
      <c r="B148" s="330"/>
      <c r="C148" s="325">
        <f>+'Purchased Power Model '!C148</f>
        <v>595.90459610702271</v>
      </c>
      <c r="D148" s="325">
        <f ca="1">+'Purchased Power Model '!D148</f>
        <v>0</v>
      </c>
      <c r="E148" s="326">
        <f>+'Purchased Power Model '!E148</f>
        <v>7.4999869999999996E-2</v>
      </c>
      <c r="F148" s="327">
        <f>+'Purchased Power Model '!F148</f>
        <v>28</v>
      </c>
      <c r="G148" s="327">
        <f>+'Purchased Power Model '!G148</f>
        <v>0</v>
      </c>
      <c r="H148" s="328">
        <f ca="1">+'Purchased Power Model '!H148</f>
        <v>102651699.33879927</v>
      </c>
      <c r="J148" s="323">
        <f>+'10 Year Average'!A148</f>
        <v>42036</v>
      </c>
      <c r="K148" s="330"/>
      <c r="L148" s="325">
        <f>+'10 Year Average'!C148</f>
        <v>637.68531509767968</v>
      </c>
      <c r="M148" s="325">
        <f>+'10 Year Average'!D148</f>
        <v>0</v>
      </c>
      <c r="N148" s="326">
        <f>+'10 Year Average'!E148</f>
        <v>7.4999869999999996E-2</v>
      </c>
      <c r="O148" s="327">
        <f>+'10 Year Average'!F148</f>
        <v>28</v>
      </c>
      <c r="P148" s="327">
        <f>+'10 Year Average'!G148</f>
        <v>0</v>
      </c>
      <c r="Q148" s="328">
        <f>+'10 Year Average'!H148</f>
        <v>104350710.6909301</v>
      </c>
      <c r="S148" s="323">
        <f>+'20 Year Trend'!A148</f>
        <v>42036</v>
      </c>
      <c r="T148" s="330"/>
      <c r="U148" s="325">
        <f>+'20 Year Trend'!C148</f>
        <v>582.34934402899967</v>
      </c>
      <c r="V148" s="325">
        <f>+'20 Year Trend'!D148</f>
        <v>0</v>
      </c>
      <c r="W148" s="326">
        <f>+'20 Year Trend'!E148</f>
        <v>7.4999869999999996E-2</v>
      </c>
      <c r="X148" s="327">
        <f>+'20 Year Trend'!F148</f>
        <v>28</v>
      </c>
      <c r="Y148" s="327">
        <f>+'20 Year Trend'!G148</f>
        <v>0</v>
      </c>
      <c r="Z148" s="328">
        <f>+'20 Year Trend'!H148</f>
        <v>102100475.5274832</v>
      </c>
    </row>
    <row r="149" spans="1:26" x14ac:dyDescent="0.3">
      <c r="A149" s="323">
        <f>+'Purchased Power Model '!A149</f>
        <v>42064</v>
      </c>
      <c r="B149" s="330"/>
      <c r="C149" s="325">
        <f>+'Purchased Power Model '!C149</f>
        <v>584.77747836832327</v>
      </c>
      <c r="D149" s="325">
        <f ca="1">+'Purchased Power Model '!D149</f>
        <v>0</v>
      </c>
      <c r="E149" s="326">
        <f>+'Purchased Power Model '!E149</f>
        <v>7.4999869999999996E-2</v>
      </c>
      <c r="F149" s="327">
        <f>+'Purchased Power Model '!F149</f>
        <v>31</v>
      </c>
      <c r="G149" s="327">
        <f>+'Purchased Power Model '!G149</f>
        <v>1</v>
      </c>
      <c r="H149" s="328">
        <f ca="1">+'Purchased Power Model '!H149</f>
        <v>103582031.54921056</v>
      </c>
      <c r="J149" s="323">
        <f>+'10 Year Average'!A149</f>
        <v>42064</v>
      </c>
      <c r="K149" s="330"/>
      <c r="L149" s="325">
        <f>+'10 Year Average'!C149</f>
        <v>625.77804063178985</v>
      </c>
      <c r="M149" s="325">
        <f>+'10 Year Average'!D149</f>
        <v>0</v>
      </c>
      <c r="N149" s="326">
        <f>+'10 Year Average'!E149</f>
        <v>7.4999869999999996E-2</v>
      </c>
      <c r="O149" s="327">
        <f>+'10 Year Average'!F149</f>
        <v>31</v>
      </c>
      <c r="P149" s="327">
        <f>+'10 Year Average'!G149</f>
        <v>1</v>
      </c>
      <c r="Q149" s="328">
        <f>+'10 Year Average'!H149</f>
        <v>105249317.857638</v>
      </c>
      <c r="S149" s="323">
        <f>+'20 Year Trend'!A149</f>
        <v>42064</v>
      </c>
      <c r="T149" s="330"/>
      <c r="U149" s="325">
        <f>+'20 Year Trend'!C149</f>
        <v>571.47533876306056</v>
      </c>
      <c r="V149" s="325">
        <f>+'20 Year Trend'!D149</f>
        <v>0</v>
      </c>
      <c r="W149" s="326">
        <f>+'20 Year Trend'!E149</f>
        <v>7.4999869999999996E-2</v>
      </c>
      <c r="X149" s="327">
        <f>+'20 Year Trend'!F149</f>
        <v>31</v>
      </c>
      <c r="Y149" s="327">
        <f>+'20 Year Trend'!G149</f>
        <v>1</v>
      </c>
      <c r="Z149" s="328">
        <f>+'20 Year Trend'!H149</f>
        <v>103041100.54699337</v>
      </c>
    </row>
    <row r="150" spans="1:26" x14ac:dyDescent="0.3">
      <c r="A150" s="323">
        <f>+'Purchased Power Model '!A150</f>
        <v>42095</v>
      </c>
      <c r="B150" s="330"/>
      <c r="C150" s="325">
        <f>+'Purchased Power Model '!C150</f>
        <v>320.27122607590286</v>
      </c>
      <c r="D150" s="325">
        <f ca="1">+'Purchased Power Model '!D150</f>
        <v>0</v>
      </c>
      <c r="E150" s="326">
        <f>+'Purchased Power Model '!E150</f>
        <v>7.3999759999999998E-2</v>
      </c>
      <c r="F150" s="327">
        <f>+'Purchased Power Model '!F150</f>
        <v>30</v>
      </c>
      <c r="G150" s="327">
        <f>+'Purchased Power Model '!G150</f>
        <v>1</v>
      </c>
      <c r="H150" s="328">
        <f ca="1">+'Purchased Power Model '!H150</f>
        <v>90137572.449656665</v>
      </c>
      <c r="J150" s="323">
        <f>+'10 Year Average'!A150</f>
        <v>42095</v>
      </c>
      <c r="K150" s="330"/>
      <c r="L150" s="325">
        <f>+'10 Year Average'!C150</f>
        <v>342.72643482053763</v>
      </c>
      <c r="M150" s="325">
        <f>+'10 Year Average'!D150</f>
        <v>0</v>
      </c>
      <c r="N150" s="326">
        <f>+'10 Year Average'!E150</f>
        <v>7.3999759999999998E-2</v>
      </c>
      <c r="O150" s="327">
        <f>+'10 Year Average'!F150</f>
        <v>30</v>
      </c>
      <c r="P150" s="327">
        <f>+'10 Year Average'!G150</f>
        <v>1</v>
      </c>
      <c r="Q150" s="328">
        <f>+'10 Year Average'!H150</f>
        <v>91050712.661057368</v>
      </c>
      <c r="S150" s="323">
        <f>+'20 Year Trend'!A150</f>
        <v>42095</v>
      </c>
      <c r="T150" s="330"/>
      <c r="U150" s="325">
        <f>+'20 Year Trend'!C150</f>
        <v>312.98590350722668</v>
      </c>
      <c r="V150" s="325">
        <f>+'20 Year Trend'!D150</f>
        <v>0</v>
      </c>
      <c r="W150" s="326">
        <f>+'20 Year Trend'!E150</f>
        <v>7.3999759999999998E-2</v>
      </c>
      <c r="X150" s="327">
        <f>+'20 Year Trend'!F150</f>
        <v>30</v>
      </c>
      <c r="Y150" s="327">
        <f>+'20 Year Trend'!G150</f>
        <v>1</v>
      </c>
      <c r="Z150" s="328">
        <f>+'20 Year Trend'!H150</f>
        <v>89841315.083887443</v>
      </c>
    </row>
    <row r="151" spans="1:26" x14ac:dyDescent="0.3">
      <c r="A151" s="323">
        <f>+'Purchased Power Model '!A151</f>
        <v>42125</v>
      </c>
      <c r="B151" s="330"/>
      <c r="C151" s="325">
        <f>+'Purchased Power Model '!C151</f>
        <v>138.4420462838201</v>
      </c>
      <c r="D151" s="325">
        <f ca="1">+'Purchased Power Model '!D151</f>
        <v>1.8457952405410045</v>
      </c>
      <c r="E151" s="326">
        <f>+'Purchased Power Model '!E151</f>
        <v>7.3999759999999998E-2</v>
      </c>
      <c r="F151" s="327">
        <f>+'Purchased Power Model '!F151</f>
        <v>31</v>
      </c>
      <c r="G151" s="327">
        <f>+'Purchased Power Model '!G151</f>
        <v>1</v>
      </c>
      <c r="H151" s="328">
        <f ca="1">+'Purchased Power Model '!H151</f>
        <v>85819620.924358189</v>
      </c>
      <c r="J151" s="323">
        <f>+'10 Year Average'!A151</f>
        <v>42125</v>
      </c>
      <c r="K151" s="330"/>
      <c r="L151" s="325">
        <f>+'10 Year Average'!C151</f>
        <v>148.14864742444462</v>
      </c>
      <c r="M151" s="325">
        <f>+'10 Year Average'!D151</f>
        <v>1.6991073446327658</v>
      </c>
      <c r="N151" s="326">
        <f>+'10 Year Average'!E151</f>
        <v>7.3999759999999998E-2</v>
      </c>
      <c r="O151" s="327">
        <f>+'10 Year Average'!F151</f>
        <v>31</v>
      </c>
      <c r="P151" s="327">
        <f>+'10 Year Average'!G151</f>
        <v>1</v>
      </c>
      <c r="Q151" s="328">
        <f>+'10 Year Average'!H151</f>
        <v>86193184.892613977</v>
      </c>
      <c r="S151" s="323">
        <f>+'20 Year Trend'!A151</f>
        <v>42125</v>
      </c>
      <c r="T151" s="330"/>
      <c r="U151" s="325">
        <f>+'20 Year Trend'!C151</f>
        <v>135.29285621575511</v>
      </c>
      <c r="V151" s="325">
        <f>+'20 Year Trend'!D151</f>
        <v>1.8207074041034785</v>
      </c>
      <c r="W151" s="326">
        <f>+'20 Year Trend'!E151</f>
        <v>7.3999759999999998E-2</v>
      </c>
      <c r="X151" s="327">
        <f>+'20 Year Trend'!F151</f>
        <v>31</v>
      </c>
      <c r="Y151" s="327">
        <f>+'20 Year Trend'!G151</f>
        <v>1</v>
      </c>
      <c r="Z151" s="328">
        <f>+'20 Year Trend'!H151</f>
        <v>85687941.186766431</v>
      </c>
    </row>
    <row r="152" spans="1:26" x14ac:dyDescent="0.3">
      <c r="A152" s="323">
        <f>+'Purchased Power Model '!A152</f>
        <v>42156</v>
      </c>
      <c r="B152" s="330"/>
      <c r="C152" s="325">
        <f>+'Purchased Power Model '!C152</f>
        <v>23.203059470621568</v>
      </c>
      <c r="D152" s="325">
        <f ca="1">+'Purchased Power Model '!D152</f>
        <v>56.93568395822637</v>
      </c>
      <c r="E152" s="326">
        <f>+'Purchased Power Model '!E152</f>
        <v>7.3999759999999998E-2</v>
      </c>
      <c r="F152" s="327">
        <f>+'Purchased Power Model '!F152</f>
        <v>30</v>
      </c>
      <c r="G152" s="327">
        <f>+'Purchased Power Model '!G152</f>
        <v>0</v>
      </c>
      <c r="H152" s="328">
        <f ca="1">+'Purchased Power Model '!H152</f>
        <v>93315273.135521039</v>
      </c>
      <c r="J152" s="323">
        <f>+'10 Year Average'!A152</f>
        <v>42156</v>
      </c>
      <c r="K152" s="330"/>
      <c r="L152" s="325">
        <f>+'10 Year Average'!C152</f>
        <v>24.829897917243372</v>
      </c>
      <c r="M152" s="325">
        <f>+'10 Year Average'!D152</f>
        <v>52.410926553672233</v>
      </c>
      <c r="N152" s="326">
        <f>+'10 Year Average'!E152</f>
        <v>7.3999759999999998E-2</v>
      </c>
      <c r="O152" s="327">
        <f>+'10 Year Average'!F152</f>
        <v>30</v>
      </c>
      <c r="P152" s="327">
        <f>+'10 Year Average'!G152</f>
        <v>0</v>
      </c>
      <c r="Q152" s="328">
        <f>+'10 Year Average'!H152</f>
        <v>92728890.451569825</v>
      </c>
      <c r="S152" s="323">
        <f>+'20 Year Trend'!A152</f>
        <v>42156</v>
      </c>
      <c r="T152" s="330"/>
      <c r="U152" s="325">
        <f>+'20 Year Trend'!C152</f>
        <v>22.675251290989493</v>
      </c>
      <c r="V152" s="325">
        <f>+'20 Year Trend'!D152</f>
        <v>56.1618206958073</v>
      </c>
      <c r="W152" s="326">
        <f>+'20 Year Trend'!E152</f>
        <v>7.3999759999999998E-2</v>
      </c>
      <c r="X152" s="327">
        <f>+'20 Year Trend'!F152</f>
        <v>30</v>
      </c>
      <c r="Y152" s="327">
        <f>+'20 Year Trend'!G152</f>
        <v>0</v>
      </c>
      <c r="Z152" s="328">
        <f>+'20 Year Trend'!H152</f>
        <v>93182207.125262842</v>
      </c>
    </row>
    <row r="153" spans="1:26" x14ac:dyDescent="0.3">
      <c r="A153" s="323">
        <f>+'Purchased Power Model '!A153</f>
        <v>42186</v>
      </c>
      <c r="B153" s="330"/>
      <c r="C153" s="325">
        <f>+'Purchased Power Model '!C153</f>
        <v>8.2806457590322324</v>
      </c>
      <c r="D153" s="325">
        <f ca="1">+'Purchased Power Model '!D153</f>
        <v>77.523400102722178</v>
      </c>
      <c r="E153" s="326">
        <f>+'Purchased Power Model '!E153</f>
        <v>7.4000269999999993E-2</v>
      </c>
      <c r="F153" s="327">
        <f>+'Purchased Power Model '!F153</f>
        <v>31</v>
      </c>
      <c r="G153" s="327">
        <f>+'Purchased Power Model '!G153</f>
        <v>0</v>
      </c>
      <c r="H153" s="328">
        <f ca="1">+'Purchased Power Model '!H153</f>
        <v>98487383.517799079</v>
      </c>
      <c r="J153" s="323">
        <f>+'10 Year Average'!A153</f>
        <v>42186</v>
      </c>
      <c r="K153" s="330"/>
      <c r="L153" s="325">
        <f>+'10 Year Average'!C153</f>
        <v>8.8612275094994928</v>
      </c>
      <c r="M153" s="325">
        <f>+'10 Year Average'!D153</f>
        <v>71.362508474576146</v>
      </c>
      <c r="N153" s="326">
        <f>+'10 Year Average'!E153</f>
        <v>7.4000269999999993E-2</v>
      </c>
      <c r="O153" s="327">
        <f>+'10 Year Average'!F153</f>
        <v>31</v>
      </c>
      <c r="P153" s="327">
        <f>+'10 Year Average'!G153</f>
        <v>0</v>
      </c>
      <c r="Q153" s="328">
        <f>+'10 Year Average'!H153</f>
        <v>97622499.705084622</v>
      </c>
      <c r="S153" s="323">
        <f>+'20 Year Trend'!A153</f>
        <v>42186</v>
      </c>
      <c r="T153" s="330"/>
      <c r="U153" s="325">
        <f>+'20 Year Trend'!C153</f>
        <v>8.0922829886059144</v>
      </c>
      <c r="V153" s="325">
        <f>+'20 Year Trend'!D153</f>
        <v>76.469710972346093</v>
      </c>
      <c r="W153" s="326">
        <f>+'20 Year Trend'!E153</f>
        <v>7.4000269999999993E-2</v>
      </c>
      <c r="X153" s="327">
        <f>+'20 Year Trend'!F153</f>
        <v>31</v>
      </c>
      <c r="Y153" s="327">
        <f>+'20 Year Trend'!G153</f>
        <v>0</v>
      </c>
      <c r="Z153" s="328">
        <f>+'20 Year Trend'!H153</f>
        <v>98327765.947345272</v>
      </c>
    </row>
    <row r="154" spans="1:26" x14ac:dyDescent="0.3">
      <c r="A154" s="323">
        <f>+'Purchased Power Model '!A154</f>
        <v>42217</v>
      </c>
      <c r="B154" s="330"/>
      <c r="C154" s="325">
        <f>+'Purchased Power Model '!C154</f>
        <v>10.954604285386392</v>
      </c>
      <c r="D154" s="325">
        <f ca="1">+'Purchased Power Model '!D154</f>
        <v>82.350864577983273</v>
      </c>
      <c r="E154" s="326">
        <f>+'Purchased Power Model '!E154</f>
        <v>7.4000269999999993E-2</v>
      </c>
      <c r="F154" s="327">
        <f>+'Purchased Power Model '!F154</f>
        <v>31</v>
      </c>
      <c r="G154" s="327">
        <f>+'Purchased Power Model '!G154</f>
        <v>0</v>
      </c>
      <c r="H154" s="328">
        <f ca="1">+'Purchased Power Model '!H154</f>
        <v>99292312.855569094</v>
      </c>
      <c r="J154" s="323">
        <f>+'10 Year Average'!A154</f>
        <v>42217</v>
      </c>
      <c r="K154" s="330"/>
      <c r="L154" s="325">
        <f>+'10 Year Average'!C154</f>
        <v>11.722665559442037</v>
      </c>
      <c r="M154" s="325">
        <f>+'10 Year Average'!D154</f>
        <v>75.806327683615692</v>
      </c>
      <c r="N154" s="326">
        <f>+'10 Year Average'!E154</f>
        <v>7.4000269999999993E-2</v>
      </c>
      <c r="O154" s="327">
        <f>+'10 Year Average'!F154</f>
        <v>31</v>
      </c>
      <c r="P154" s="327">
        <f>+'10 Year Average'!G154</f>
        <v>0</v>
      </c>
      <c r="Q154" s="328">
        <f>+'10 Year Average'!H154</f>
        <v>98379725.47844696</v>
      </c>
      <c r="S154" s="323">
        <f>+'20 Year Trend'!A154</f>
        <v>42217</v>
      </c>
      <c r="T154" s="330"/>
      <c r="U154" s="325">
        <f>+'20 Year Trend'!C154</f>
        <v>10.705416037009909</v>
      </c>
      <c r="V154" s="325">
        <f>+'20 Year Trend'!D154</f>
        <v>81.231561106155198</v>
      </c>
      <c r="W154" s="326">
        <f>+'20 Year Trend'!E154</f>
        <v>7.4000269999999993E-2</v>
      </c>
      <c r="X154" s="327">
        <f>+'20 Year Trend'!F154</f>
        <v>31</v>
      </c>
      <c r="Y154" s="327">
        <f>+'20 Year Trend'!G154</f>
        <v>0</v>
      </c>
      <c r="Z154" s="328">
        <f>+'20 Year Trend'!H154</f>
        <v>99120759.245391279</v>
      </c>
    </row>
    <row r="155" spans="1:26" x14ac:dyDescent="0.3">
      <c r="A155" s="323">
        <f>+'Purchased Power Model '!A155</f>
        <v>42248</v>
      </c>
      <c r="B155" s="330"/>
      <c r="C155" s="325">
        <f>+'Purchased Power Model '!C155</f>
        <v>66.76270643219739</v>
      </c>
      <c r="D155" s="325">
        <f ca="1">+'Purchased Power Model '!D155</f>
        <v>31.946456086286616</v>
      </c>
      <c r="E155" s="326">
        <f>+'Purchased Power Model '!E155</f>
        <v>7.4000269999999993E-2</v>
      </c>
      <c r="F155" s="327">
        <f>+'Purchased Power Model '!F155</f>
        <v>30</v>
      </c>
      <c r="G155" s="327">
        <f>+'Purchased Power Model '!G155</f>
        <v>1</v>
      </c>
      <c r="H155" s="328">
        <f ca="1">+'Purchased Power Model '!H155</f>
        <v>84435755.105749264</v>
      </c>
      <c r="J155" s="323">
        <f>+'10 Year Average'!A155</f>
        <v>42248</v>
      </c>
      <c r="K155" s="330"/>
      <c r="L155" s="325">
        <f>+'10 Year Average'!C155</f>
        <v>71.443646795339674</v>
      </c>
      <c r="M155" s="325">
        <f>+'10 Year Average'!D155</f>
        <v>29.407627118644019</v>
      </c>
      <c r="N155" s="326">
        <f>+'10 Year Average'!E155</f>
        <v>7.4000269999999993E-2</v>
      </c>
      <c r="O155" s="327">
        <f>+'10 Year Average'!F155</f>
        <v>30</v>
      </c>
      <c r="P155" s="327">
        <f>+'10 Year Average'!G155</f>
        <v>1</v>
      </c>
      <c r="Q155" s="328">
        <f>+'10 Year Average'!H155</f>
        <v>84259968.081885755</v>
      </c>
      <c r="S155" s="323">
        <f>+'20 Year Trend'!A155</f>
        <v>42248</v>
      </c>
      <c r="T155" s="330"/>
      <c r="U155" s="325">
        <f>+'20 Year Trend'!C155</f>
        <v>65.244031595635207</v>
      </c>
      <c r="V155" s="325">
        <f>+'20 Year Trend'!D155</f>
        <v>31.512243532560205</v>
      </c>
      <c r="W155" s="326">
        <f>+'20 Year Trend'!E155</f>
        <v>7.4000269999999993E-2</v>
      </c>
      <c r="X155" s="327">
        <f>+'20 Year Trend'!F155</f>
        <v>30</v>
      </c>
      <c r="Y155" s="327">
        <f>+'20 Year Trend'!G155</f>
        <v>1</v>
      </c>
      <c r="Z155" s="328">
        <f>+'20 Year Trend'!H155</f>
        <v>84311378.276344165</v>
      </c>
    </row>
    <row r="156" spans="1:26" x14ac:dyDescent="0.3">
      <c r="A156" s="323">
        <f>+'Purchased Power Model '!A156</f>
        <v>42278</v>
      </c>
      <c r="B156" s="330"/>
      <c r="C156" s="325">
        <f>+'Purchased Power Model '!C156</f>
        <v>186.57329975819502</v>
      </c>
      <c r="D156" s="325">
        <f ca="1">+'Purchased Power Model '!D156</f>
        <v>0.70992124636192477</v>
      </c>
      <c r="E156" s="326">
        <f>+'Purchased Power Model '!E156</f>
        <v>7.8999810000000004E-2</v>
      </c>
      <c r="F156" s="327">
        <f>+'Purchased Power Model '!F156</f>
        <v>31</v>
      </c>
      <c r="G156" s="327">
        <f>+'Purchased Power Model '!G156</f>
        <v>1</v>
      </c>
      <c r="H156" s="328">
        <f ca="1">+'Purchased Power Model '!H156</f>
        <v>87005070.356576234</v>
      </c>
      <c r="J156" s="323">
        <f>+'10 Year Average'!A156</f>
        <v>42278</v>
      </c>
      <c r="K156" s="330"/>
      <c r="L156" s="325">
        <f>+'10 Year Average'!C156</f>
        <v>199.65453232341045</v>
      </c>
      <c r="M156" s="325">
        <f>+'10 Year Average'!D156</f>
        <v>0.65350282485875599</v>
      </c>
      <c r="N156" s="326">
        <f>+'10 Year Average'!E156</f>
        <v>7.8999810000000004E-2</v>
      </c>
      <c r="O156" s="327">
        <f>+'10 Year Average'!F156</f>
        <v>31</v>
      </c>
      <c r="P156" s="327">
        <f>+'10 Year Average'!G156</f>
        <v>1</v>
      </c>
      <c r="Q156" s="328">
        <f>+'10 Year Average'!H156</f>
        <v>87528881.798258364</v>
      </c>
      <c r="S156" s="323">
        <f>+'20 Year Trend'!A156</f>
        <v>42278</v>
      </c>
      <c r="T156" s="330"/>
      <c r="U156" s="325">
        <f>+'20 Year Trend'!C156</f>
        <v>182.32925108702705</v>
      </c>
      <c r="V156" s="325">
        <f>+'20 Year Trend'!D156</f>
        <v>0.70027207850133788</v>
      </c>
      <c r="W156" s="326">
        <f>+'20 Year Trend'!E156</f>
        <v>7.8999810000000004E-2</v>
      </c>
      <c r="X156" s="327">
        <f>+'20 Year Trend'!F156</f>
        <v>31</v>
      </c>
      <c r="Y156" s="327">
        <f>+'20 Year Trend'!G156</f>
        <v>1</v>
      </c>
      <c r="Z156" s="328">
        <f>+'20 Year Trend'!H156</f>
        <v>86831094.723433688</v>
      </c>
    </row>
    <row r="157" spans="1:26" x14ac:dyDescent="0.3">
      <c r="A157" s="323">
        <f>+'Purchased Power Model '!A157</f>
        <v>42309</v>
      </c>
      <c r="B157" s="330"/>
      <c r="C157" s="325">
        <f>+'Purchased Power Model '!C157</f>
        <v>351.32364767227392</v>
      </c>
      <c r="D157" s="325">
        <f ca="1">+'Purchased Power Model '!D157</f>
        <v>0</v>
      </c>
      <c r="E157" s="326">
        <f>+'Purchased Power Model '!E157</f>
        <v>7.8999810000000004E-2</v>
      </c>
      <c r="F157" s="327">
        <f>+'Purchased Power Model '!F157</f>
        <v>30</v>
      </c>
      <c r="G157" s="327">
        <f>+'Purchased Power Model '!G157</f>
        <v>1</v>
      </c>
      <c r="H157" s="328">
        <f ca="1">+'Purchased Power Model '!H157</f>
        <v>90792321.929545671</v>
      </c>
      <c r="J157" s="323">
        <f>+'10 Year Average'!A157</f>
        <v>42309</v>
      </c>
      <c r="K157" s="330"/>
      <c r="L157" s="325">
        <f>+'10 Year Average'!C157</f>
        <v>375.95603798116093</v>
      </c>
      <c r="M157" s="325">
        <f>+'10 Year Average'!D157</f>
        <v>0</v>
      </c>
      <c r="N157" s="326">
        <f>+'10 Year Average'!E157</f>
        <v>7.8999810000000004E-2</v>
      </c>
      <c r="O157" s="327">
        <f>+'10 Year Average'!F157</f>
        <v>30</v>
      </c>
      <c r="P157" s="327">
        <f>+'10 Year Average'!G157</f>
        <v>1</v>
      </c>
      <c r="Q157" s="328">
        <f>+'10 Year Average'!H157</f>
        <v>91793997.146630257</v>
      </c>
      <c r="S157" s="323">
        <f>+'20 Year Trend'!A157</f>
        <v>42309</v>
      </c>
      <c r="T157" s="330"/>
      <c r="U157" s="325">
        <f>+'20 Year Trend'!C157</f>
        <v>343.33196471449901</v>
      </c>
      <c r="V157" s="325">
        <f>+'20 Year Trend'!D157</f>
        <v>0</v>
      </c>
      <c r="W157" s="326">
        <f>+'20 Year Trend'!E157</f>
        <v>7.8999810000000004E-2</v>
      </c>
      <c r="X157" s="327">
        <f>+'20 Year Trend'!F157</f>
        <v>30</v>
      </c>
      <c r="Y157" s="327">
        <f>+'20 Year Trend'!G157</f>
        <v>1</v>
      </c>
      <c r="Z157" s="328">
        <f>+'20 Year Trend'!H157</f>
        <v>90467340.445360899</v>
      </c>
    </row>
    <row r="158" spans="1:26" x14ac:dyDescent="0.3">
      <c r="A158" s="323">
        <f>+'Purchased Power Model '!A158</f>
        <v>42339</v>
      </c>
      <c r="B158" s="330"/>
      <c r="C158" s="325">
        <f>+'Purchased Power Model '!C158</f>
        <v>475.96461769104019</v>
      </c>
      <c r="D158" s="325">
        <f ca="1">+'Purchased Power Model '!D158</f>
        <v>0</v>
      </c>
      <c r="E158" s="326">
        <f>+'Purchased Power Model '!E158</f>
        <v>7.8999810000000004E-2</v>
      </c>
      <c r="F158" s="327">
        <f>+'Purchased Power Model '!F158</f>
        <v>31</v>
      </c>
      <c r="G158" s="327">
        <f>+'Purchased Power Model '!G158</f>
        <v>0</v>
      </c>
      <c r="H158" s="328">
        <f ca="1">+'Purchased Power Model '!H158</f>
        <v>105717761.25955285</v>
      </c>
      <c r="J158" s="323">
        <f>+'10 Year Average'!A158</f>
        <v>42339</v>
      </c>
      <c r="K158" s="330"/>
      <c r="L158" s="325">
        <f>+'10 Year Average'!C158</f>
        <v>509.3359728897729</v>
      </c>
      <c r="M158" s="325">
        <f>+'10 Year Average'!D158</f>
        <v>0</v>
      </c>
      <c r="N158" s="326">
        <f>+'10 Year Average'!E158</f>
        <v>7.8999810000000004E-2</v>
      </c>
      <c r="O158" s="327">
        <f>+'10 Year Average'!F158</f>
        <v>31</v>
      </c>
      <c r="P158" s="327">
        <f>+'10 Year Average'!G158</f>
        <v>0</v>
      </c>
      <c r="Q158" s="328">
        <f>+'10 Year Average'!H158</f>
        <v>107074806.15222968</v>
      </c>
      <c r="S158" s="323">
        <f>+'20 Year Trend'!A158</f>
        <v>42339</v>
      </c>
      <c r="T158" s="330"/>
      <c r="U158" s="325">
        <f>+'20 Year Trend'!C158</f>
        <v>465.13768261591082</v>
      </c>
      <c r="V158" s="325">
        <f>+'20 Year Trend'!D158</f>
        <v>0</v>
      </c>
      <c r="W158" s="326">
        <f>+'20 Year Trend'!E158</f>
        <v>7.8999810000000004E-2</v>
      </c>
      <c r="X158" s="327">
        <f>+'20 Year Trend'!F158</f>
        <v>31</v>
      </c>
      <c r="Y158" s="327">
        <f>+'20 Year Trend'!G158</f>
        <v>0</v>
      </c>
      <c r="Z158" s="328">
        <f>+'20 Year Trend'!H158</f>
        <v>105277484.35561681</v>
      </c>
    </row>
    <row r="159" spans="1:26" x14ac:dyDescent="0.3">
      <c r="A159" s="323">
        <f>+'Purchased Power Model '!A159</f>
        <v>42370</v>
      </c>
      <c r="B159" s="330"/>
      <c r="C159" s="325">
        <f>+'Purchased Power Model '!C159</f>
        <v>663.68561281945165</v>
      </c>
      <c r="D159" s="325">
        <f ca="1">+'Purchased Power Model '!D159</f>
        <v>0</v>
      </c>
      <c r="E159" s="326">
        <f>+'Purchased Power Model '!E159</f>
        <v>7.2169469999999999E-2</v>
      </c>
      <c r="F159" s="327">
        <f>+'Purchased Power Model '!F159</f>
        <v>31</v>
      </c>
      <c r="G159" s="327">
        <f>+'Purchased Power Model '!G159</f>
        <v>0</v>
      </c>
      <c r="H159" s="328">
        <f ca="1">+'Purchased Power Model '!H159</f>
        <v>114181984.06636372</v>
      </c>
      <c r="J159" s="323">
        <f>+'10 Year Average'!A159</f>
        <v>42370</v>
      </c>
      <c r="K159" s="330"/>
      <c r="L159" s="325">
        <f>+'10 Year Average'!C159</f>
        <v>711.94424771634965</v>
      </c>
      <c r="M159" s="325">
        <f>+'10 Year Average'!D159</f>
        <v>0</v>
      </c>
      <c r="N159" s="326">
        <f>+'10 Year Average'!E159</f>
        <v>7.2169469999999999E-2</v>
      </c>
      <c r="O159" s="327">
        <f>+'10 Year Average'!F159</f>
        <v>31</v>
      </c>
      <c r="P159" s="327">
        <f>+'10 Year Average'!G159</f>
        <v>0</v>
      </c>
      <c r="Q159" s="328">
        <f>+'10 Year Average'!H159</f>
        <v>116144419.62297782</v>
      </c>
      <c r="S159" s="323">
        <f>+'20 Year Trend'!A159</f>
        <v>42370</v>
      </c>
      <c r="T159" s="330"/>
      <c r="U159" s="325">
        <f>+'20 Year Trend'!C159</f>
        <v>650.1643613658066</v>
      </c>
      <c r="V159" s="325">
        <f>+'20 Year Trend'!D159</f>
        <v>0</v>
      </c>
      <c r="W159" s="326">
        <f>+'20 Year Trend'!E159</f>
        <v>7.2169469999999999E-2</v>
      </c>
      <c r="X159" s="327">
        <f>+'20 Year Trend'!F159</f>
        <v>31</v>
      </c>
      <c r="Y159" s="327">
        <f>+'20 Year Trend'!G159</f>
        <v>0</v>
      </c>
      <c r="Z159" s="328">
        <f>+'20 Year Trend'!H159</f>
        <v>113632142.88914761</v>
      </c>
    </row>
    <row r="160" spans="1:26" x14ac:dyDescent="0.3">
      <c r="A160" s="323">
        <f>+'Purchased Power Model '!A160</f>
        <v>42401</v>
      </c>
      <c r="B160" s="330"/>
      <c r="C160" s="325">
        <f>+'Purchased Power Model '!C160</f>
        <v>594.4602691771272</v>
      </c>
      <c r="D160" s="325">
        <f ca="1">+'Purchased Power Model '!D160</f>
        <v>0</v>
      </c>
      <c r="E160" s="326">
        <f>+'Purchased Power Model '!E160</f>
        <v>7.2169469999999999E-2</v>
      </c>
      <c r="F160" s="327">
        <f>+'Purchased Power Model '!F160</f>
        <v>29</v>
      </c>
      <c r="G160" s="327">
        <f>+'Purchased Power Model '!G160</f>
        <v>0</v>
      </c>
      <c r="H160" s="328">
        <f ca="1">+'Purchased Power Model '!H160</f>
        <v>105747070.57161398</v>
      </c>
      <c r="J160" s="323">
        <f>+'10 Year Average'!A160</f>
        <v>42401</v>
      </c>
      <c r="K160" s="330"/>
      <c r="L160" s="325">
        <f>+'10 Year Average'!C160</f>
        <v>637.68531509767956</v>
      </c>
      <c r="M160" s="325">
        <f>+'10 Year Average'!D160</f>
        <v>0</v>
      </c>
      <c r="N160" s="326">
        <f>+'10 Year Average'!E160</f>
        <v>7.2169469999999999E-2</v>
      </c>
      <c r="O160" s="327">
        <f>+'10 Year Average'!F160</f>
        <v>29</v>
      </c>
      <c r="P160" s="327">
        <f>+'10 Year Average'!G160</f>
        <v>0</v>
      </c>
      <c r="Q160" s="328">
        <f>+'10 Year Average'!H160</f>
        <v>107504815.42353523</v>
      </c>
      <c r="S160" s="323">
        <f>+'20 Year Trend'!A160</f>
        <v>42401</v>
      </c>
      <c r="T160" s="330"/>
      <c r="U160" s="325">
        <f>+'20 Year Trend'!C160</f>
        <v>582.34934402899978</v>
      </c>
      <c r="V160" s="325">
        <f>+'20 Year Trend'!D160</f>
        <v>0</v>
      </c>
      <c r="W160" s="326">
        <f>+'20 Year Trend'!E160</f>
        <v>7.2169469999999999E-2</v>
      </c>
      <c r="X160" s="327">
        <f>+'20 Year Trend'!F160</f>
        <v>29</v>
      </c>
      <c r="Y160" s="327">
        <f>+'20 Year Trend'!G160</f>
        <v>0</v>
      </c>
      <c r="Z160" s="328">
        <f>+'20 Year Trend'!H160</f>
        <v>105254580.26008831</v>
      </c>
    </row>
    <row r="161" spans="1:26" x14ac:dyDescent="0.3">
      <c r="A161" s="323">
        <f>+'Purchased Power Model '!A161</f>
        <v>42430</v>
      </c>
      <c r="B161" s="330"/>
      <c r="C161" s="325">
        <f>+'Purchased Power Model '!C161</f>
        <v>583.36012084914728</v>
      </c>
      <c r="D161" s="325">
        <f ca="1">+'Purchased Power Model '!D161</f>
        <v>0</v>
      </c>
      <c r="E161" s="326">
        <f>+'Purchased Power Model '!E161</f>
        <v>7.2169469999999999E-2</v>
      </c>
      <c r="F161" s="327">
        <f>+'Purchased Power Model '!F161</f>
        <v>31</v>
      </c>
      <c r="G161" s="327">
        <f>+'Purchased Power Model '!G161</f>
        <v>1</v>
      </c>
      <c r="H161" s="328">
        <f ca="1">+'Purchased Power Model '!H161</f>
        <v>103868565.7307324</v>
      </c>
      <c r="J161" s="323">
        <f>+'10 Year Average'!A161</f>
        <v>42430</v>
      </c>
      <c r="K161" s="330"/>
      <c r="L161" s="325">
        <f>+'10 Year Average'!C161</f>
        <v>625.77804063178974</v>
      </c>
      <c r="M161" s="325">
        <f>+'10 Year Average'!D161</f>
        <v>0</v>
      </c>
      <c r="N161" s="326">
        <f>+'10 Year Average'!E161</f>
        <v>7.2169469999999999E-2</v>
      </c>
      <c r="O161" s="327">
        <f>+'10 Year Average'!F161</f>
        <v>31</v>
      </c>
      <c r="P161" s="327">
        <f>+'10 Year Average'!G161</f>
        <v>1</v>
      </c>
      <c r="Q161" s="328">
        <f>+'10 Year Average'!H161</f>
        <v>105593488.82888685</v>
      </c>
      <c r="S161" s="323">
        <f>+'20 Year Trend'!A161</f>
        <v>42430</v>
      </c>
      <c r="T161" s="330"/>
      <c r="U161" s="325">
        <f>+'20 Year Trend'!C161</f>
        <v>571.47533876306068</v>
      </c>
      <c r="V161" s="325">
        <f>+'20 Year Trend'!D161</f>
        <v>0</v>
      </c>
      <c r="W161" s="326">
        <f>+'20 Year Trend'!E161</f>
        <v>7.2169469999999999E-2</v>
      </c>
      <c r="X161" s="327">
        <f>+'20 Year Trend'!F161</f>
        <v>31</v>
      </c>
      <c r="Y161" s="327">
        <f>+'20 Year Trend'!G161</f>
        <v>1</v>
      </c>
      <c r="Z161" s="328">
        <f>+'20 Year Trend'!H161</f>
        <v>103385271.51824223</v>
      </c>
    </row>
    <row r="162" spans="1:26" x14ac:dyDescent="0.3">
      <c r="A162" s="323">
        <f>+'Purchased Power Model '!A162</f>
        <v>42461</v>
      </c>
      <c r="B162" s="330"/>
      <c r="C162" s="325">
        <f>+'Purchased Power Model '!C162</f>
        <v>319.49496699061632</v>
      </c>
      <c r="D162" s="325">
        <f ca="1">+'Purchased Power Model '!D162</f>
        <v>0</v>
      </c>
      <c r="E162" s="326">
        <f>+'Purchased Power Model '!E162</f>
        <v>7.1452829999999995E-2</v>
      </c>
      <c r="F162" s="327">
        <f>+'Purchased Power Model '!F162</f>
        <v>30</v>
      </c>
      <c r="G162" s="327">
        <f>+'Purchased Power Model '!G162</f>
        <v>1</v>
      </c>
      <c r="H162" s="328">
        <f ca="1">+'Purchased Power Model '!H162</f>
        <v>90415707.490398541</v>
      </c>
      <c r="J162" s="323">
        <f>+'10 Year Average'!A162</f>
        <v>42461</v>
      </c>
      <c r="K162" s="330"/>
      <c r="L162" s="325">
        <f>+'10 Year Average'!C162</f>
        <v>342.72643482053758</v>
      </c>
      <c r="M162" s="325">
        <f>+'10 Year Average'!D162</f>
        <v>0</v>
      </c>
      <c r="N162" s="326">
        <f>+'10 Year Average'!E162</f>
        <v>7.1452829999999995E-2</v>
      </c>
      <c r="O162" s="327">
        <f>+'10 Year Average'!F162</f>
        <v>30</v>
      </c>
      <c r="P162" s="327">
        <f>+'10 Year Average'!G162</f>
        <v>1</v>
      </c>
      <c r="Q162" s="328">
        <f>+'10 Year Average'!H162</f>
        <v>91360414.248042539</v>
      </c>
      <c r="S162" s="323">
        <f>+'20 Year Trend'!A162</f>
        <v>42461</v>
      </c>
      <c r="T162" s="330"/>
      <c r="U162" s="325">
        <f>+'20 Year Trend'!C162</f>
        <v>312.98590350722668</v>
      </c>
      <c r="V162" s="325">
        <f>+'20 Year Trend'!D162</f>
        <v>0</v>
      </c>
      <c r="W162" s="326">
        <f>+'20 Year Trend'!E162</f>
        <v>7.1452829999999995E-2</v>
      </c>
      <c r="X162" s="327">
        <f>+'20 Year Trend'!F162</f>
        <v>30</v>
      </c>
      <c r="Y162" s="327">
        <f>+'20 Year Trend'!G162</f>
        <v>1</v>
      </c>
      <c r="Z162" s="328">
        <f>+'20 Year Trend'!H162</f>
        <v>90151016.670872614</v>
      </c>
    </row>
    <row r="163" spans="1:26" x14ac:dyDescent="0.3">
      <c r="A163" s="323">
        <f>+'Purchased Power Model '!A163</f>
        <v>42491</v>
      </c>
      <c r="B163" s="330"/>
      <c r="C163" s="325">
        <f>+'Purchased Power Model '!C163</f>
        <v>138.10649663882012</v>
      </c>
      <c r="D163" s="325">
        <f ca="1">+'Purchased Power Model '!D163</f>
        <v>1.8640104434172213</v>
      </c>
      <c r="E163" s="326">
        <f>+'Purchased Power Model '!E163</f>
        <v>7.1452829999999995E-2</v>
      </c>
      <c r="F163" s="327">
        <f>+'Purchased Power Model '!F163</f>
        <v>31</v>
      </c>
      <c r="G163" s="327">
        <f>+'Purchased Power Model '!G163</f>
        <v>1</v>
      </c>
      <c r="H163" s="328">
        <f ca="1">+'Purchased Power Model '!H163</f>
        <v>86118304.303723931</v>
      </c>
      <c r="J163" s="323">
        <f>+'10 Year Average'!A163</f>
        <v>42491</v>
      </c>
      <c r="K163" s="330"/>
      <c r="L163" s="325">
        <f>+'10 Year Average'!C163</f>
        <v>148.14864742444459</v>
      </c>
      <c r="M163" s="325">
        <f>+'10 Year Average'!D163</f>
        <v>1.699107344632766</v>
      </c>
      <c r="N163" s="326">
        <f>+'10 Year Average'!E163</f>
        <v>7.1452829999999995E-2</v>
      </c>
      <c r="O163" s="327">
        <f>+'10 Year Average'!F163</f>
        <v>31</v>
      </c>
      <c r="P163" s="327">
        <f>+'10 Year Average'!G163</f>
        <v>1</v>
      </c>
      <c r="Q163" s="328">
        <f>+'10 Year Average'!H163</f>
        <v>86502886.479599148</v>
      </c>
      <c r="S163" s="323">
        <f>+'20 Year Trend'!A163</f>
        <v>42491</v>
      </c>
      <c r="T163" s="330"/>
      <c r="U163" s="325">
        <f>+'20 Year Trend'!C163</f>
        <v>135.29285621575514</v>
      </c>
      <c r="V163" s="325">
        <f>+'20 Year Trend'!D163</f>
        <v>1.8207074041034785</v>
      </c>
      <c r="W163" s="326">
        <f>+'20 Year Trend'!E163</f>
        <v>7.1452829999999995E-2</v>
      </c>
      <c r="X163" s="327">
        <f>+'20 Year Trend'!F163</f>
        <v>31</v>
      </c>
      <c r="Y163" s="327">
        <f>+'20 Year Trend'!G163</f>
        <v>1</v>
      </c>
      <c r="Z163" s="328">
        <f>+'20 Year Trend'!H163</f>
        <v>85997642.773751602</v>
      </c>
    </row>
    <row r="164" spans="1:26" x14ac:dyDescent="0.3">
      <c r="A164" s="323">
        <f>+'Purchased Power Model '!A164</f>
        <v>42522</v>
      </c>
      <c r="B164" s="330"/>
      <c r="C164" s="325">
        <f>+'Purchased Power Model '!C164</f>
        <v>23.146820931989172</v>
      </c>
      <c r="D164" s="325">
        <f ca="1">+'Purchased Power Model '!D164</f>
        <v>57.497552908485055</v>
      </c>
      <c r="E164" s="326">
        <f>+'Purchased Power Model '!E164</f>
        <v>7.1452829999999995E-2</v>
      </c>
      <c r="F164" s="327">
        <f>+'Purchased Power Model '!F164</f>
        <v>30</v>
      </c>
      <c r="G164" s="327">
        <f>+'Purchased Power Model '!G164</f>
        <v>0</v>
      </c>
      <c r="H164" s="328">
        <f ca="1">+'Purchased Power Model '!H164</f>
        <v>93703717.729849115</v>
      </c>
      <c r="J164" s="323">
        <f>+'10 Year Average'!A164</f>
        <v>42522</v>
      </c>
      <c r="K164" s="330"/>
      <c r="L164" s="325">
        <f>+'10 Year Average'!C164</f>
        <v>24.829897917243368</v>
      </c>
      <c r="M164" s="325">
        <f>+'10 Year Average'!D164</f>
        <v>52.41092655367224</v>
      </c>
      <c r="N164" s="326">
        <f>+'10 Year Average'!E164</f>
        <v>7.1452829999999995E-2</v>
      </c>
      <c r="O164" s="327">
        <f>+'10 Year Average'!F164</f>
        <v>30</v>
      </c>
      <c r="P164" s="327">
        <f>+'10 Year Average'!G164</f>
        <v>0</v>
      </c>
      <c r="Q164" s="328">
        <f>+'10 Year Average'!H164</f>
        <v>93038592.038554996</v>
      </c>
      <c r="S164" s="323">
        <f>+'20 Year Trend'!A164</f>
        <v>42522</v>
      </c>
      <c r="T164" s="330"/>
      <c r="U164" s="325">
        <f>+'20 Year Trend'!C164</f>
        <v>22.675251290989497</v>
      </c>
      <c r="V164" s="325">
        <f>+'20 Year Trend'!D164</f>
        <v>56.1618206958073</v>
      </c>
      <c r="W164" s="326">
        <f>+'20 Year Trend'!E164</f>
        <v>7.1452829999999995E-2</v>
      </c>
      <c r="X164" s="327">
        <f>+'20 Year Trend'!F164</f>
        <v>30</v>
      </c>
      <c r="Y164" s="327">
        <f>+'20 Year Trend'!G164</f>
        <v>0</v>
      </c>
      <c r="Z164" s="328">
        <f>+'20 Year Trend'!H164</f>
        <v>93491908.712248012</v>
      </c>
    </row>
    <row r="165" spans="1:26" x14ac:dyDescent="0.3">
      <c r="A165" s="323">
        <f>+'Purchased Power Model '!A165</f>
        <v>42552</v>
      </c>
      <c r="B165" s="330"/>
      <c r="C165" s="325">
        <f>+'Purchased Power Model '!C165</f>
        <v>8.2605754998920471</v>
      </c>
      <c r="D165" s="325">
        <f ca="1">+'Purchased Power Model '!D165</f>
        <v>78.288438623523277</v>
      </c>
      <c r="E165" s="326">
        <f>+'Purchased Power Model '!E165</f>
        <v>7.064187999999999E-2</v>
      </c>
      <c r="F165" s="327">
        <f>+'Purchased Power Model '!F165</f>
        <v>31</v>
      </c>
      <c r="G165" s="327">
        <f>+'Purchased Power Model '!G165</f>
        <v>0</v>
      </c>
      <c r="H165" s="328">
        <f ca="1">+'Purchased Power Model '!H165</f>
        <v>99005270.909579188</v>
      </c>
      <c r="J165" s="323">
        <f>+'10 Year Average'!A165</f>
        <v>42552</v>
      </c>
      <c r="K165" s="330"/>
      <c r="L165" s="325">
        <f>+'10 Year Average'!C165</f>
        <v>8.861227509499491</v>
      </c>
      <c r="M165" s="325">
        <f>+'10 Year Average'!D165</f>
        <v>71.362508474576146</v>
      </c>
      <c r="N165" s="326">
        <f>+'10 Year Average'!E165</f>
        <v>7.064187999999999E-2</v>
      </c>
      <c r="O165" s="327">
        <f>+'10 Year Average'!F165</f>
        <v>31</v>
      </c>
      <c r="P165" s="327">
        <f>+'10 Year Average'!G165</f>
        <v>0</v>
      </c>
      <c r="Q165" s="328">
        <f>+'10 Year Average'!H165</f>
        <v>98030873.20287025</v>
      </c>
      <c r="S165" s="323">
        <f>+'20 Year Trend'!A165</f>
        <v>42552</v>
      </c>
      <c r="T165" s="330"/>
      <c r="U165" s="325">
        <f>+'20 Year Trend'!C165</f>
        <v>8.0922829886059144</v>
      </c>
      <c r="V165" s="325">
        <f>+'20 Year Trend'!D165</f>
        <v>76.469710972346093</v>
      </c>
      <c r="W165" s="326">
        <f>+'20 Year Trend'!E165</f>
        <v>7.064187999999999E-2</v>
      </c>
      <c r="X165" s="327">
        <f>+'20 Year Trend'!F165</f>
        <v>31</v>
      </c>
      <c r="Y165" s="327">
        <f>+'20 Year Trend'!G165</f>
        <v>0</v>
      </c>
      <c r="Z165" s="328">
        <f>+'20 Year Trend'!H165</f>
        <v>98736139.4451309</v>
      </c>
    </row>
    <row r="166" spans="1:26" x14ac:dyDescent="0.3">
      <c r="A166" s="323">
        <f>+'Purchased Power Model '!A166</f>
        <v>42583</v>
      </c>
      <c r="B166" s="330"/>
      <c r="C166" s="325">
        <f>+'Purchased Power Model '!C166</f>
        <v>10.92805300506552</v>
      </c>
      <c r="D166" s="325">
        <f ca="1">+'Purchased Power Model '!D166</f>
        <v>83.163542860152944</v>
      </c>
      <c r="E166" s="326">
        <f>+'Purchased Power Model '!E166</f>
        <v>7.064187999999999E-2</v>
      </c>
      <c r="F166" s="327">
        <f>+'Purchased Power Model '!F166</f>
        <v>31</v>
      </c>
      <c r="G166" s="327">
        <f>+'Purchased Power Model '!G166</f>
        <v>0</v>
      </c>
      <c r="H166" s="328">
        <f ca="1">+'Purchased Power Model '!H166</f>
        <v>99816807.066302732</v>
      </c>
      <c r="J166" s="323">
        <f>+'10 Year Average'!A166</f>
        <v>42583</v>
      </c>
      <c r="K166" s="330"/>
      <c r="L166" s="325">
        <f>+'10 Year Average'!C166</f>
        <v>11.722665559442033</v>
      </c>
      <c r="M166" s="325">
        <f>+'10 Year Average'!D166</f>
        <v>75.806327683615706</v>
      </c>
      <c r="N166" s="326">
        <f>+'10 Year Average'!E166</f>
        <v>7.064187999999999E-2</v>
      </c>
      <c r="O166" s="327">
        <f>+'10 Year Average'!F166</f>
        <v>31</v>
      </c>
      <c r="P166" s="327">
        <f>+'10 Year Average'!G166</f>
        <v>0</v>
      </c>
      <c r="Q166" s="328">
        <f>+'10 Year Average'!H166</f>
        <v>98788098.976232573</v>
      </c>
      <c r="S166" s="323">
        <f>+'20 Year Trend'!A166</f>
        <v>42583</v>
      </c>
      <c r="T166" s="330"/>
      <c r="U166" s="325">
        <f>+'20 Year Trend'!C166</f>
        <v>10.705416037009911</v>
      </c>
      <c r="V166" s="325">
        <f>+'20 Year Trend'!D166</f>
        <v>81.231561106155198</v>
      </c>
      <c r="W166" s="326">
        <f>+'20 Year Trend'!E166</f>
        <v>7.064187999999999E-2</v>
      </c>
      <c r="X166" s="327">
        <f>+'20 Year Trend'!F166</f>
        <v>31</v>
      </c>
      <c r="Y166" s="327">
        <f>+'20 Year Trend'!G166</f>
        <v>0</v>
      </c>
      <c r="Z166" s="328">
        <f>+'20 Year Trend'!H166</f>
        <v>99529132.743176907</v>
      </c>
    </row>
    <row r="167" spans="1:26" x14ac:dyDescent="0.3">
      <c r="A167" s="323">
        <f>+'Purchased Power Model '!A167</f>
        <v>42614</v>
      </c>
      <c r="B167" s="330"/>
      <c r="C167" s="325">
        <f>+'Purchased Power Model '!C167</f>
        <v>66.600889967879638</v>
      </c>
      <c r="D167" s="325">
        <f ca="1">+'Purchased Power Model '!D167</f>
        <v>32.261719212990371</v>
      </c>
      <c r="E167" s="326">
        <f>+'Purchased Power Model '!E167</f>
        <v>7.064187999999999E-2</v>
      </c>
      <c r="F167" s="327">
        <f>+'Purchased Power Model '!F167</f>
        <v>30</v>
      </c>
      <c r="G167" s="327">
        <f>+'Purchased Power Model '!G167</f>
        <v>1</v>
      </c>
      <c r="H167" s="328">
        <f ca="1">+'Purchased Power Model '!H167</f>
        <v>84883014.023231745</v>
      </c>
      <c r="J167" s="323">
        <f>+'10 Year Average'!A167</f>
        <v>42614</v>
      </c>
      <c r="K167" s="330"/>
      <c r="L167" s="325">
        <f>+'10 Year Average'!C167</f>
        <v>71.44364679533966</v>
      </c>
      <c r="M167" s="325">
        <f>+'10 Year Average'!D167</f>
        <v>29.407627118644019</v>
      </c>
      <c r="N167" s="326">
        <f>+'10 Year Average'!E167</f>
        <v>7.064187999999999E-2</v>
      </c>
      <c r="O167" s="327">
        <f>+'10 Year Average'!F167</f>
        <v>30</v>
      </c>
      <c r="P167" s="327">
        <f>+'10 Year Average'!G167</f>
        <v>1</v>
      </c>
      <c r="Q167" s="328">
        <f>+'10 Year Average'!H167</f>
        <v>84668341.579671368</v>
      </c>
      <c r="S167" s="323">
        <f>+'20 Year Trend'!A167</f>
        <v>42614</v>
      </c>
      <c r="T167" s="330"/>
      <c r="U167" s="325">
        <f>+'20 Year Trend'!C167</f>
        <v>65.244031595635207</v>
      </c>
      <c r="V167" s="325">
        <f>+'20 Year Trend'!D167</f>
        <v>31.512243532560205</v>
      </c>
      <c r="W167" s="326">
        <f>+'20 Year Trend'!E167</f>
        <v>7.064187999999999E-2</v>
      </c>
      <c r="X167" s="327">
        <f>+'20 Year Trend'!F167</f>
        <v>30</v>
      </c>
      <c r="Y167" s="327">
        <f>+'20 Year Trend'!G167</f>
        <v>1</v>
      </c>
      <c r="Z167" s="328">
        <f>+'20 Year Trend'!H167</f>
        <v>84719751.774129793</v>
      </c>
    </row>
    <row r="168" spans="1:26" x14ac:dyDescent="0.3">
      <c r="A168" s="323">
        <f>+'Purchased Power Model '!A168</f>
        <v>42644</v>
      </c>
      <c r="B168" s="330"/>
      <c r="C168" s="325">
        <f>+'Purchased Power Model '!C168</f>
        <v>186.1210917319427</v>
      </c>
      <c r="D168" s="325">
        <f ca="1">+'Purchased Power Model '!D168</f>
        <v>0.71692709362200813</v>
      </c>
      <c r="E168" s="326">
        <f>+'Purchased Power Model '!E168</f>
        <v>6.9736220000000002E-2</v>
      </c>
      <c r="F168" s="327">
        <f>+'Purchased Power Model '!F168</f>
        <v>31</v>
      </c>
      <c r="G168" s="327">
        <f>+'Purchased Power Model '!G168</f>
        <v>1</v>
      </c>
      <c r="H168" s="328">
        <f ca="1">+'Purchased Power Model '!H168</f>
        <v>88114125.673593387</v>
      </c>
      <c r="J168" s="323">
        <f>+'10 Year Average'!A168</f>
        <v>42644</v>
      </c>
      <c r="K168" s="330"/>
      <c r="L168" s="325">
        <f>+'10 Year Average'!C168</f>
        <v>199.65453232341042</v>
      </c>
      <c r="M168" s="325">
        <f>+'10 Year Average'!D168</f>
        <v>0.65350282485875599</v>
      </c>
      <c r="N168" s="326">
        <f>+'10 Year Average'!E168</f>
        <v>6.9736220000000002E-2</v>
      </c>
      <c r="O168" s="327">
        <f>+'10 Year Average'!F168</f>
        <v>31</v>
      </c>
      <c r="P168" s="327">
        <f>+'10 Year Average'!G168</f>
        <v>1</v>
      </c>
      <c r="Q168" s="328">
        <f>+'10 Year Average'!H168</f>
        <v>88655315.789055124</v>
      </c>
      <c r="S168" s="323">
        <f>+'20 Year Trend'!A168</f>
        <v>42644</v>
      </c>
      <c r="T168" s="330"/>
      <c r="U168" s="325">
        <f>+'20 Year Trend'!C168</f>
        <v>182.32925108702707</v>
      </c>
      <c r="V168" s="325">
        <f>+'20 Year Trend'!D168</f>
        <v>0.70027207850133788</v>
      </c>
      <c r="W168" s="326">
        <f>+'20 Year Trend'!E168</f>
        <v>6.9736220000000002E-2</v>
      </c>
      <c r="X168" s="327">
        <f>+'20 Year Trend'!F168</f>
        <v>31</v>
      </c>
      <c r="Y168" s="327">
        <f>+'20 Year Trend'!G168</f>
        <v>1</v>
      </c>
      <c r="Z168" s="328">
        <f>+'20 Year Trend'!H168</f>
        <v>87957528.714230448</v>
      </c>
    </row>
    <row r="169" spans="1:26" x14ac:dyDescent="0.3">
      <c r="A169" s="323">
        <f>+'Purchased Power Model '!A169</f>
        <v>42675</v>
      </c>
      <c r="B169" s="330"/>
      <c r="C169" s="325">
        <f>+'Purchased Power Model '!C169</f>
        <v>350.47212511521167</v>
      </c>
      <c r="D169" s="325">
        <f ca="1">+'Purchased Power Model '!D169</f>
        <v>0</v>
      </c>
      <c r="E169" s="326">
        <f>+'Purchased Power Model '!E169</f>
        <v>6.9736220000000002E-2</v>
      </c>
      <c r="F169" s="327">
        <f>+'Purchased Power Model '!F169</f>
        <v>30</v>
      </c>
      <c r="G169" s="327">
        <f>+'Purchased Power Model '!G169</f>
        <v>1</v>
      </c>
      <c r="H169" s="328">
        <f ca="1">+'Purchased Power Model '!H169</f>
        <v>91884128.787875697</v>
      </c>
      <c r="J169" s="323">
        <f>+'10 Year Average'!A169</f>
        <v>42675</v>
      </c>
      <c r="K169" s="330"/>
      <c r="L169" s="325">
        <f>+'10 Year Average'!C169</f>
        <v>375.95603798116082</v>
      </c>
      <c r="M169" s="325">
        <f>+'10 Year Average'!D169</f>
        <v>0</v>
      </c>
      <c r="N169" s="326">
        <f>+'10 Year Average'!E169</f>
        <v>6.9736220000000002E-2</v>
      </c>
      <c r="O169" s="327">
        <f>+'10 Year Average'!F169</f>
        <v>30</v>
      </c>
      <c r="P169" s="327">
        <f>+'10 Year Average'!G169</f>
        <v>1</v>
      </c>
      <c r="Q169" s="328">
        <f>+'10 Year Average'!H169</f>
        <v>92920431.137427002</v>
      </c>
      <c r="S169" s="323">
        <f>+'20 Year Trend'!A169</f>
        <v>42675</v>
      </c>
      <c r="T169" s="330"/>
      <c r="U169" s="325">
        <f>+'20 Year Trend'!C169</f>
        <v>343.33196471449907</v>
      </c>
      <c r="V169" s="325">
        <f>+'20 Year Trend'!D169</f>
        <v>0</v>
      </c>
      <c r="W169" s="326">
        <f>+'20 Year Trend'!E169</f>
        <v>6.9736220000000002E-2</v>
      </c>
      <c r="X169" s="327">
        <f>+'20 Year Trend'!F169</f>
        <v>30</v>
      </c>
      <c r="Y169" s="327">
        <f>+'20 Year Trend'!G169</f>
        <v>1</v>
      </c>
      <c r="Z169" s="328">
        <f>+'20 Year Trend'!H169</f>
        <v>91593774.436157659</v>
      </c>
    </row>
    <row r="170" spans="1:26" x14ac:dyDescent="0.3">
      <c r="A170" s="323">
        <f>+'Purchased Power Model '!A170</f>
        <v>42705</v>
      </c>
      <c r="B170" s="330"/>
      <c r="C170" s="325">
        <f>+'Purchased Power Model '!C170</f>
        <v>474.81099592087827</v>
      </c>
      <c r="D170" s="325">
        <f ca="1">+'Purchased Power Model '!D170</f>
        <v>0</v>
      </c>
      <c r="E170" s="326">
        <f>+'Purchased Power Model '!E170</f>
        <v>6.9736220000000002E-2</v>
      </c>
      <c r="F170" s="327">
        <f>+'Purchased Power Model '!F170</f>
        <v>31</v>
      </c>
      <c r="G170" s="327">
        <f>+'Purchased Power Model '!G170</f>
        <v>0</v>
      </c>
      <c r="H170" s="328">
        <f ca="1">+'Purchased Power Model '!H170</f>
        <v>106797283.26484719</v>
      </c>
      <c r="J170" s="323">
        <f>+'10 Year Average'!A170</f>
        <v>42705</v>
      </c>
      <c r="K170" s="330"/>
      <c r="L170" s="325">
        <f>+'10 Year Average'!C170</f>
        <v>509.33597288977279</v>
      </c>
      <c r="M170" s="325">
        <f>+'10 Year Average'!D170</f>
        <v>0</v>
      </c>
      <c r="N170" s="326">
        <f>+'10 Year Average'!E170</f>
        <v>6.9736220000000002E-2</v>
      </c>
      <c r="O170" s="327">
        <f>+'10 Year Average'!F170</f>
        <v>31</v>
      </c>
      <c r="P170" s="327">
        <f>+'10 Year Average'!G170</f>
        <v>0</v>
      </c>
      <c r="Q170" s="328">
        <f>+'10 Year Average'!H170</f>
        <v>108201240.14302644</v>
      </c>
      <c r="S170" s="323">
        <f>+'20 Year Trend'!A170</f>
        <v>42705</v>
      </c>
      <c r="T170" s="330"/>
      <c r="U170" s="325">
        <f>+'20 Year Trend'!C170</f>
        <v>465.13768261591093</v>
      </c>
      <c r="V170" s="325">
        <f>+'20 Year Trend'!D170</f>
        <v>0</v>
      </c>
      <c r="W170" s="326">
        <f>+'20 Year Trend'!E170</f>
        <v>6.9736220000000002E-2</v>
      </c>
      <c r="X170" s="327">
        <f>+'20 Year Trend'!F170</f>
        <v>31</v>
      </c>
      <c r="Y170" s="327">
        <f>+'20 Year Trend'!G170</f>
        <v>0</v>
      </c>
      <c r="Z170" s="328">
        <f>+'20 Year Trend'!H170</f>
        <v>106403918.34641355</v>
      </c>
    </row>
    <row r="171" spans="1:26" x14ac:dyDescent="0.3">
      <c r="A171" s="323">
        <f>+'Purchased Power Model '!A171</f>
        <v>42736</v>
      </c>
      <c r="B171" s="330"/>
      <c r="C171" s="325">
        <f>+'Purchased Power Model '!C171</f>
        <v>662.07309293665651</v>
      </c>
      <c r="D171" s="325">
        <f ca="1">+'Purchased Power Model '!D171</f>
        <v>0</v>
      </c>
      <c r="E171" s="326">
        <f>+'Purchased Power Model '!E171</f>
        <v>6.8187249999999991E-2</v>
      </c>
      <c r="F171" s="327">
        <f>+'Purchased Power Model '!F171</f>
        <v>31</v>
      </c>
      <c r="G171" s="327">
        <f>+'Purchased Power Model '!G171</f>
        <v>0</v>
      </c>
      <c r="H171" s="328">
        <f ca="1">+'Purchased Power Model '!H171</f>
        <v>114600640.98289993</v>
      </c>
      <c r="J171" s="323">
        <f>+'10 Year Average'!A171</f>
        <v>42736</v>
      </c>
      <c r="K171" s="330"/>
      <c r="L171" s="325">
        <f>+'10 Year Average'!C171</f>
        <v>711.94424771634965</v>
      </c>
      <c r="M171" s="325">
        <f>+'10 Year Average'!D171</f>
        <v>0</v>
      </c>
      <c r="N171" s="326">
        <f>+'10 Year Average'!E171</f>
        <v>6.8187249999999991E-2</v>
      </c>
      <c r="O171" s="327">
        <f>+'10 Year Average'!F171</f>
        <v>31</v>
      </c>
      <c r="P171" s="327">
        <f>+'10 Year Average'!G171</f>
        <v>0</v>
      </c>
      <c r="Q171" s="328">
        <f>+'10 Year Average'!H171</f>
        <v>116628649.59935099</v>
      </c>
      <c r="S171" s="323">
        <f>+'20 Year Trend'!A171</f>
        <v>42736</v>
      </c>
      <c r="T171" s="330"/>
      <c r="U171" s="325">
        <f>+'20 Year Trend'!C171</f>
        <v>650.1643613658066</v>
      </c>
      <c r="V171" s="325">
        <f>+'20 Year Trend'!D171</f>
        <v>0</v>
      </c>
      <c r="W171" s="326">
        <f>+'20 Year Trend'!E171</f>
        <v>6.8187249999999991E-2</v>
      </c>
      <c r="X171" s="327">
        <f>+'20 Year Trend'!F171</f>
        <v>31</v>
      </c>
      <c r="Y171" s="327">
        <f>+'20 Year Trend'!G171</f>
        <v>0</v>
      </c>
      <c r="Z171" s="328">
        <f>+'20 Year Trend'!H171</f>
        <v>114116372.86552078</v>
      </c>
    </row>
    <row r="172" spans="1:26" x14ac:dyDescent="0.3">
      <c r="A172" s="323">
        <f>+'Purchased Power Model '!A172</f>
        <v>42767</v>
      </c>
      <c r="B172" s="330"/>
      <c r="C172" s="325">
        <f>+'Purchased Power Model '!C172</f>
        <v>593.0159422472309</v>
      </c>
      <c r="D172" s="325">
        <f ca="1">+'Purchased Power Model '!D172</f>
        <v>0</v>
      </c>
      <c r="E172" s="326">
        <f>+'Purchased Power Model '!E172</f>
        <v>6.8187249999999991E-2</v>
      </c>
      <c r="F172" s="327">
        <f>+'Purchased Power Model '!F172</f>
        <v>28</v>
      </c>
      <c r="G172" s="327">
        <f>+'Purchased Power Model '!G172</f>
        <v>0</v>
      </c>
      <c r="H172" s="328">
        <f ca="1">+'Purchased Power Model '!H172</f>
        <v>103362633.28684044</v>
      </c>
      <c r="J172" s="323">
        <f>+'10 Year Average'!A172</f>
        <v>42767</v>
      </c>
      <c r="K172" s="330"/>
      <c r="L172" s="325">
        <f>+'10 Year Average'!C172</f>
        <v>637.68531509767956</v>
      </c>
      <c r="M172" s="325">
        <f>+'10 Year Average'!D172</f>
        <v>0</v>
      </c>
      <c r="N172" s="326">
        <f>+'10 Year Average'!E172</f>
        <v>6.8187249999999991E-2</v>
      </c>
      <c r="O172" s="327">
        <f>+'10 Year Average'!F172</f>
        <v>28</v>
      </c>
      <c r="P172" s="327">
        <f>+'10 Year Average'!G172</f>
        <v>0</v>
      </c>
      <c r="Q172" s="328">
        <f>+'10 Year Average'!H172</f>
        <v>105179111.63855211</v>
      </c>
      <c r="S172" s="323">
        <f>+'20 Year Trend'!A172</f>
        <v>42767</v>
      </c>
      <c r="T172" s="330"/>
      <c r="U172" s="325">
        <f>+'20 Year Trend'!C172</f>
        <v>582.34934402899978</v>
      </c>
      <c r="V172" s="325">
        <f>+'20 Year Trend'!D172</f>
        <v>0</v>
      </c>
      <c r="W172" s="326">
        <f>+'20 Year Trend'!E172</f>
        <v>6.8187249999999991E-2</v>
      </c>
      <c r="X172" s="327">
        <f>+'20 Year Trend'!F172</f>
        <v>28</v>
      </c>
      <c r="Y172" s="327">
        <f>+'20 Year Trend'!G172</f>
        <v>0</v>
      </c>
      <c r="Z172" s="328">
        <f>+'20 Year Trend'!H172</f>
        <v>102928876.4751052</v>
      </c>
    </row>
    <row r="173" spans="1:26" x14ac:dyDescent="0.3">
      <c r="A173" s="323">
        <f>+'Purchased Power Model '!A173</f>
        <v>42795</v>
      </c>
      <c r="B173" s="330"/>
      <c r="C173" s="325">
        <f>+'Purchased Power Model '!C173</f>
        <v>581.9427633299706</v>
      </c>
      <c r="D173" s="325">
        <f ca="1">+'Purchased Power Model '!D173</f>
        <v>0</v>
      </c>
      <c r="E173" s="326">
        <f>+'Purchased Power Model '!E173</f>
        <v>6.8187249999999991E-2</v>
      </c>
      <c r="F173" s="327">
        <f>+'Purchased Power Model '!F173</f>
        <v>31</v>
      </c>
      <c r="G173" s="327">
        <f>+'Purchased Power Model '!G173</f>
        <v>1</v>
      </c>
      <c r="H173" s="328">
        <f ca="1">+'Purchased Power Model '!H173</f>
        <v>104295158.9173785</v>
      </c>
      <c r="J173" s="323">
        <f>+'10 Year Average'!A173</f>
        <v>42795</v>
      </c>
      <c r="K173" s="330"/>
      <c r="L173" s="325">
        <f>+'10 Year Average'!C173</f>
        <v>625.77804063178974</v>
      </c>
      <c r="M173" s="325">
        <f>+'10 Year Average'!D173</f>
        <v>0</v>
      </c>
      <c r="N173" s="326">
        <f>+'10 Year Average'!E173</f>
        <v>6.8187249999999991E-2</v>
      </c>
      <c r="O173" s="327">
        <f>+'10 Year Average'!F173</f>
        <v>31</v>
      </c>
      <c r="P173" s="327">
        <f>+'10 Year Average'!G173</f>
        <v>1</v>
      </c>
      <c r="Q173" s="328">
        <f>+'10 Year Average'!H173</f>
        <v>106077718.80526</v>
      </c>
      <c r="S173" s="323">
        <f>+'20 Year Trend'!A173</f>
        <v>42795</v>
      </c>
      <c r="T173" s="330"/>
      <c r="U173" s="325">
        <f>+'20 Year Trend'!C173</f>
        <v>571.47533876306068</v>
      </c>
      <c r="V173" s="325">
        <f>+'20 Year Trend'!D173</f>
        <v>0</v>
      </c>
      <c r="W173" s="326">
        <f>+'20 Year Trend'!E173</f>
        <v>6.8187249999999991E-2</v>
      </c>
      <c r="X173" s="327">
        <f>+'20 Year Trend'!F173</f>
        <v>31</v>
      </c>
      <c r="Y173" s="327">
        <f>+'20 Year Trend'!G173</f>
        <v>1</v>
      </c>
      <c r="Z173" s="328">
        <f>+'20 Year Trend'!H173</f>
        <v>103869501.49461539</v>
      </c>
    </row>
    <row r="174" spans="1:26" x14ac:dyDescent="0.3">
      <c r="A174" s="323">
        <f>+'Purchased Power Model '!A174</f>
        <v>42826</v>
      </c>
      <c r="B174" s="330"/>
      <c r="C174" s="325">
        <f>+'Purchased Power Model '!C174</f>
        <v>318.71870790532938</v>
      </c>
      <c r="D174" s="325">
        <f ca="1">+'Purchased Power Model '!D174</f>
        <v>0</v>
      </c>
      <c r="E174" s="326">
        <f>+'Purchased Power Model '!E174</f>
        <v>6.7312499999999997E-2</v>
      </c>
      <c r="F174" s="327">
        <f>+'Purchased Power Model '!F174</f>
        <v>30</v>
      </c>
      <c r="G174" s="327">
        <f>+'Purchased Power Model '!G174</f>
        <v>1</v>
      </c>
      <c r="H174" s="328">
        <f ca="1">+'Purchased Power Model '!H174</f>
        <v>90887596.779864237</v>
      </c>
      <c r="J174" s="323">
        <f>+'10 Year Average'!A174</f>
        <v>42826</v>
      </c>
      <c r="K174" s="330"/>
      <c r="L174" s="325">
        <f>+'10 Year Average'!C174</f>
        <v>342.72643482053758</v>
      </c>
      <c r="M174" s="325">
        <f>+'10 Year Average'!D174</f>
        <v>0</v>
      </c>
      <c r="N174" s="326">
        <f>+'10 Year Average'!E174</f>
        <v>6.7312499999999997E-2</v>
      </c>
      <c r="O174" s="327">
        <f>+'10 Year Average'!F174</f>
        <v>30</v>
      </c>
      <c r="P174" s="327">
        <f>+'10 Year Average'!G174</f>
        <v>1</v>
      </c>
      <c r="Q174" s="328">
        <f>+'10 Year Average'!H174</f>
        <v>91863870.083751529</v>
      </c>
      <c r="S174" s="323">
        <f>+'20 Year Trend'!A174</f>
        <v>42826</v>
      </c>
      <c r="T174" s="330"/>
      <c r="U174" s="325">
        <f>+'20 Year Trend'!C174</f>
        <v>312.98590350722668</v>
      </c>
      <c r="V174" s="325">
        <f>+'20 Year Trend'!D174</f>
        <v>0</v>
      </c>
      <c r="W174" s="326">
        <f>+'20 Year Trend'!E174</f>
        <v>6.7312499999999997E-2</v>
      </c>
      <c r="X174" s="327">
        <f>+'20 Year Trend'!F174</f>
        <v>30</v>
      </c>
      <c r="Y174" s="327">
        <f>+'20 Year Trend'!G174</f>
        <v>1</v>
      </c>
      <c r="Z174" s="328">
        <f>+'20 Year Trend'!H174</f>
        <v>90654472.506581619</v>
      </c>
    </row>
    <row r="175" spans="1:26" x14ac:dyDescent="0.3">
      <c r="A175" s="323">
        <f>+'Purchased Power Model '!A175</f>
        <v>42856</v>
      </c>
      <c r="B175" s="330"/>
      <c r="C175" s="325">
        <f>+'Purchased Power Model '!C175</f>
        <v>137.77094699381996</v>
      </c>
      <c r="D175" s="325">
        <f ca="1">+'Purchased Power Model '!D175</f>
        <v>1.8822256462934444</v>
      </c>
      <c r="E175" s="326">
        <f>+'Purchased Power Model '!E175</f>
        <v>6.7312499999999997E-2</v>
      </c>
      <c r="F175" s="327">
        <f>+'Purchased Power Model '!F175</f>
        <v>31</v>
      </c>
      <c r="G175" s="327">
        <f>+'Purchased Power Model '!G175</f>
        <v>1</v>
      </c>
      <c r="H175" s="328">
        <f ca="1">+'Purchased Power Model '!H175</f>
        <v>86610741.931813493</v>
      </c>
      <c r="J175" s="323">
        <f>+'10 Year Average'!A175</f>
        <v>42856</v>
      </c>
      <c r="K175" s="330"/>
      <c r="L175" s="325">
        <f>+'10 Year Average'!C175</f>
        <v>148.14864742444459</v>
      </c>
      <c r="M175" s="325">
        <f>+'10 Year Average'!D175</f>
        <v>1.699107344632766</v>
      </c>
      <c r="N175" s="326">
        <f>+'10 Year Average'!E175</f>
        <v>6.7312499999999997E-2</v>
      </c>
      <c r="O175" s="327">
        <f>+'10 Year Average'!F175</f>
        <v>31</v>
      </c>
      <c r="P175" s="327">
        <f>+'10 Year Average'!G175</f>
        <v>1</v>
      </c>
      <c r="Q175" s="328">
        <f>+'10 Year Average'!H175</f>
        <v>87006342.315308154</v>
      </c>
      <c r="S175" s="323">
        <f>+'20 Year Trend'!A175</f>
        <v>42856</v>
      </c>
      <c r="T175" s="330"/>
      <c r="U175" s="325">
        <f>+'20 Year Trend'!C175</f>
        <v>135.29285621575514</v>
      </c>
      <c r="V175" s="325">
        <f>+'20 Year Trend'!D175</f>
        <v>1.8207074041034785</v>
      </c>
      <c r="W175" s="326">
        <f>+'20 Year Trend'!E175</f>
        <v>6.7312499999999997E-2</v>
      </c>
      <c r="X175" s="327">
        <f>+'20 Year Trend'!F175</f>
        <v>31</v>
      </c>
      <c r="Y175" s="327">
        <f>+'20 Year Trend'!G175</f>
        <v>1</v>
      </c>
      <c r="Z175" s="328">
        <f>+'20 Year Trend'!H175</f>
        <v>86501098.609460592</v>
      </c>
    </row>
    <row r="176" spans="1:26" x14ac:dyDescent="0.3">
      <c r="A176" s="323">
        <f>+'Purchased Power Model '!A176</f>
        <v>42887</v>
      </c>
      <c r="B176" s="330"/>
      <c r="C176" s="325">
        <f>+'Purchased Power Model '!C176</f>
        <v>23.090582393356748</v>
      </c>
      <c r="D176" s="325">
        <f ca="1">+'Purchased Power Model '!D176</f>
        <v>58.059421858743939</v>
      </c>
      <c r="E176" s="326">
        <f>+'Purchased Power Model '!E176</f>
        <v>6.7312499999999997E-2</v>
      </c>
      <c r="F176" s="327">
        <f>+'Purchased Power Model '!F176</f>
        <v>30</v>
      </c>
      <c r="G176" s="327">
        <f>+'Purchased Power Model '!G176</f>
        <v>0</v>
      </c>
      <c r="H176" s="328">
        <f ca="1">+'Purchased Power Model '!H176</f>
        <v>94285916.57290104</v>
      </c>
      <c r="J176" s="323">
        <f>+'10 Year Average'!A176</f>
        <v>42887</v>
      </c>
      <c r="K176" s="330"/>
      <c r="L176" s="325">
        <f>+'10 Year Average'!C176</f>
        <v>24.829897917243368</v>
      </c>
      <c r="M176" s="325">
        <f>+'10 Year Average'!D176</f>
        <v>52.41092655367224</v>
      </c>
      <c r="N176" s="326">
        <f>+'10 Year Average'!E176</f>
        <v>6.7312499999999997E-2</v>
      </c>
      <c r="O176" s="327">
        <f>+'10 Year Average'!F176</f>
        <v>30</v>
      </c>
      <c r="P176" s="327">
        <f>+'10 Year Average'!G176</f>
        <v>0</v>
      </c>
      <c r="Q176" s="328">
        <f>+'10 Year Average'!H176</f>
        <v>93542047.874263987</v>
      </c>
      <c r="S176" s="323">
        <f>+'20 Year Trend'!A176</f>
        <v>42887</v>
      </c>
      <c r="T176" s="330"/>
      <c r="U176" s="325">
        <f>+'20 Year Trend'!C176</f>
        <v>22.675251290989497</v>
      </c>
      <c r="V176" s="325">
        <f>+'20 Year Trend'!D176</f>
        <v>56.1618206958073</v>
      </c>
      <c r="W176" s="326">
        <f>+'20 Year Trend'!E176</f>
        <v>6.7312499999999997E-2</v>
      </c>
      <c r="X176" s="327">
        <f>+'20 Year Trend'!F176</f>
        <v>30</v>
      </c>
      <c r="Y176" s="327">
        <f>+'20 Year Trend'!G176</f>
        <v>0</v>
      </c>
      <c r="Z176" s="328">
        <f>+'20 Year Trend'!H176</f>
        <v>93995364.547957018</v>
      </c>
    </row>
    <row r="177" spans="1:26" x14ac:dyDescent="0.3">
      <c r="A177" s="323">
        <f>+'Purchased Power Model '!A177</f>
        <v>42917</v>
      </c>
      <c r="B177" s="330"/>
      <c r="C177" s="325">
        <f>+'Purchased Power Model '!C177</f>
        <v>8.2405052407518511</v>
      </c>
      <c r="D177" s="325">
        <f ca="1">+'Purchased Power Model '!D177</f>
        <v>79.053477144324646</v>
      </c>
      <c r="E177" s="326">
        <f>+'Purchased Power Model '!E177</f>
        <v>6.6562659999999996E-2</v>
      </c>
      <c r="F177" s="327">
        <f>+'Purchased Power Model '!F177</f>
        <v>31</v>
      </c>
      <c r="G177" s="327">
        <f>+'Purchased Power Model '!G177</f>
        <v>0</v>
      </c>
      <c r="H177" s="328">
        <f ca="1">+'Purchased Power Model '!H177</f>
        <v>99610809.785674363</v>
      </c>
      <c r="J177" s="323">
        <f>+'10 Year Average'!A177</f>
        <v>42917</v>
      </c>
      <c r="K177" s="330"/>
      <c r="L177" s="325">
        <f>+'10 Year Average'!C177</f>
        <v>8.861227509499491</v>
      </c>
      <c r="M177" s="325">
        <f>+'10 Year Average'!D177</f>
        <v>71.362508474576146</v>
      </c>
      <c r="N177" s="326">
        <f>+'10 Year Average'!E177</f>
        <v>6.6562659999999996E-2</v>
      </c>
      <c r="O177" s="327">
        <f>+'10 Year Average'!F177</f>
        <v>31</v>
      </c>
      <c r="P177" s="327">
        <f>+'10 Year Average'!G177</f>
        <v>0</v>
      </c>
      <c r="Q177" s="328">
        <f>+'10 Year Average'!H177</f>
        <v>98526898.184970915</v>
      </c>
      <c r="S177" s="323">
        <f>+'20 Year Trend'!A177</f>
        <v>42917</v>
      </c>
      <c r="T177" s="330"/>
      <c r="U177" s="325">
        <f>+'20 Year Trend'!C177</f>
        <v>8.0922829886059144</v>
      </c>
      <c r="V177" s="325">
        <f>+'20 Year Trend'!D177</f>
        <v>76.469710972346093</v>
      </c>
      <c r="W177" s="326">
        <f>+'20 Year Trend'!E177</f>
        <v>6.6562659999999996E-2</v>
      </c>
      <c r="X177" s="327">
        <f>+'20 Year Trend'!F177</f>
        <v>31</v>
      </c>
      <c r="Y177" s="327">
        <f>+'20 Year Trend'!G177</f>
        <v>0</v>
      </c>
      <c r="Z177" s="328">
        <f>+'20 Year Trend'!H177</f>
        <v>99232164.427231565</v>
      </c>
    </row>
    <row r="178" spans="1:26" x14ac:dyDescent="0.3">
      <c r="A178" s="323">
        <f>+'Purchased Power Model '!A178</f>
        <v>42948</v>
      </c>
      <c r="B178" s="330"/>
      <c r="C178" s="325">
        <f>+'Purchased Power Model '!C178</f>
        <v>10.901501724744636</v>
      </c>
      <c r="D178" s="325">
        <f ca="1">+'Purchased Power Model '!D178</f>
        <v>83.976221142322899</v>
      </c>
      <c r="E178" s="326">
        <f>+'Purchased Power Model '!E178</f>
        <v>6.6562659999999996E-2</v>
      </c>
      <c r="F178" s="327">
        <f>+'Purchased Power Model '!F178</f>
        <v>31</v>
      </c>
      <c r="G178" s="327">
        <f>+'Purchased Power Model '!G178</f>
        <v>0</v>
      </c>
      <c r="H178" s="328">
        <f ca="1">+'Purchased Power Model '!H178</f>
        <v>100428952.76135147</v>
      </c>
      <c r="J178" s="323">
        <f>+'10 Year Average'!A178</f>
        <v>42948</v>
      </c>
      <c r="K178" s="330"/>
      <c r="L178" s="325">
        <f>+'10 Year Average'!C178</f>
        <v>11.722665559442033</v>
      </c>
      <c r="M178" s="325">
        <f>+'10 Year Average'!D178</f>
        <v>75.806327683615706</v>
      </c>
      <c r="N178" s="326">
        <f>+'10 Year Average'!E178</f>
        <v>6.6562659999999996E-2</v>
      </c>
      <c r="O178" s="327">
        <f>+'10 Year Average'!F178</f>
        <v>31</v>
      </c>
      <c r="P178" s="327">
        <f>+'10 Year Average'!G178</f>
        <v>0</v>
      </c>
      <c r="Q178" s="328">
        <f>+'10 Year Average'!H178</f>
        <v>99284123.958333239</v>
      </c>
      <c r="S178" s="323">
        <f>+'20 Year Trend'!A178</f>
        <v>42948</v>
      </c>
      <c r="T178" s="330"/>
      <c r="U178" s="325">
        <f>+'20 Year Trend'!C178</f>
        <v>10.705416037009911</v>
      </c>
      <c r="V178" s="325">
        <f>+'20 Year Trend'!D178</f>
        <v>81.231561106155198</v>
      </c>
      <c r="W178" s="326">
        <f>+'20 Year Trend'!E178</f>
        <v>6.6562659999999996E-2</v>
      </c>
      <c r="X178" s="327">
        <f>+'20 Year Trend'!F178</f>
        <v>31</v>
      </c>
      <c r="Y178" s="327">
        <f>+'20 Year Trend'!G178</f>
        <v>0</v>
      </c>
      <c r="Z178" s="328">
        <f>+'20 Year Trend'!H178</f>
        <v>100025157.72527757</v>
      </c>
    </row>
    <row r="179" spans="1:26" x14ac:dyDescent="0.3">
      <c r="A179" s="323">
        <f>+'Purchased Power Model '!A179</f>
        <v>42979</v>
      </c>
      <c r="B179" s="330"/>
      <c r="C179" s="325">
        <f>+'Purchased Power Model '!C179</f>
        <v>66.439073503561801</v>
      </c>
      <c r="D179" s="325">
        <f ca="1">+'Purchased Power Model '!D179</f>
        <v>32.576982339694233</v>
      </c>
      <c r="E179" s="326">
        <f>+'Purchased Power Model '!E179</f>
        <v>6.6562659999999996E-2</v>
      </c>
      <c r="F179" s="327">
        <f>+'Purchased Power Model '!F179</f>
        <v>30</v>
      </c>
      <c r="G179" s="327">
        <f>+'Purchased Power Model '!G179</f>
        <v>1</v>
      </c>
      <c r="H179" s="328">
        <f ca="1">+'Purchased Power Model '!H179</f>
        <v>85417924.425029278</v>
      </c>
      <c r="J179" s="323">
        <f>+'10 Year Average'!A179</f>
        <v>42979</v>
      </c>
      <c r="K179" s="330"/>
      <c r="L179" s="325">
        <f>+'10 Year Average'!C179</f>
        <v>71.44364679533966</v>
      </c>
      <c r="M179" s="325">
        <f>+'10 Year Average'!D179</f>
        <v>29.407627118644019</v>
      </c>
      <c r="N179" s="326">
        <f>+'10 Year Average'!E179</f>
        <v>6.6562659999999996E-2</v>
      </c>
      <c r="O179" s="327">
        <f>+'10 Year Average'!F179</f>
        <v>30</v>
      </c>
      <c r="P179" s="327">
        <f>+'10 Year Average'!G179</f>
        <v>1</v>
      </c>
      <c r="Q179" s="328">
        <f>+'10 Year Average'!H179</f>
        <v>85164366.561772048</v>
      </c>
      <c r="S179" s="323">
        <f>+'20 Year Trend'!A179</f>
        <v>42979</v>
      </c>
      <c r="T179" s="330"/>
      <c r="U179" s="325">
        <f>+'20 Year Trend'!C179</f>
        <v>65.244031595635207</v>
      </c>
      <c r="V179" s="325">
        <f>+'20 Year Trend'!D179</f>
        <v>31.512243532560205</v>
      </c>
      <c r="W179" s="326">
        <f>+'20 Year Trend'!E179</f>
        <v>6.6562659999999996E-2</v>
      </c>
      <c r="X179" s="327">
        <f>+'20 Year Trend'!F179</f>
        <v>30</v>
      </c>
      <c r="Y179" s="327">
        <f>+'20 Year Trend'!G179</f>
        <v>1</v>
      </c>
      <c r="Z179" s="328">
        <f>+'20 Year Trend'!H179</f>
        <v>85215776.756230459</v>
      </c>
    </row>
    <row r="180" spans="1:26" x14ac:dyDescent="0.3">
      <c r="A180" s="323">
        <f>+'Purchased Power Model '!A180</f>
        <v>43009</v>
      </c>
      <c r="B180" s="330"/>
      <c r="C180" s="325">
        <f>+'Purchased Power Model '!C180</f>
        <v>185.66888370569015</v>
      </c>
      <c r="D180" s="325">
        <f ca="1">+'Purchased Power Model '!D180</f>
        <v>0.72393294088209392</v>
      </c>
      <c r="E180" s="326">
        <f>+'Purchased Power Model '!E180</f>
        <v>6.5937659999999995E-2</v>
      </c>
      <c r="F180" s="327">
        <f>+'Purchased Power Model '!F180</f>
        <v>31</v>
      </c>
      <c r="G180" s="327">
        <f>+'Purchased Power Model '!G180</f>
        <v>1</v>
      </c>
      <c r="H180" s="328">
        <f ca="1">+'Purchased Power Model '!H180</f>
        <v>88558644.288022891</v>
      </c>
      <c r="J180" s="323">
        <f>+'10 Year Average'!A180</f>
        <v>43009</v>
      </c>
      <c r="K180" s="330"/>
      <c r="L180" s="325">
        <f>+'10 Year Average'!C180</f>
        <v>199.65453232341042</v>
      </c>
      <c r="M180" s="325">
        <f>+'10 Year Average'!D180</f>
        <v>0.65350282485875599</v>
      </c>
      <c r="N180" s="326">
        <f>+'10 Year Average'!E180</f>
        <v>6.5937659999999995E-2</v>
      </c>
      <c r="O180" s="327">
        <f>+'10 Year Average'!F180</f>
        <v>31</v>
      </c>
      <c r="P180" s="327">
        <f>+'10 Year Average'!G180</f>
        <v>1</v>
      </c>
      <c r="Q180" s="328">
        <f>+'10 Year Average'!H180</f>
        <v>89117213.07726422</v>
      </c>
      <c r="S180" s="323">
        <f>+'20 Year Trend'!A180</f>
        <v>43009</v>
      </c>
      <c r="T180" s="330"/>
      <c r="U180" s="325">
        <f>+'20 Year Trend'!C180</f>
        <v>182.32925108702707</v>
      </c>
      <c r="V180" s="325">
        <f>+'20 Year Trend'!D180</f>
        <v>0.70027207850133788</v>
      </c>
      <c r="W180" s="326">
        <f>+'20 Year Trend'!E180</f>
        <v>6.5937659999999995E-2</v>
      </c>
      <c r="X180" s="327">
        <f>+'20 Year Trend'!F180</f>
        <v>31</v>
      </c>
      <c r="Y180" s="327">
        <f>+'20 Year Trend'!G180</f>
        <v>1</v>
      </c>
      <c r="Z180" s="328">
        <f>+'20 Year Trend'!H180</f>
        <v>88419426.002439544</v>
      </c>
    </row>
    <row r="181" spans="1:26" x14ac:dyDescent="0.3">
      <c r="A181" s="323">
        <f>+'Purchased Power Model '!A181</f>
        <v>43040</v>
      </c>
      <c r="B181" s="330"/>
      <c r="C181" s="325">
        <f>+'Purchased Power Model '!C181</f>
        <v>349.62060255814896</v>
      </c>
      <c r="D181" s="325">
        <f ca="1">+'Purchased Power Model '!D181</f>
        <v>0</v>
      </c>
      <c r="E181" s="326">
        <f>+'Purchased Power Model '!E181</f>
        <v>6.5937659999999995E-2</v>
      </c>
      <c r="F181" s="327">
        <f>+'Purchased Power Model '!F181</f>
        <v>30</v>
      </c>
      <c r="G181" s="327">
        <f>+'Purchased Power Model '!G181</f>
        <v>1</v>
      </c>
      <c r="H181" s="328">
        <f ca="1">+'Purchased Power Model '!H181</f>
        <v>92311398.943618059</v>
      </c>
      <c r="J181" s="323">
        <f>+'10 Year Average'!A181</f>
        <v>43040</v>
      </c>
      <c r="K181" s="330"/>
      <c r="L181" s="325">
        <f>+'10 Year Average'!C181</f>
        <v>375.95603798116082</v>
      </c>
      <c r="M181" s="325">
        <f>+'10 Year Average'!D181</f>
        <v>0</v>
      </c>
      <c r="N181" s="326">
        <f>+'10 Year Average'!E181</f>
        <v>6.5937659999999995E-2</v>
      </c>
      <c r="O181" s="327">
        <f>+'10 Year Average'!F181</f>
        <v>30</v>
      </c>
      <c r="P181" s="327">
        <f>+'10 Year Average'!G181</f>
        <v>1</v>
      </c>
      <c r="Q181" s="328">
        <f>+'10 Year Average'!H181</f>
        <v>93382328.425636098</v>
      </c>
      <c r="S181" s="323">
        <f>+'20 Year Trend'!A181</f>
        <v>43040</v>
      </c>
      <c r="T181" s="330"/>
      <c r="U181" s="325">
        <f>+'20 Year Trend'!C181</f>
        <v>343.33196471449907</v>
      </c>
      <c r="V181" s="325">
        <f>+'20 Year Trend'!D181</f>
        <v>0</v>
      </c>
      <c r="W181" s="326">
        <f>+'20 Year Trend'!E181</f>
        <v>6.5937659999999995E-2</v>
      </c>
      <c r="X181" s="327">
        <f>+'20 Year Trend'!F181</f>
        <v>30</v>
      </c>
      <c r="Y181" s="327">
        <f>+'20 Year Trend'!G181</f>
        <v>1</v>
      </c>
      <c r="Z181" s="328">
        <f>+'20 Year Trend'!H181</f>
        <v>92055671.724366754</v>
      </c>
    </row>
    <row r="182" spans="1:26" ht="12.9" thickBot="1" x14ac:dyDescent="0.35">
      <c r="A182" s="331">
        <f>+'Purchased Power Model '!A182</f>
        <v>43070</v>
      </c>
      <c r="B182" s="332"/>
      <c r="C182" s="333">
        <f>+'Purchased Power Model '!C182</f>
        <v>473.65737415071578</v>
      </c>
      <c r="D182" s="333">
        <f ca="1">+'Purchased Power Model '!D182</f>
        <v>0</v>
      </c>
      <c r="E182" s="334">
        <f>+'Purchased Power Model '!E182</f>
        <v>6.5937659999999995E-2</v>
      </c>
      <c r="F182" s="335">
        <f>+'Purchased Power Model '!F182</f>
        <v>31</v>
      </c>
      <c r="G182" s="335">
        <f>+'Purchased Power Model '!G182</f>
        <v>0</v>
      </c>
      <c r="H182" s="336">
        <f ca="1">+'Purchased Power Model '!H182</f>
        <v>107212268.56755383</v>
      </c>
      <c r="J182" s="331">
        <f>+'10 Year Average'!A182</f>
        <v>43070</v>
      </c>
      <c r="K182" s="332"/>
      <c r="L182" s="333">
        <f>+'10 Year Average'!C182</f>
        <v>509.33597288977279</v>
      </c>
      <c r="M182" s="333">
        <f>+'10 Year Average'!D182</f>
        <v>0</v>
      </c>
      <c r="N182" s="334">
        <f>+'10 Year Average'!E182</f>
        <v>6.5937659999999995E-2</v>
      </c>
      <c r="O182" s="335">
        <f>+'10 Year Average'!F182</f>
        <v>31</v>
      </c>
      <c r="P182" s="335">
        <f>+'10 Year Average'!G182</f>
        <v>0</v>
      </c>
      <c r="Q182" s="336">
        <f>+'10 Year Average'!H182</f>
        <v>108663137.43123552</v>
      </c>
      <c r="S182" s="331">
        <f>+'20 Year Trend'!A182</f>
        <v>43070</v>
      </c>
      <c r="T182" s="332"/>
      <c r="U182" s="333">
        <f>+'20 Year Trend'!C182</f>
        <v>465.13768261591093</v>
      </c>
      <c r="V182" s="333">
        <f>+'20 Year Trend'!D182</f>
        <v>0</v>
      </c>
      <c r="W182" s="334">
        <f>+'20 Year Trend'!E182</f>
        <v>6.5937659999999995E-2</v>
      </c>
      <c r="X182" s="335">
        <f>+'20 Year Trend'!F182</f>
        <v>31</v>
      </c>
      <c r="Y182" s="335">
        <f>+'20 Year Trend'!G182</f>
        <v>0</v>
      </c>
      <c r="Z182" s="336">
        <f>+'20 Year Trend'!H182</f>
        <v>106865815.63462266</v>
      </c>
    </row>
    <row r="183" spans="1:26" x14ac:dyDescent="0.3">
      <c r="A183" s="323">
        <f>+'Purchased Power Model '!A183</f>
        <v>43101</v>
      </c>
      <c r="B183" s="330"/>
      <c r="C183" s="325">
        <f>+'Purchased Power Model '!C183</f>
        <v>660.46057305386228</v>
      </c>
      <c r="D183" s="325">
        <f ca="1">+'Purchased Power Model '!D183</f>
        <v>0</v>
      </c>
      <c r="E183" s="326">
        <f>+'Purchased Power Model '!E183</f>
        <v>6.6219020000000003E-2</v>
      </c>
      <c r="F183" s="327">
        <f>+'Purchased Power Model '!F183</f>
        <v>31</v>
      </c>
      <c r="G183" s="327">
        <f>+'Purchased Power Model '!G183</f>
        <v>0</v>
      </c>
      <c r="H183" s="328">
        <f ca="1">+'Purchased Power Model '!H183</f>
        <v>114774400.74907386</v>
      </c>
      <c r="J183" s="323">
        <f>+'10 Year Average'!A183</f>
        <v>43101</v>
      </c>
      <c r="K183" s="330"/>
      <c r="L183" s="325">
        <f>+'10 Year Average'!C183</f>
        <v>711.94424771634965</v>
      </c>
      <c r="M183" s="325">
        <f>+'10 Year Average'!D183</f>
        <v>0</v>
      </c>
      <c r="N183" s="326">
        <f>+'10 Year Average'!E183</f>
        <v>6.6219020000000003E-2</v>
      </c>
      <c r="O183" s="327">
        <f>+'10 Year Average'!F183</f>
        <v>31</v>
      </c>
      <c r="P183" s="327">
        <f>+'10 Year Average'!G183</f>
        <v>0</v>
      </c>
      <c r="Q183" s="328">
        <f>+'10 Year Average'!H183</f>
        <v>116867982.42536184</v>
      </c>
      <c r="S183" s="323">
        <f>+'20 Year Trend'!A183</f>
        <v>43101</v>
      </c>
      <c r="T183" s="330"/>
      <c r="U183" s="325">
        <f>+'20 Year Trend'!C183</f>
        <v>650.1643613658066</v>
      </c>
      <c r="V183" s="325">
        <f>+'20 Year Trend'!D183</f>
        <v>0</v>
      </c>
      <c r="W183" s="326">
        <f>+'20 Year Trend'!E183</f>
        <v>6.6219020000000003E-2</v>
      </c>
      <c r="X183" s="327">
        <f>+'20 Year Trend'!F183</f>
        <v>31</v>
      </c>
      <c r="Y183" s="327">
        <f>+'20 Year Trend'!G183</f>
        <v>0</v>
      </c>
      <c r="Z183" s="328">
        <f>+'20 Year Trend'!H183</f>
        <v>114355705.69153163</v>
      </c>
    </row>
    <row r="184" spans="1:26" x14ac:dyDescent="0.3">
      <c r="A184" s="323">
        <f>+'Purchased Power Model '!A184</f>
        <v>43132</v>
      </c>
      <c r="B184" s="330"/>
      <c r="C184" s="325">
        <f>+'Purchased Power Model '!C184</f>
        <v>591.57161531733539</v>
      </c>
      <c r="D184" s="325">
        <f ca="1">+'Purchased Power Model '!D184</f>
        <v>0</v>
      </c>
      <c r="E184" s="326">
        <f>+'Purchased Power Model '!E184</f>
        <v>6.6219020000000003E-2</v>
      </c>
      <c r="F184" s="327">
        <f>+'Purchased Power Model '!F184</f>
        <v>28</v>
      </c>
      <c r="G184" s="327">
        <f>+'Purchased Power Model '!G184</f>
        <v>0</v>
      </c>
      <c r="H184" s="328">
        <f ca="1">+'Purchased Power Model '!H184</f>
        <v>103543232.61306089</v>
      </c>
      <c r="J184" s="323">
        <f>+'10 Year Average'!A184</f>
        <v>43132</v>
      </c>
      <c r="K184" s="330"/>
      <c r="L184" s="325">
        <f>+'10 Year Average'!C184</f>
        <v>637.68531509767956</v>
      </c>
      <c r="M184" s="325">
        <f>+'10 Year Average'!D184</f>
        <v>0</v>
      </c>
      <c r="N184" s="326">
        <f>+'10 Year Average'!E184</f>
        <v>6.6219020000000003E-2</v>
      </c>
      <c r="O184" s="327">
        <f>+'10 Year Average'!F184</f>
        <v>28</v>
      </c>
      <c r="P184" s="327">
        <f>+'10 Year Average'!G184</f>
        <v>0</v>
      </c>
      <c r="Q184" s="328">
        <f>+'10 Year Average'!H184</f>
        <v>105418444.46456297</v>
      </c>
      <c r="S184" s="323">
        <f>+'20 Year Trend'!A184</f>
        <v>43132</v>
      </c>
      <c r="T184" s="330"/>
      <c r="U184" s="325">
        <f>+'20 Year Trend'!C184</f>
        <v>582.34934402899978</v>
      </c>
      <c r="V184" s="325">
        <f>+'20 Year Trend'!D184</f>
        <v>0</v>
      </c>
      <c r="W184" s="326">
        <f>+'20 Year Trend'!E184</f>
        <v>6.6219020000000003E-2</v>
      </c>
      <c r="X184" s="327">
        <f>+'20 Year Trend'!F184</f>
        <v>28</v>
      </c>
      <c r="Y184" s="327">
        <f>+'20 Year Trend'!G184</f>
        <v>0</v>
      </c>
      <c r="Z184" s="328">
        <f>+'20 Year Trend'!H184</f>
        <v>103168209.30111605</v>
      </c>
    </row>
    <row r="185" spans="1:26" x14ac:dyDescent="0.3">
      <c r="A185" s="323">
        <f>+'Purchased Power Model '!A185</f>
        <v>43160</v>
      </c>
      <c r="B185" s="330"/>
      <c r="C185" s="325">
        <f>+'Purchased Power Model '!C185</f>
        <v>580.52540581079472</v>
      </c>
      <c r="D185" s="325">
        <f ca="1">+'Purchased Power Model '!D185</f>
        <v>0</v>
      </c>
      <c r="E185" s="326">
        <f>+'Purchased Power Model '!E185</f>
        <v>6.6219020000000003E-2</v>
      </c>
      <c r="F185" s="327">
        <f>+'Purchased Power Model '!F185</f>
        <v>31</v>
      </c>
      <c r="G185" s="327">
        <f>+'Purchased Power Model '!G185</f>
        <v>1</v>
      </c>
      <c r="H185" s="328">
        <f ca="1">+'Purchased Power Model '!H185</f>
        <v>104476854.95366235</v>
      </c>
      <c r="J185" s="323">
        <f>+'10 Year Average'!A185</f>
        <v>43160</v>
      </c>
      <c r="K185" s="330"/>
      <c r="L185" s="325">
        <f>+'10 Year Average'!C185</f>
        <v>625.77804063178974</v>
      </c>
      <c r="M185" s="325">
        <f>+'10 Year Average'!D185</f>
        <v>0</v>
      </c>
      <c r="N185" s="326">
        <f>+'10 Year Average'!E185</f>
        <v>6.6219020000000003E-2</v>
      </c>
      <c r="O185" s="327">
        <f>+'10 Year Average'!F185</f>
        <v>31</v>
      </c>
      <c r="P185" s="327">
        <f>+'10 Year Average'!G185</f>
        <v>1</v>
      </c>
      <c r="Q185" s="328">
        <f>+'10 Year Average'!H185</f>
        <v>106317051.63127086</v>
      </c>
      <c r="S185" s="323">
        <f>+'20 Year Trend'!A185</f>
        <v>43160</v>
      </c>
      <c r="T185" s="330"/>
      <c r="U185" s="325">
        <f>+'20 Year Trend'!C185</f>
        <v>571.47533876306068</v>
      </c>
      <c r="V185" s="325">
        <f>+'20 Year Trend'!D185</f>
        <v>0</v>
      </c>
      <c r="W185" s="326">
        <f>+'20 Year Trend'!E185</f>
        <v>6.6219020000000003E-2</v>
      </c>
      <c r="X185" s="327">
        <f>+'20 Year Trend'!F185</f>
        <v>31</v>
      </c>
      <c r="Y185" s="327">
        <f>+'20 Year Trend'!G185</f>
        <v>1</v>
      </c>
      <c r="Z185" s="328">
        <f>+'20 Year Trend'!H185</f>
        <v>104108834.32062624</v>
      </c>
    </row>
    <row r="186" spans="1:26" x14ac:dyDescent="0.3">
      <c r="A186" s="323">
        <f>+'Purchased Power Model '!A186</f>
        <v>43191</v>
      </c>
      <c r="B186" s="330"/>
      <c r="C186" s="325">
        <f>+'Purchased Power Model '!C186</f>
        <v>317.94244882004284</v>
      </c>
      <c r="D186" s="325">
        <f ca="1">+'Purchased Power Model '!D186</f>
        <v>0</v>
      </c>
      <c r="E186" s="326">
        <f>+'Purchased Power Model '!E186</f>
        <v>6.5531039999999999E-2</v>
      </c>
      <c r="F186" s="327">
        <f>+'Purchased Power Model '!F186</f>
        <v>30</v>
      </c>
      <c r="G186" s="327">
        <f>+'Purchased Power Model '!G186</f>
        <v>1</v>
      </c>
      <c r="H186" s="328">
        <f ca="1">+'Purchased Power Model '!H186</f>
        <v>91072652.20169647</v>
      </c>
      <c r="J186" s="323">
        <f>+'10 Year Average'!A186</f>
        <v>43191</v>
      </c>
      <c r="K186" s="330"/>
      <c r="L186" s="325">
        <f>+'10 Year Average'!C186</f>
        <v>342.72643482053758</v>
      </c>
      <c r="M186" s="325">
        <f>+'10 Year Average'!D186</f>
        <v>0</v>
      </c>
      <c r="N186" s="326">
        <f>+'10 Year Average'!E186</f>
        <v>6.5531039999999999E-2</v>
      </c>
      <c r="O186" s="327">
        <f>+'10 Year Average'!F186</f>
        <v>30</v>
      </c>
      <c r="P186" s="327">
        <f>+'10 Year Average'!G186</f>
        <v>1</v>
      </c>
      <c r="Q186" s="328">
        <f>+'10 Year Average'!H186</f>
        <v>92080492.051827058</v>
      </c>
      <c r="S186" s="323">
        <f>+'20 Year Trend'!A186</f>
        <v>43191</v>
      </c>
      <c r="T186" s="330"/>
      <c r="U186" s="325">
        <f>+'20 Year Trend'!C186</f>
        <v>312.98590350722668</v>
      </c>
      <c r="V186" s="325">
        <f>+'20 Year Trend'!D186</f>
        <v>0</v>
      </c>
      <c r="W186" s="326">
        <f>+'20 Year Trend'!E186</f>
        <v>6.5531039999999999E-2</v>
      </c>
      <c r="X186" s="327">
        <f>+'20 Year Trend'!F186</f>
        <v>30</v>
      </c>
      <c r="Y186" s="327">
        <f>+'20 Year Trend'!G186</f>
        <v>1</v>
      </c>
      <c r="Z186" s="328">
        <f>+'20 Year Trend'!H186</f>
        <v>90871094.474657148</v>
      </c>
    </row>
    <row r="187" spans="1:26" x14ac:dyDescent="0.3">
      <c r="A187" s="323">
        <f>+'Purchased Power Model '!A187</f>
        <v>43221</v>
      </c>
      <c r="B187" s="330"/>
      <c r="C187" s="325">
        <f>+'Purchased Power Model '!C187</f>
        <v>137.43539734882</v>
      </c>
      <c r="D187" s="325">
        <f ca="1">+'Purchased Power Model '!D187</f>
        <v>1.9004408491696605</v>
      </c>
      <c r="E187" s="326">
        <f>+'Purchased Power Model '!E187</f>
        <v>6.5531039999999999E-2</v>
      </c>
      <c r="F187" s="327">
        <f>+'Purchased Power Model '!F187</f>
        <v>31</v>
      </c>
      <c r="G187" s="327">
        <f>+'Purchased Power Model '!G187</f>
        <v>1</v>
      </c>
      <c r="H187" s="328">
        <f ca="1">+'Purchased Power Model '!H187</f>
        <v>86816345.692269593</v>
      </c>
      <c r="J187" s="323">
        <f>+'10 Year Average'!A187</f>
        <v>43221</v>
      </c>
      <c r="K187" s="330"/>
      <c r="L187" s="325">
        <f>+'10 Year Average'!C187</f>
        <v>148.14864742444459</v>
      </c>
      <c r="M187" s="325">
        <f>+'10 Year Average'!D187</f>
        <v>1.699107344632766</v>
      </c>
      <c r="N187" s="326">
        <f>+'10 Year Average'!E187</f>
        <v>6.5531039999999999E-2</v>
      </c>
      <c r="O187" s="327">
        <f>+'10 Year Average'!F187</f>
        <v>31</v>
      </c>
      <c r="P187" s="327">
        <f>+'10 Year Average'!G187</f>
        <v>1</v>
      </c>
      <c r="Q187" s="328">
        <f>+'10 Year Average'!H187</f>
        <v>87222964.283383682</v>
      </c>
      <c r="S187" s="323">
        <f>+'20 Year Trend'!A187</f>
        <v>43221</v>
      </c>
      <c r="T187" s="330"/>
      <c r="U187" s="325">
        <f>+'20 Year Trend'!C187</f>
        <v>135.29285621575514</v>
      </c>
      <c r="V187" s="325">
        <f>+'20 Year Trend'!D187</f>
        <v>1.8207074041034785</v>
      </c>
      <c r="W187" s="326">
        <f>+'20 Year Trend'!E187</f>
        <v>6.5531039999999999E-2</v>
      </c>
      <c r="X187" s="327">
        <f>+'20 Year Trend'!F187</f>
        <v>31</v>
      </c>
      <c r="Y187" s="327">
        <f>+'20 Year Trend'!G187</f>
        <v>1</v>
      </c>
      <c r="Z187" s="328">
        <f>+'20 Year Trend'!H187</f>
        <v>86717720.577536121</v>
      </c>
    </row>
    <row r="188" spans="1:26" x14ac:dyDescent="0.3">
      <c r="A188" s="323">
        <f>+'Purchased Power Model '!A188</f>
        <v>43252</v>
      </c>
      <c r="B188" s="330"/>
      <c r="C188" s="325">
        <f>+'Purchased Power Model '!C188</f>
        <v>23.034343854724352</v>
      </c>
      <c r="D188" s="325">
        <f ca="1">+'Purchased Power Model '!D188</f>
        <v>58.621290809002602</v>
      </c>
      <c r="E188" s="326">
        <f>+'Purchased Power Model '!E188</f>
        <v>6.5531039999999999E-2</v>
      </c>
      <c r="F188" s="327">
        <f>+'Purchased Power Model '!F188</f>
        <v>30</v>
      </c>
      <c r="G188" s="327">
        <f>+'Purchased Power Model '!G188</f>
        <v>0</v>
      </c>
      <c r="H188" s="328">
        <f ca="1">+'Purchased Power Model '!H188</f>
        <v>94581281.548319459</v>
      </c>
      <c r="J188" s="323">
        <f>+'10 Year Average'!A188</f>
        <v>43252</v>
      </c>
      <c r="K188" s="330"/>
      <c r="L188" s="325">
        <f>+'10 Year Average'!C188</f>
        <v>24.829897917243368</v>
      </c>
      <c r="M188" s="325">
        <f>+'10 Year Average'!D188</f>
        <v>52.41092655367224</v>
      </c>
      <c r="N188" s="326">
        <f>+'10 Year Average'!E188</f>
        <v>6.5531039999999999E-2</v>
      </c>
      <c r="O188" s="327">
        <f>+'10 Year Average'!F188</f>
        <v>30</v>
      </c>
      <c r="P188" s="327">
        <f>+'10 Year Average'!G188</f>
        <v>0</v>
      </c>
      <c r="Q188" s="328">
        <f>+'10 Year Average'!H188</f>
        <v>93758669.842339516</v>
      </c>
      <c r="S188" s="323">
        <f>+'20 Year Trend'!A188</f>
        <v>43252</v>
      </c>
      <c r="T188" s="330"/>
      <c r="U188" s="325">
        <f>+'20 Year Trend'!C188</f>
        <v>22.675251290989497</v>
      </c>
      <c r="V188" s="325">
        <f>+'20 Year Trend'!D188</f>
        <v>56.1618206958073</v>
      </c>
      <c r="W188" s="326">
        <f>+'20 Year Trend'!E188</f>
        <v>6.5531039999999999E-2</v>
      </c>
      <c r="X188" s="327">
        <f>+'20 Year Trend'!F188</f>
        <v>30</v>
      </c>
      <c r="Y188" s="327">
        <f>+'20 Year Trend'!G188</f>
        <v>0</v>
      </c>
      <c r="Z188" s="328">
        <f>+'20 Year Trend'!H188</f>
        <v>94211986.516032547</v>
      </c>
    </row>
    <row r="189" spans="1:26" x14ac:dyDescent="0.3">
      <c r="A189" s="323">
        <f>+'Purchased Power Model '!A189</f>
        <v>43282</v>
      </c>
      <c r="B189" s="330"/>
      <c r="C189" s="325">
        <f>+'Purchased Power Model '!C189</f>
        <v>8.2204349816116657</v>
      </c>
      <c r="D189" s="325">
        <f ca="1">+'Purchased Power Model '!D189</f>
        <v>79.81851566512573</v>
      </c>
      <c r="E189" s="326">
        <f>+'Purchased Power Model '!E189</f>
        <v>6.4656290000000005E-2</v>
      </c>
      <c r="F189" s="327">
        <f>+'Purchased Power Model '!F189</f>
        <v>31</v>
      </c>
      <c r="G189" s="327">
        <f>+'Purchased Power Model '!G189</f>
        <v>0</v>
      </c>
      <c r="H189" s="328">
        <f ca="1">+'Purchased Power Model '!H189</f>
        <v>99952134.45357348</v>
      </c>
      <c r="J189" s="323">
        <f>+'10 Year Average'!A189</f>
        <v>43282</v>
      </c>
      <c r="K189" s="330"/>
      <c r="L189" s="325">
        <f>+'10 Year Average'!C189</f>
        <v>8.861227509499491</v>
      </c>
      <c r="M189" s="325">
        <f>+'10 Year Average'!D189</f>
        <v>71.362508474576146</v>
      </c>
      <c r="N189" s="326">
        <f>+'10 Year Average'!E189</f>
        <v>6.4656290000000005E-2</v>
      </c>
      <c r="O189" s="327">
        <f>+'10 Year Average'!F189</f>
        <v>31</v>
      </c>
      <c r="P189" s="327">
        <f>+'10 Year Average'!G189</f>
        <v>0</v>
      </c>
      <c r="Q189" s="328">
        <f>+'10 Year Average'!H189</f>
        <v>98758708.958875537</v>
      </c>
      <c r="S189" s="323">
        <f>+'20 Year Trend'!A189</f>
        <v>43282</v>
      </c>
      <c r="T189" s="330"/>
      <c r="U189" s="325">
        <f>+'20 Year Trend'!C189</f>
        <v>8.0922829886059144</v>
      </c>
      <c r="V189" s="325">
        <f>+'20 Year Trend'!D189</f>
        <v>76.469710972346093</v>
      </c>
      <c r="W189" s="326">
        <f>+'20 Year Trend'!E189</f>
        <v>6.4656290000000005E-2</v>
      </c>
      <c r="X189" s="327">
        <f>+'20 Year Trend'!F189</f>
        <v>31</v>
      </c>
      <c r="Y189" s="327">
        <f>+'20 Year Trend'!G189</f>
        <v>0</v>
      </c>
      <c r="Z189" s="328">
        <f>+'20 Year Trend'!H189</f>
        <v>99463975.201136202</v>
      </c>
    </row>
    <row r="190" spans="1:26" x14ac:dyDescent="0.3">
      <c r="A190" s="323">
        <f>+'Purchased Power Model '!A190</f>
        <v>43313</v>
      </c>
      <c r="B190" s="330"/>
      <c r="C190" s="325">
        <f>+'Purchased Power Model '!C190</f>
        <v>10.874950444423765</v>
      </c>
      <c r="D190" s="325">
        <f ca="1">+'Purchased Power Model '!D190</f>
        <v>84.788899424492527</v>
      </c>
      <c r="E190" s="326">
        <f>+'Purchased Power Model '!E190</f>
        <v>6.4656290000000005E-2</v>
      </c>
      <c r="F190" s="327">
        <f>+'Purchased Power Model '!F190</f>
        <v>31</v>
      </c>
      <c r="G190" s="327">
        <f>+'Purchased Power Model '!G190</f>
        <v>0</v>
      </c>
      <c r="H190" s="328">
        <f ca="1">+'Purchased Power Model '!H190</f>
        <v>100776884.2482041</v>
      </c>
      <c r="J190" s="323">
        <f>+'10 Year Average'!A190</f>
        <v>43313</v>
      </c>
      <c r="K190" s="330"/>
      <c r="L190" s="325">
        <f>+'10 Year Average'!C190</f>
        <v>11.722665559442033</v>
      </c>
      <c r="M190" s="325">
        <f>+'10 Year Average'!D190</f>
        <v>75.806327683615706</v>
      </c>
      <c r="N190" s="326">
        <f>+'10 Year Average'!E190</f>
        <v>6.4656290000000005E-2</v>
      </c>
      <c r="O190" s="327">
        <f>+'10 Year Average'!F190</f>
        <v>31</v>
      </c>
      <c r="P190" s="327">
        <f>+'10 Year Average'!G190</f>
        <v>0</v>
      </c>
      <c r="Q190" s="328">
        <f>+'10 Year Average'!H190</f>
        <v>99515934.732237875</v>
      </c>
      <c r="S190" s="323">
        <f>+'20 Year Trend'!A190</f>
        <v>43313</v>
      </c>
      <c r="T190" s="330"/>
      <c r="U190" s="325">
        <f>+'20 Year Trend'!C190</f>
        <v>10.705416037009911</v>
      </c>
      <c r="V190" s="325">
        <f>+'20 Year Trend'!D190</f>
        <v>81.231561106155198</v>
      </c>
      <c r="W190" s="326">
        <f>+'20 Year Trend'!E190</f>
        <v>6.4656290000000005E-2</v>
      </c>
      <c r="X190" s="327">
        <f>+'20 Year Trend'!F190</f>
        <v>31</v>
      </c>
      <c r="Y190" s="327">
        <f>+'20 Year Trend'!G190</f>
        <v>0</v>
      </c>
      <c r="Z190" s="328">
        <f>+'20 Year Trend'!H190</f>
        <v>100256968.49918221</v>
      </c>
    </row>
    <row r="191" spans="1:26" x14ac:dyDescent="0.3">
      <c r="A191" s="323">
        <f>+'Purchased Power Model '!A191</f>
        <v>43344</v>
      </c>
      <c r="B191" s="330"/>
      <c r="C191" s="325">
        <f>+'Purchased Power Model '!C191</f>
        <v>66.277257039244049</v>
      </c>
      <c r="D191" s="325">
        <f ca="1">+'Purchased Power Model '!D191</f>
        <v>32.892245466397974</v>
      </c>
      <c r="E191" s="326">
        <f>+'Purchased Power Model '!E191</f>
        <v>6.4656290000000005E-2</v>
      </c>
      <c r="F191" s="327">
        <f>+'Purchased Power Model '!F191</f>
        <v>30</v>
      </c>
      <c r="G191" s="327">
        <f>+'Purchased Power Model '!G191</f>
        <v>1</v>
      </c>
      <c r="H191" s="328">
        <f ca="1">+'Purchased Power Model '!H191</f>
        <v>85688620.618630752</v>
      </c>
      <c r="J191" s="323">
        <f>+'10 Year Average'!A191</f>
        <v>43344</v>
      </c>
      <c r="K191" s="330"/>
      <c r="L191" s="325">
        <f>+'10 Year Average'!C191</f>
        <v>71.44364679533966</v>
      </c>
      <c r="M191" s="325">
        <f>+'10 Year Average'!D191</f>
        <v>29.407627118644019</v>
      </c>
      <c r="N191" s="326">
        <f>+'10 Year Average'!E191</f>
        <v>6.4656290000000005E-2</v>
      </c>
      <c r="O191" s="327">
        <f>+'10 Year Average'!F191</f>
        <v>30</v>
      </c>
      <c r="P191" s="327">
        <f>+'10 Year Average'!G191</f>
        <v>1</v>
      </c>
      <c r="Q191" s="328">
        <f>+'10 Year Average'!H191</f>
        <v>85396177.33567667</v>
      </c>
      <c r="S191" s="323">
        <f>+'20 Year Trend'!A191</f>
        <v>43344</v>
      </c>
      <c r="T191" s="330"/>
      <c r="U191" s="325">
        <f>+'20 Year Trend'!C191</f>
        <v>65.244031595635207</v>
      </c>
      <c r="V191" s="325">
        <f>+'20 Year Trend'!D191</f>
        <v>31.512243532560205</v>
      </c>
      <c r="W191" s="326">
        <f>+'20 Year Trend'!E191</f>
        <v>6.4656290000000005E-2</v>
      </c>
      <c r="X191" s="327">
        <f>+'20 Year Trend'!F191</f>
        <v>30</v>
      </c>
      <c r="Y191" s="327">
        <f>+'20 Year Trend'!G191</f>
        <v>1</v>
      </c>
      <c r="Z191" s="328">
        <f>+'20 Year Trend'!H191</f>
        <v>85447587.530135095</v>
      </c>
    </row>
    <row r="192" spans="1:26" x14ac:dyDescent="0.3">
      <c r="A192" s="323">
        <f>+'Purchased Power Model '!A192</f>
        <v>43374</v>
      </c>
      <c r="B192" s="330"/>
      <c r="C192" s="325">
        <f>+'Purchased Power Model '!C192</f>
        <v>185.21667567943786</v>
      </c>
      <c r="D192" s="325">
        <f ca="1">+'Purchased Power Model '!D192</f>
        <v>0.73093878814217705</v>
      </c>
      <c r="E192" s="326">
        <f>+'Purchased Power Model '!E192</f>
        <v>6.3593549999999999E-2</v>
      </c>
      <c r="F192" s="327">
        <f>+'Purchased Power Model '!F192</f>
        <v>31</v>
      </c>
      <c r="G192" s="327">
        <f>+'Purchased Power Model '!G192</f>
        <v>1</v>
      </c>
      <c r="H192" s="328">
        <f ca="1">+'Purchased Power Model '!H192</f>
        <v>88826304.695438221</v>
      </c>
      <c r="J192" s="323">
        <f>+'10 Year Average'!A192</f>
        <v>43374</v>
      </c>
      <c r="K192" s="330"/>
      <c r="L192" s="325">
        <f>+'10 Year Average'!C192</f>
        <v>199.65453232341042</v>
      </c>
      <c r="M192" s="325">
        <f>+'10 Year Average'!D192</f>
        <v>0.65350282485875599</v>
      </c>
      <c r="N192" s="326">
        <f>+'10 Year Average'!E192</f>
        <v>6.3593549999999999E-2</v>
      </c>
      <c r="O192" s="327">
        <f>+'10 Year Average'!F192</f>
        <v>31</v>
      </c>
      <c r="P192" s="327">
        <f>+'10 Year Average'!G192</f>
        <v>1</v>
      </c>
      <c r="Q192" s="328">
        <f>+'10 Year Average'!H192</f>
        <v>89402252.158459157</v>
      </c>
      <c r="S192" s="323">
        <f>+'20 Year Trend'!A192</f>
        <v>43374</v>
      </c>
      <c r="T192" s="330"/>
      <c r="U192" s="325">
        <f>+'20 Year Trend'!C192</f>
        <v>182.32925108702707</v>
      </c>
      <c r="V192" s="325">
        <f>+'20 Year Trend'!D192</f>
        <v>0.70027207850133788</v>
      </c>
      <c r="W192" s="326">
        <f>+'20 Year Trend'!E192</f>
        <v>6.3593549999999999E-2</v>
      </c>
      <c r="X192" s="327">
        <f>+'20 Year Trend'!F192</f>
        <v>31</v>
      </c>
      <c r="Y192" s="327">
        <f>+'20 Year Trend'!G192</f>
        <v>1</v>
      </c>
      <c r="Z192" s="328">
        <f>+'20 Year Trend'!H192</f>
        <v>88704465.083634481</v>
      </c>
    </row>
    <row r="193" spans="1:26" x14ac:dyDescent="0.3">
      <c r="A193" s="323">
        <f>+'Purchased Power Model '!A193</f>
        <v>43405</v>
      </c>
      <c r="B193" s="330"/>
      <c r="C193" s="325">
        <f>+'Purchased Power Model '!C193</f>
        <v>348.76908000108671</v>
      </c>
      <c r="D193" s="325">
        <f ca="1">+'Purchased Power Model '!D193</f>
        <v>0</v>
      </c>
      <c r="E193" s="326">
        <f>+'Purchased Power Model '!E193</f>
        <v>6.3593549999999999E-2</v>
      </c>
      <c r="F193" s="327">
        <f>+'Purchased Power Model '!F193</f>
        <v>30</v>
      </c>
      <c r="G193" s="327">
        <f>+'Purchased Power Model '!G193</f>
        <v>1</v>
      </c>
      <c r="H193" s="328">
        <f ca="1">+'Purchased Power Model '!H193</f>
        <v>92561810.892346278</v>
      </c>
      <c r="J193" s="323">
        <f>+'10 Year Average'!A193</f>
        <v>43405</v>
      </c>
      <c r="K193" s="330"/>
      <c r="L193" s="325">
        <f>+'10 Year Average'!C193</f>
        <v>375.95603798116082</v>
      </c>
      <c r="M193" s="325">
        <f>+'10 Year Average'!D193</f>
        <v>0</v>
      </c>
      <c r="N193" s="326">
        <f>+'10 Year Average'!E193</f>
        <v>6.3593549999999999E-2</v>
      </c>
      <c r="O193" s="327">
        <f>+'10 Year Average'!F193</f>
        <v>30</v>
      </c>
      <c r="P193" s="327">
        <f>+'10 Year Average'!G193</f>
        <v>1</v>
      </c>
      <c r="Q193" s="328">
        <f>+'10 Year Average'!H193</f>
        <v>93667367.506831035</v>
      </c>
      <c r="S193" s="323">
        <f>+'20 Year Trend'!A193</f>
        <v>43405</v>
      </c>
      <c r="T193" s="330"/>
      <c r="U193" s="325">
        <f>+'20 Year Trend'!C193</f>
        <v>343.33196471449907</v>
      </c>
      <c r="V193" s="325">
        <f>+'20 Year Trend'!D193</f>
        <v>0</v>
      </c>
      <c r="W193" s="326">
        <f>+'20 Year Trend'!E193</f>
        <v>6.3593549999999999E-2</v>
      </c>
      <c r="X193" s="327">
        <f>+'20 Year Trend'!F193</f>
        <v>30</v>
      </c>
      <c r="Y193" s="327">
        <f>+'20 Year Trend'!G193</f>
        <v>1</v>
      </c>
      <c r="Z193" s="328">
        <f>+'20 Year Trend'!H193</f>
        <v>92340710.805561692</v>
      </c>
    </row>
    <row r="194" spans="1:26" x14ac:dyDescent="0.3">
      <c r="A194" s="323">
        <f>+'Purchased Power Model '!A194</f>
        <v>43435</v>
      </c>
      <c r="B194" s="330"/>
      <c r="C194" s="325">
        <f>+'Purchased Power Model '!C194</f>
        <v>472.50375238055386</v>
      </c>
      <c r="D194" s="325">
        <f ca="1">+'Purchased Power Model '!D194</f>
        <v>0</v>
      </c>
      <c r="E194" s="326">
        <f>+'Purchased Power Model '!E194</f>
        <v>6.3593549999999999E-2</v>
      </c>
      <c r="F194" s="327">
        <f>+'Purchased Power Model '!F194</f>
        <v>31</v>
      </c>
      <c r="G194" s="327">
        <f>+'Purchased Power Model '!G194</f>
        <v>0</v>
      </c>
      <c r="H194" s="328">
        <f ca="1">+'Purchased Power Model '!H194</f>
        <v>107450395.66324635</v>
      </c>
      <c r="J194" s="323">
        <f>+'10 Year Average'!A194</f>
        <v>43435</v>
      </c>
      <c r="K194" s="330"/>
      <c r="L194" s="325">
        <f>+'10 Year Average'!C194</f>
        <v>509.33597288977279</v>
      </c>
      <c r="M194" s="325">
        <f>+'10 Year Average'!D194</f>
        <v>0</v>
      </c>
      <c r="N194" s="326">
        <f>+'10 Year Average'!E194</f>
        <v>6.3593549999999999E-2</v>
      </c>
      <c r="O194" s="327">
        <f>+'10 Year Average'!F194</f>
        <v>31</v>
      </c>
      <c r="P194" s="327">
        <f>+'10 Year Average'!G194</f>
        <v>0</v>
      </c>
      <c r="Q194" s="328">
        <f>+'10 Year Average'!H194</f>
        <v>108948176.51243046</v>
      </c>
      <c r="S194" s="323">
        <f>+'20 Year Trend'!A194</f>
        <v>43435</v>
      </c>
      <c r="T194" s="330"/>
      <c r="U194" s="325">
        <f>+'20 Year Trend'!C194</f>
        <v>465.13768261591093</v>
      </c>
      <c r="V194" s="325">
        <f>+'20 Year Trend'!D194</f>
        <v>0</v>
      </c>
      <c r="W194" s="326">
        <f>+'20 Year Trend'!E194</f>
        <v>6.3593549999999999E-2</v>
      </c>
      <c r="X194" s="327">
        <f>+'20 Year Trend'!F194</f>
        <v>31</v>
      </c>
      <c r="Y194" s="327">
        <f>+'20 Year Trend'!G194</f>
        <v>0</v>
      </c>
      <c r="Z194" s="328">
        <f>+'20 Year Trend'!H194</f>
        <v>107150854.7158176</v>
      </c>
    </row>
    <row r="195" spans="1:26" x14ac:dyDescent="0.3">
      <c r="A195" s="323">
        <f>+'Purchased Power Model '!A195</f>
        <v>43466</v>
      </c>
      <c r="B195" s="330"/>
      <c r="C195" s="325">
        <f>+'Purchased Power Model '!C195</f>
        <v>658.84805317106725</v>
      </c>
      <c r="D195" s="325">
        <f ca="1">+'Purchased Power Model '!D195</f>
        <v>0</v>
      </c>
      <c r="E195" s="326">
        <f>+'Purchased Power Model '!E195</f>
        <v>6.2343830000000003E-2</v>
      </c>
      <c r="F195" s="327">
        <f>+'Purchased Power Model '!F195</f>
        <v>31</v>
      </c>
      <c r="G195" s="327">
        <f>+'Purchased Power Model '!G195</f>
        <v>0</v>
      </c>
      <c r="H195" s="328">
        <f ca="1">+'Purchased Power Model '!H195</f>
        <v>115180043.03197074</v>
      </c>
      <c r="J195" s="323">
        <f>+'10 Year Average'!A195</f>
        <v>43466</v>
      </c>
      <c r="K195" s="330"/>
      <c r="L195" s="325">
        <f>+'10 Year Average'!C195</f>
        <v>711.94424771634965</v>
      </c>
      <c r="M195" s="325">
        <f>+'10 Year Average'!D195</f>
        <v>0</v>
      </c>
      <c r="N195" s="326">
        <f>+'10 Year Average'!E195</f>
        <v>6.2343830000000003E-2</v>
      </c>
      <c r="O195" s="327">
        <f>+'10 Year Average'!F195</f>
        <v>31</v>
      </c>
      <c r="P195" s="327">
        <f>+'10 Year Average'!G195</f>
        <v>0</v>
      </c>
      <c r="Q195" s="328">
        <f>+'10 Year Average'!H195</f>
        <v>117339197.76809567</v>
      </c>
      <c r="S195" s="323">
        <f>+'20 Year Trend'!A195</f>
        <v>43466</v>
      </c>
      <c r="T195" s="330"/>
      <c r="U195" s="325">
        <f>+'20 Year Trend'!C195</f>
        <v>650.1643613658066</v>
      </c>
      <c r="V195" s="325">
        <f>+'20 Year Trend'!D195</f>
        <v>0</v>
      </c>
      <c r="W195" s="326">
        <f>+'20 Year Trend'!E195</f>
        <v>6.2343830000000003E-2</v>
      </c>
      <c r="X195" s="327">
        <f>+'20 Year Trend'!F195</f>
        <v>31</v>
      </c>
      <c r="Y195" s="327">
        <f>+'20 Year Trend'!G195</f>
        <v>0</v>
      </c>
      <c r="Z195" s="328">
        <f>+'20 Year Trend'!H195</f>
        <v>114826921.03426546</v>
      </c>
    </row>
    <row r="196" spans="1:26" x14ac:dyDescent="0.3">
      <c r="A196" s="323">
        <f>+'Purchased Power Model '!A196</f>
        <v>43497</v>
      </c>
      <c r="B196" s="330"/>
      <c r="C196" s="325">
        <f>+'Purchased Power Model '!C196</f>
        <v>590.12728838743919</v>
      </c>
      <c r="D196" s="325">
        <f ca="1">+'Purchased Power Model '!D196</f>
        <v>0</v>
      </c>
      <c r="E196" s="326">
        <f>+'Purchased Power Model '!E196</f>
        <v>6.2343830000000003E-2</v>
      </c>
      <c r="F196" s="327">
        <f>+'Purchased Power Model '!F196</f>
        <v>28</v>
      </c>
      <c r="G196" s="327">
        <f>+'Purchased Power Model '!G196</f>
        <v>0</v>
      </c>
      <c r="H196" s="328">
        <f ca="1">+'Purchased Power Model '!H196</f>
        <v>103955714.45600429</v>
      </c>
      <c r="J196" s="323">
        <f>+'10 Year Average'!A196</f>
        <v>43497</v>
      </c>
      <c r="K196" s="330"/>
      <c r="L196" s="325">
        <f>+'10 Year Average'!C196</f>
        <v>637.68531509767956</v>
      </c>
      <c r="M196" s="325">
        <f>+'10 Year Average'!D196</f>
        <v>0</v>
      </c>
      <c r="N196" s="326">
        <f>+'10 Year Average'!E196</f>
        <v>6.2343830000000003E-2</v>
      </c>
      <c r="O196" s="327">
        <f>+'10 Year Average'!F196</f>
        <v>28</v>
      </c>
      <c r="P196" s="327">
        <f>+'10 Year Average'!G196</f>
        <v>0</v>
      </c>
      <c r="Q196" s="328">
        <f>+'10 Year Average'!H196</f>
        <v>105889659.8072968</v>
      </c>
      <c r="S196" s="323">
        <f>+'20 Year Trend'!A196</f>
        <v>43497</v>
      </c>
      <c r="T196" s="330"/>
      <c r="U196" s="325">
        <f>+'20 Year Trend'!C196</f>
        <v>582.34934402899978</v>
      </c>
      <c r="V196" s="325">
        <f>+'20 Year Trend'!D196</f>
        <v>0</v>
      </c>
      <c r="W196" s="326">
        <f>+'20 Year Trend'!E196</f>
        <v>6.2343830000000003E-2</v>
      </c>
      <c r="X196" s="327">
        <f>+'20 Year Trend'!F196</f>
        <v>28</v>
      </c>
      <c r="Y196" s="327">
        <f>+'20 Year Trend'!G196</f>
        <v>0</v>
      </c>
      <c r="Z196" s="328">
        <f>+'20 Year Trend'!H196</f>
        <v>103639424.64384988</v>
      </c>
    </row>
    <row r="197" spans="1:26" x14ac:dyDescent="0.3">
      <c r="A197" s="323">
        <f>+'Purchased Power Model '!A197</f>
        <v>43525</v>
      </c>
      <c r="B197" s="330"/>
      <c r="C197" s="325">
        <f>+'Purchased Power Model '!C197</f>
        <v>579.10804829161816</v>
      </c>
      <c r="D197" s="325">
        <f ca="1">+'Purchased Power Model '!D197</f>
        <v>0</v>
      </c>
      <c r="E197" s="326">
        <f>+'Purchased Power Model '!E197</f>
        <v>6.2343830000000003E-2</v>
      </c>
      <c r="F197" s="327">
        <f>+'Purchased Power Model '!F197</f>
        <v>31</v>
      </c>
      <c r="G197" s="327">
        <f>+'Purchased Power Model '!G197</f>
        <v>1</v>
      </c>
      <c r="H197" s="328">
        <f ca="1">+'Purchased Power Model '!H197</f>
        <v>104890433.50666915</v>
      </c>
      <c r="J197" s="323">
        <f>+'10 Year Average'!A197</f>
        <v>43525</v>
      </c>
      <c r="K197" s="330"/>
      <c r="L197" s="325">
        <f>+'10 Year Average'!C197</f>
        <v>625.77804063178974</v>
      </c>
      <c r="M197" s="325">
        <f>+'10 Year Average'!D197</f>
        <v>0</v>
      </c>
      <c r="N197" s="326">
        <f>+'10 Year Average'!E197</f>
        <v>6.2343830000000003E-2</v>
      </c>
      <c r="O197" s="327">
        <f>+'10 Year Average'!F197</f>
        <v>31</v>
      </c>
      <c r="P197" s="327">
        <f>+'10 Year Average'!G197</f>
        <v>1</v>
      </c>
      <c r="Q197" s="328">
        <f>+'10 Year Average'!H197</f>
        <v>106788266.97400469</v>
      </c>
      <c r="S197" s="323">
        <f>+'20 Year Trend'!A197</f>
        <v>43525</v>
      </c>
      <c r="T197" s="330"/>
      <c r="U197" s="325">
        <f>+'20 Year Trend'!C197</f>
        <v>571.47533876306068</v>
      </c>
      <c r="V197" s="325">
        <f>+'20 Year Trend'!D197</f>
        <v>0</v>
      </c>
      <c r="W197" s="326">
        <f>+'20 Year Trend'!E197</f>
        <v>6.2343830000000003E-2</v>
      </c>
      <c r="X197" s="327">
        <f>+'20 Year Trend'!F197</f>
        <v>31</v>
      </c>
      <c r="Y197" s="327">
        <f>+'20 Year Trend'!G197</f>
        <v>1</v>
      </c>
      <c r="Z197" s="328">
        <f>+'20 Year Trend'!H197</f>
        <v>104580049.66336007</v>
      </c>
    </row>
    <row r="198" spans="1:26" x14ac:dyDescent="0.3">
      <c r="A198" s="323">
        <f>+'Purchased Power Model '!A198</f>
        <v>43556</v>
      </c>
      <c r="B198" s="330"/>
      <c r="C198" s="325">
        <f>+'Purchased Power Model '!C198</f>
        <v>317.1661897347559</v>
      </c>
      <c r="D198" s="325">
        <f ca="1">+'Purchased Power Model '!D198</f>
        <v>0</v>
      </c>
      <c r="E198" s="326">
        <f>+'Purchased Power Model '!E198</f>
        <v>6.0906349999999998E-2</v>
      </c>
      <c r="F198" s="327">
        <f>+'Purchased Power Model '!F198</f>
        <v>30</v>
      </c>
      <c r="G198" s="327">
        <f>+'Purchased Power Model '!G198</f>
        <v>1</v>
      </c>
      <c r="H198" s="328">
        <f ca="1">+'Purchased Power Model '!H198</f>
        <v>91603438.697081491</v>
      </c>
      <c r="J198" s="323">
        <f>+'10 Year Average'!A198</f>
        <v>43556</v>
      </c>
      <c r="K198" s="330"/>
      <c r="L198" s="325">
        <f>+'10 Year Average'!C198</f>
        <v>342.72643482053758</v>
      </c>
      <c r="M198" s="325">
        <f>+'10 Year Average'!D198</f>
        <v>0</v>
      </c>
      <c r="N198" s="326">
        <f>+'10 Year Average'!E198</f>
        <v>6.0906349999999998E-2</v>
      </c>
      <c r="O198" s="327">
        <f>+'10 Year Average'!F198</f>
        <v>30</v>
      </c>
      <c r="P198" s="327">
        <f>+'10 Year Average'!G198</f>
        <v>1</v>
      </c>
      <c r="Q198" s="328">
        <f>+'10 Year Average'!H198</f>
        <v>92642845.093455389</v>
      </c>
      <c r="S198" s="323">
        <f>+'20 Year Trend'!A198</f>
        <v>43556</v>
      </c>
      <c r="T198" s="330"/>
      <c r="U198" s="325">
        <f>+'20 Year Trend'!C198</f>
        <v>312.98590350722668</v>
      </c>
      <c r="V198" s="325">
        <f>+'20 Year Trend'!D198</f>
        <v>0</v>
      </c>
      <c r="W198" s="326">
        <f>+'20 Year Trend'!E198</f>
        <v>6.0906349999999998E-2</v>
      </c>
      <c r="X198" s="327">
        <f>+'20 Year Trend'!F198</f>
        <v>30</v>
      </c>
      <c r="Y198" s="327">
        <f>+'20 Year Trend'!G198</f>
        <v>1</v>
      </c>
      <c r="Z198" s="328">
        <f>+'20 Year Trend'!H198</f>
        <v>91433447.516285479</v>
      </c>
    </row>
    <row r="199" spans="1:26" x14ac:dyDescent="0.3">
      <c r="A199" s="323">
        <f>+'Purchased Power Model '!A199</f>
        <v>43586</v>
      </c>
      <c r="B199" s="330"/>
      <c r="C199" s="325">
        <f>+'Purchased Power Model '!C199</f>
        <v>137.09984770381988</v>
      </c>
      <c r="D199" s="325">
        <f ca="1">+'Purchased Power Model '!D199</f>
        <v>1.9186560520458842</v>
      </c>
      <c r="E199" s="326">
        <f>+'Purchased Power Model '!E199</f>
        <v>6.0906349999999998E-2</v>
      </c>
      <c r="F199" s="327">
        <f>+'Purchased Power Model '!F199</f>
        <v>31</v>
      </c>
      <c r="G199" s="327">
        <f>+'Purchased Power Model '!G199</f>
        <v>1</v>
      </c>
      <c r="H199" s="328">
        <f ca="1">+'Purchased Power Model '!H199</f>
        <v>87367680.526278496</v>
      </c>
      <c r="J199" s="323">
        <f>+'10 Year Average'!A199</f>
        <v>43586</v>
      </c>
      <c r="K199" s="330"/>
      <c r="L199" s="325">
        <f>+'10 Year Average'!C199</f>
        <v>148.14864742444459</v>
      </c>
      <c r="M199" s="325">
        <f>+'10 Year Average'!D199</f>
        <v>1.699107344632766</v>
      </c>
      <c r="N199" s="326">
        <f>+'10 Year Average'!E199</f>
        <v>6.0906349999999998E-2</v>
      </c>
      <c r="O199" s="327">
        <f>+'10 Year Average'!F199</f>
        <v>31</v>
      </c>
      <c r="P199" s="327">
        <f>+'10 Year Average'!G199</f>
        <v>1</v>
      </c>
      <c r="Q199" s="328">
        <f>+'10 Year Average'!H199</f>
        <v>87785317.325012013</v>
      </c>
      <c r="S199" s="323">
        <f>+'20 Year Trend'!A199</f>
        <v>43586</v>
      </c>
      <c r="T199" s="330"/>
      <c r="U199" s="325">
        <f>+'20 Year Trend'!C199</f>
        <v>135.29285621575514</v>
      </c>
      <c r="V199" s="325">
        <f>+'20 Year Trend'!D199</f>
        <v>1.8207074041034785</v>
      </c>
      <c r="W199" s="326">
        <f>+'20 Year Trend'!E199</f>
        <v>6.0906349999999998E-2</v>
      </c>
      <c r="X199" s="327">
        <f>+'20 Year Trend'!F199</f>
        <v>31</v>
      </c>
      <c r="Y199" s="327">
        <f>+'20 Year Trend'!G199</f>
        <v>1</v>
      </c>
      <c r="Z199" s="328">
        <f>+'20 Year Trend'!H199</f>
        <v>87280073.619164467</v>
      </c>
    </row>
    <row r="200" spans="1:26" x14ac:dyDescent="0.3">
      <c r="A200" s="323">
        <f>+'Purchased Power Model '!A200</f>
        <v>43617</v>
      </c>
      <c r="B200" s="330"/>
      <c r="C200" s="325">
        <f>+'Purchased Power Model '!C200</f>
        <v>22.978105316091931</v>
      </c>
      <c r="D200" s="325">
        <f ca="1">+'Purchased Power Model '!D200</f>
        <v>59.1831597592615</v>
      </c>
      <c r="E200" s="326">
        <f>+'Purchased Power Model '!E200</f>
        <v>6.0906349999999998E-2</v>
      </c>
      <c r="F200" s="327">
        <f>+'Purchased Power Model '!F200</f>
        <v>30</v>
      </c>
      <c r="G200" s="327">
        <f>+'Purchased Power Model '!G200</f>
        <v>0</v>
      </c>
      <c r="H200" s="328">
        <f ca="1">+'Purchased Power Model '!H200</f>
        <v>95222377.597290725</v>
      </c>
      <c r="J200" s="323">
        <f>+'10 Year Average'!A200</f>
        <v>43617</v>
      </c>
      <c r="K200" s="330"/>
      <c r="L200" s="325">
        <f>+'10 Year Average'!C200</f>
        <v>24.829897917243368</v>
      </c>
      <c r="M200" s="325">
        <f>+'10 Year Average'!D200</f>
        <v>52.41092655367224</v>
      </c>
      <c r="N200" s="326">
        <f>+'10 Year Average'!E200</f>
        <v>6.0906349999999998E-2</v>
      </c>
      <c r="O200" s="327">
        <f>+'10 Year Average'!F200</f>
        <v>30</v>
      </c>
      <c r="P200" s="327">
        <f>+'10 Year Average'!G200</f>
        <v>0</v>
      </c>
      <c r="Q200" s="328">
        <f>+'10 Year Average'!H200</f>
        <v>94321022.883967847</v>
      </c>
      <c r="S200" s="323">
        <f>+'20 Year Trend'!A200</f>
        <v>43617</v>
      </c>
      <c r="T200" s="330"/>
      <c r="U200" s="325">
        <f>+'20 Year Trend'!C200</f>
        <v>22.675251290989497</v>
      </c>
      <c r="V200" s="325">
        <f>+'20 Year Trend'!D200</f>
        <v>56.1618206958073</v>
      </c>
      <c r="W200" s="326">
        <f>+'20 Year Trend'!E200</f>
        <v>6.0906349999999998E-2</v>
      </c>
      <c r="X200" s="327">
        <f>+'20 Year Trend'!F200</f>
        <v>30</v>
      </c>
      <c r="Y200" s="327">
        <f>+'20 Year Trend'!G200</f>
        <v>0</v>
      </c>
      <c r="Z200" s="328">
        <f>+'20 Year Trend'!H200</f>
        <v>94774339.557660878</v>
      </c>
    </row>
    <row r="201" spans="1:26" x14ac:dyDescent="0.3">
      <c r="A201" s="323">
        <f>+'Purchased Power Model '!A201</f>
        <v>43647</v>
      </c>
      <c r="B201" s="330"/>
      <c r="C201" s="325">
        <f>+'Purchased Power Model '!C201</f>
        <v>8.2003647224714715</v>
      </c>
      <c r="D201" s="325">
        <f ca="1">+'Purchased Power Model '!D201</f>
        <v>80.583554185927127</v>
      </c>
      <c r="E201" s="326">
        <f>+'Purchased Power Model '!E201</f>
        <v>5.928129E-2</v>
      </c>
      <c r="F201" s="327">
        <f>+'Purchased Power Model '!F201</f>
        <v>31</v>
      </c>
      <c r="G201" s="327">
        <f>+'Purchased Power Model '!G201</f>
        <v>0</v>
      </c>
      <c r="H201" s="328">
        <f ca="1">+'Purchased Power Model '!H201</f>
        <v>100715237.58246857</v>
      </c>
      <c r="J201" s="323">
        <f>+'10 Year Average'!A201</f>
        <v>43647</v>
      </c>
      <c r="K201" s="330"/>
      <c r="L201" s="325">
        <f>+'10 Year Average'!C201</f>
        <v>8.861227509499491</v>
      </c>
      <c r="M201" s="325">
        <f>+'10 Year Average'!D201</f>
        <v>71.362508474576146</v>
      </c>
      <c r="N201" s="326">
        <f>+'10 Year Average'!E201</f>
        <v>5.928129E-2</v>
      </c>
      <c r="O201" s="327">
        <f>+'10 Year Average'!F201</f>
        <v>31</v>
      </c>
      <c r="P201" s="327">
        <f>+'10 Year Average'!G201</f>
        <v>0</v>
      </c>
      <c r="Q201" s="328">
        <f>+'10 Year Average'!H201</f>
        <v>99412298.193776116</v>
      </c>
      <c r="S201" s="323">
        <f>+'20 Year Trend'!A201</f>
        <v>43647</v>
      </c>
      <c r="T201" s="330"/>
      <c r="U201" s="325">
        <f>+'20 Year Trend'!C201</f>
        <v>8.0922829886059144</v>
      </c>
      <c r="V201" s="325">
        <f>+'20 Year Trend'!D201</f>
        <v>76.469710972346093</v>
      </c>
      <c r="W201" s="326">
        <f>+'20 Year Trend'!E201</f>
        <v>5.928129E-2</v>
      </c>
      <c r="X201" s="327">
        <f>+'20 Year Trend'!F201</f>
        <v>31</v>
      </c>
      <c r="Y201" s="327">
        <f>+'20 Year Trend'!G201</f>
        <v>0</v>
      </c>
      <c r="Z201" s="328">
        <f>+'20 Year Trend'!H201</f>
        <v>100117564.43603677</v>
      </c>
    </row>
    <row r="202" spans="1:26" x14ac:dyDescent="0.3">
      <c r="A202" s="323">
        <f>+'Purchased Power Model '!A202</f>
        <v>43678</v>
      </c>
      <c r="B202" s="330"/>
      <c r="C202" s="325">
        <f>+'Purchased Power Model '!C202</f>
        <v>10.848399164102883</v>
      </c>
      <c r="D202" s="325">
        <f ca="1">+'Purchased Power Model '!D202</f>
        <v>85.601577706662511</v>
      </c>
      <c r="E202" s="326">
        <f>+'Purchased Power Model '!E202</f>
        <v>5.928129E-2</v>
      </c>
      <c r="F202" s="327">
        <f>+'Purchased Power Model '!F202</f>
        <v>31</v>
      </c>
      <c r="G202" s="327">
        <f>+'Purchased Power Model '!G202</f>
        <v>0</v>
      </c>
      <c r="H202" s="328">
        <f ca="1">+'Purchased Power Model '!H202</f>
        <v>101546594.19605273</v>
      </c>
      <c r="J202" s="323">
        <f>+'10 Year Average'!A202</f>
        <v>43678</v>
      </c>
      <c r="K202" s="330"/>
      <c r="L202" s="325">
        <f>+'10 Year Average'!C202</f>
        <v>11.722665559442033</v>
      </c>
      <c r="M202" s="325">
        <f>+'10 Year Average'!D202</f>
        <v>75.806327683615706</v>
      </c>
      <c r="N202" s="326">
        <f>+'10 Year Average'!E202</f>
        <v>5.928129E-2</v>
      </c>
      <c r="O202" s="327">
        <f>+'10 Year Average'!F202</f>
        <v>31</v>
      </c>
      <c r="P202" s="327">
        <f>+'10 Year Average'!G202</f>
        <v>0</v>
      </c>
      <c r="Q202" s="328">
        <f>+'10 Year Average'!H202</f>
        <v>100169523.96713844</v>
      </c>
      <c r="S202" s="323">
        <f>+'20 Year Trend'!A202</f>
        <v>43678</v>
      </c>
      <c r="T202" s="330"/>
      <c r="U202" s="325">
        <f>+'20 Year Trend'!C202</f>
        <v>10.705416037009911</v>
      </c>
      <c r="V202" s="325">
        <f>+'20 Year Trend'!D202</f>
        <v>81.231561106155198</v>
      </c>
      <c r="W202" s="326">
        <f>+'20 Year Trend'!E202</f>
        <v>5.928129E-2</v>
      </c>
      <c r="X202" s="327">
        <f>+'20 Year Trend'!F202</f>
        <v>31</v>
      </c>
      <c r="Y202" s="327">
        <f>+'20 Year Trend'!G202</f>
        <v>0</v>
      </c>
      <c r="Z202" s="328">
        <f>+'20 Year Trend'!H202</f>
        <v>100910557.73408277</v>
      </c>
    </row>
    <row r="203" spans="1:26" x14ac:dyDescent="0.3">
      <c r="A203" s="323">
        <f>+'Purchased Power Model '!A203</f>
        <v>43709</v>
      </c>
      <c r="B203" s="330"/>
      <c r="C203" s="325">
        <f>+'Purchased Power Model '!C203</f>
        <v>66.115440574926225</v>
      </c>
      <c r="D203" s="325">
        <f ca="1">+'Purchased Power Model '!D203</f>
        <v>33.207508593101842</v>
      </c>
      <c r="E203" s="326">
        <f>+'Purchased Power Model '!E203</f>
        <v>5.928129E-2</v>
      </c>
      <c r="F203" s="327">
        <f>+'Purchased Power Model '!F203</f>
        <v>30</v>
      </c>
      <c r="G203" s="327">
        <f>+'Purchased Power Model '!G203</f>
        <v>1</v>
      </c>
      <c r="H203" s="328">
        <f ca="1">+'Purchased Power Model '!H203</f>
        <v>86381095.273228198</v>
      </c>
      <c r="J203" s="323">
        <f>+'10 Year Average'!A203</f>
        <v>43709</v>
      </c>
      <c r="K203" s="330"/>
      <c r="L203" s="325">
        <f>+'10 Year Average'!C203</f>
        <v>71.44364679533966</v>
      </c>
      <c r="M203" s="325">
        <f>+'10 Year Average'!D203</f>
        <v>29.407627118644019</v>
      </c>
      <c r="N203" s="326">
        <f>+'10 Year Average'!E203</f>
        <v>5.928129E-2</v>
      </c>
      <c r="O203" s="327">
        <f>+'10 Year Average'!F203</f>
        <v>30</v>
      </c>
      <c r="P203" s="327">
        <f>+'10 Year Average'!G203</f>
        <v>1</v>
      </c>
      <c r="Q203" s="328">
        <f>+'10 Year Average'!H203</f>
        <v>86049766.570577249</v>
      </c>
      <c r="S203" s="323">
        <f>+'20 Year Trend'!A203</f>
        <v>43709</v>
      </c>
      <c r="T203" s="330"/>
      <c r="U203" s="325">
        <f>+'20 Year Trend'!C203</f>
        <v>65.244031595635207</v>
      </c>
      <c r="V203" s="325">
        <f>+'20 Year Trend'!D203</f>
        <v>31.512243532560205</v>
      </c>
      <c r="W203" s="326">
        <f>+'20 Year Trend'!E203</f>
        <v>5.928129E-2</v>
      </c>
      <c r="X203" s="327">
        <f>+'20 Year Trend'!F203</f>
        <v>30</v>
      </c>
      <c r="Y203" s="327">
        <f>+'20 Year Trend'!G203</f>
        <v>1</v>
      </c>
      <c r="Z203" s="328">
        <f>+'20 Year Trend'!H203</f>
        <v>86101176.765035659</v>
      </c>
    </row>
    <row r="204" spans="1:26" x14ac:dyDescent="0.3">
      <c r="A204" s="323">
        <f>+'Purchased Power Model '!A204</f>
        <v>43739</v>
      </c>
      <c r="B204" s="330"/>
      <c r="C204" s="325">
        <f>+'Purchased Power Model '!C204</f>
        <v>184.76446765318536</v>
      </c>
      <c r="D204" s="325">
        <f ca="1">+'Purchased Power Model '!D204</f>
        <v>0.73794463540226296</v>
      </c>
      <c r="E204" s="326">
        <f>+'Purchased Power Model '!E204</f>
        <v>5.7468579999999998E-2</v>
      </c>
      <c r="F204" s="327">
        <f>+'Purchased Power Model '!F204</f>
        <v>31</v>
      </c>
      <c r="G204" s="327">
        <f>+'Purchased Power Model '!G204</f>
        <v>1</v>
      </c>
      <c r="H204" s="328">
        <f ca="1">+'Purchased Power Model '!H204</f>
        <v>89553710.106512368</v>
      </c>
      <c r="J204" s="323">
        <f>+'10 Year Average'!A204</f>
        <v>43739</v>
      </c>
      <c r="K204" s="330"/>
      <c r="L204" s="325">
        <f>+'10 Year Average'!C204</f>
        <v>199.65453232341042</v>
      </c>
      <c r="M204" s="325">
        <f>+'10 Year Average'!D204</f>
        <v>0.65350282485875599</v>
      </c>
      <c r="N204" s="326">
        <f>+'10 Year Average'!E204</f>
        <v>5.7468579999999998E-2</v>
      </c>
      <c r="O204" s="327">
        <f>+'10 Year Average'!F204</f>
        <v>31</v>
      </c>
      <c r="P204" s="327">
        <f>+'10 Year Average'!G204</f>
        <v>1</v>
      </c>
      <c r="Q204" s="328">
        <f>+'10 Year Average'!H204</f>
        <v>90147036.24331291</v>
      </c>
      <c r="S204" s="323">
        <f>+'20 Year Trend'!A204</f>
        <v>43739</v>
      </c>
      <c r="T204" s="330"/>
      <c r="U204" s="325">
        <f>+'20 Year Trend'!C204</f>
        <v>182.32925108702707</v>
      </c>
      <c r="V204" s="325">
        <f>+'20 Year Trend'!D204</f>
        <v>0.70027207850133788</v>
      </c>
      <c r="W204" s="326">
        <f>+'20 Year Trend'!E204</f>
        <v>5.7468579999999998E-2</v>
      </c>
      <c r="X204" s="327">
        <f>+'20 Year Trend'!F204</f>
        <v>31</v>
      </c>
      <c r="Y204" s="327">
        <f>+'20 Year Trend'!G204</f>
        <v>1</v>
      </c>
      <c r="Z204" s="328">
        <f>+'20 Year Trend'!H204</f>
        <v>89449249.168488234</v>
      </c>
    </row>
    <row r="205" spans="1:26" x14ac:dyDescent="0.3">
      <c r="A205" s="323">
        <f>+'Purchased Power Model '!A205</f>
        <v>43770</v>
      </c>
      <c r="B205" s="330"/>
      <c r="C205" s="325">
        <f>+'Purchased Power Model '!C205</f>
        <v>347.91755744402406</v>
      </c>
      <c r="D205" s="325">
        <f ca="1">+'Purchased Power Model '!D205</f>
        <v>0</v>
      </c>
      <c r="E205" s="326">
        <f>+'Purchased Power Model '!E205</f>
        <v>5.7468579999999998E-2</v>
      </c>
      <c r="F205" s="327">
        <f>+'Purchased Power Model '!F205</f>
        <v>30</v>
      </c>
      <c r="G205" s="327">
        <f>+'Purchased Power Model '!G205</f>
        <v>1</v>
      </c>
      <c r="H205" s="328">
        <f ca="1">+'Purchased Power Model '!H205</f>
        <v>93271967.844733298</v>
      </c>
      <c r="J205" s="323">
        <f>+'10 Year Average'!A205</f>
        <v>43770</v>
      </c>
      <c r="K205" s="330"/>
      <c r="L205" s="325">
        <f>+'10 Year Average'!C205</f>
        <v>375.95603798116082</v>
      </c>
      <c r="M205" s="325">
        <f>+'10 Year Average'!D205</f>
        <v>0</v>
      </c>
      <c r="N205" s="326">
        <f>+'10 Year Average'!E205</f>
        <v>5.7468579999999998E-2</v>
      </c>
      <c r="O205" s="327">
        <f>+'10 Year Average'!F205</f>
        <v>30</v>
      </c>
      <c r="P205" s="327">
        <f>+'10 Year Average'!G205</f>
        <v>1</v>
      </c>
      <c r="Q205" s="328">
        <f>+'10 Year Average'!H205</f>
        <v>94412151.591684788</v>
      </c>
      <c r="S205" s="323">
        <f>+'20 Year Trend'!A205</f>
        <v>43770</v>
      </c>
      <c r="T205" s="330"/>
      <c r="U205" s="325">
        <f>+'20 Year Trend'!C205</f>
        <v>343.33196471449907</v>
      </c>
      <c r="V205" s="325">
        <f>+'20 Year Trend'!D205</f>
        <v>0</v>
      </c>
      <c r="W205" s="326">
        <f>+'20 Year Trend'!E205</f>
        <v>5.7468579999999998E-2</v>
      </c>
      <c r="X205" s="327">
        <f>+'20 Year Trend'!F205</f>
        <v>30</v>
      </c>
      <c r="Y205" s="327">
        <f>+'20 Year Trend'!G205</f>
        <v>1</v>
      </c>
      <c r="Z205" s="328">
        <f>+'20 Year Trend'!H205</f>
        <v>93085494.890415445</v>
      </c>
    </row>
    <row r="206" spans="1:26" ht="12.9" thickBot="1" x14ac:dyDescent="0.35">
      <c r="A206" s="331">
        <f>+'Purchased Power Model '!A206</f>
        <v>43800</v>
      </c>
      <c r="B206" s="332"/>
      <c r="C206" s="333">
        <f>+'Purchased Power Model '!C206</f>
        <v>471.35013061039143</v>
      </c>
      <c r="D206" s="333">
        <f ca="1">+'Purchased Power Model '!D206</f>
        <v>0</v>
      </c>
      <c r="E206" s="334">
        <f>+'Purchased Power Model '!E206</f>
        <v>5.7468579999999998E-2</v>
      </c>
      <c r="F206" s="335">
        <f>+'Purchased Power Model '!F206</f>
        <v>31</v>
      </c>
      <c r="G206" s="335">
        <f>+'Purchased Power Model '!G206</f>
        <v>0</v>
      </c>
      <c r="H206" s="336">
        <f ca="1">+'Purchased Power Model '!H206</f>
        <v>108148267.76259767</v>
      </c>
      <c r="J206" s="331">
        <f>+'10 Year Average'!A206</f>
        <v>43800</v>
      </c>
      <c r="K206" s="332"/>
      <c r="L206" s="333">
        <f>+'10 Year Average'!C206</f>
        <v>509.33597288977279</v>
      </c>
      <c r="M206" s="333">
        <f>+'10 Year Average'!D206</f>
        <v>0</v>
      </c>
      <c r="N206" s="334">
        <f>+'10 Year Average'!E206</f>
        <v>5.7468579999999998E-2</v>
      </c>
      <c r="O206" s="335">
        <f>+'10 Year Average'!F206</f>
        <v>31</v>
      </c>
      <c r="P206" s="335">
        <f>+'10 Year Average'!G206</f>
        <v>0</v>
      </c>
      <c r="Q206" s="336">
        <f>+'10 Year Average'!H206</f>
        <v>109692960.59728423</v>
      </c>
      <c r="S206" s="331">
        <f>+'20 Year Trend'!A206</f>
        <v>43800</v>
      </c>
      <c r="T206" s="332"/>
      <c r="U206" s="333">
        <f>+'20 Year Trend'!C206</f>
        <v>465.13768261591093</v>
      </c>
      <c r="V206" s="333">
        <f>+'20 Year Trend'!D206</f>
        <v>0</v>
      </c>
      <c r="W206" s="334">
        <f>+'20 Year Trend'!E206</f>
        <v>5.7468579999999998E-2</v>
      </c>
      <c r="X206" s="335">
        <f>+'20 Year Trend'!F206</f>
        <v>31</v>
      </c>
      <c r="Y206" s="335">
        <f>+'20 Year Trend'!G206</f>
        <v>0</v>
      </c>
      <c r="Z206" s="336">
        <f>+'20 Year Trend'!H206</f>
        <v>107895638.80067134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8"/>
  <sheetViews>
    <sheetView workbookViewId="0">
      <selection activeCell="B18" sqref="B18"/>
    </sheetView>
  </sheetViews>
  <sheetFormatPr defaultRowHeight="12.45" x14ac:dyDescent="0.3"/>
  <cols>
    <col min="1" max="1" width="25.84375" customWidth="1"/>
    <col min="2" max="2" width="11.69140625" bestFit="1" customWidth="1"/>
    <col min="3" max="3" width="10.69140625" bestFit="1" customWidth="1"/>
    <col min="4" max="4" width="9.53515625" bestFit="1" customWidth="1"/>
    <col min="5" max="5" width="10" customWidth="1"/>
    <col min="6" max="7" width="11.15234375" customWidth="1"/>
    <col min="9" max="9" width="10.15234375" customWidth="1"/>
    <col min="10" max="10" width="10.53515625" customWidth="1"/>
  </cols>
  <sheetData>
    <row r="1" spans="1:10" ht="23.6" thickBot="1" x14ac:dyDescent="0.35">
      <c r="A1" s="256" t="s">
        <v>112</v>
      </c>
      <c r="B1" s="249" t="s">
        <v>71</v>
      </c>
      <c r="C1" s="249" t="s">
        <v>236</v>
      </c>
      <c r="D1" s="249" t="s">
        <v>235</v>
      </c>
      <c r="E1" s="249" t="s">
        <v>74</v>
      </c>
      <c r="F1" s="249" t="s">
        <v>237</v>
      </c>
      <c r="G1" s="249" t="s">
        <v>238</v>
      </c>
      <c r="H1" s="249" t="s">
        <v>239</v>
      </c>
      <c r="I1" s="249" t="s">
        <v>76</v>
      </c>
      <c r="J1" s="250" t="s">
        <v>9</v>
      </c>
    </row>
    <row r="2" spans="1:10" x14ac:dyDescent="0.3">
      <c r="A2" s="279" t="s">
        <v>242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10" x14ac:dyDescent="0.3">
      <c r="A3" s="282" t="s">
        <v>114</v>
      </c>
      <c r="B3" s="254">
        <v>47243</v>
      </c>
      <c r="C3" s="254">
        <v>3845</v>
      </c>
      <c r="D3" s="254">
        <v>522</v>
      </c>
      <c r="E3" s="254">
        <v>2</v>
      </c>
      <c r="F3" s="254">
        <v>9</v>
      </c>
      <c r="G3" s="254">
        <v>11650</v>
      </c>
      <c r="H3" s="254">
        <v>77</v>
      </c>
      <c r="I3" s="254">
        <v>305</v>
      </c>
      <c r="J3" s="261">
        <f>SUM(B3:I3)</f>
        <v>63653</v>
      </c>
    </row>
    <row r="4" spans="1:10" x14ac:dyDescent="0.3">
      <c r="A4" s="282" t="s">
        <v>227</v>
      </c>
      <c r="B4" s="254">
        <v>49919.725406979574</v>
      </c>
      <c r="C4" s="254">
        <v>3961</v>
      </c>
      <c r="D4" s="254">
        <v>518</v>
      </c>
      <c r="E4" s="254">
        <v>1</v>
      </c>
      <c r="F4" s="254">
        <v>10</v>
      </c>
      <c r="G4" s="254">
        <v>12761.899782618997</v>
      </c>
      <c r="H4" s="254">
        <v>22.307657589073369</v>
      </c>
      <c r="I4" s="254">
        <v>313.0793844964528</v>
      </c>
      <c r="J4" s="261">
        <f>SUM(B4:I4)</f>
        <v>67507.012231684101</v>
      </c>
    </row>
    <row r="5" spans="1:10" x14ac:dyDescent="0.3">
      <c r="A5" s="276"/>
      <c r="B5" s="253"/>
      <c r="C5" s="283"/>
      <c r="D5" s="283"/>
      <c r="E5" s="283"/>
      <c r="F5" s="283"/>
      <c r="G5" s="283"/>
      <c r="H5" s="283"/>
      <c r="I5" s="283"/>
      <c r="J5" s="284"/>
    </row>
    <row r="6" spans="1:10" x14ac:dyDescent="0.3">
      <c r="A6" s="276">
        <v>2002</v>
      </c>
      <c r="B6" s="251">
        <v>42960</v>
      </c>
      <c r="C6" s="251">
        <v>3701</v>
      </c>
      <c r="D6" s="251">
        <v>573</v>
      </c>
      <c r="E6" s="251">
        <v>2</v>
      </c>
      <c r="F6" s="251">
        <v>5</v>
      </c>
      <c r="G6" s="251">
        <v>9967</v>
      </c>
      <c r="H6" s="251">
        <v>38</v>
      </c>
      <c r="I6" s="251">
        <v>291</v>
      </c>
      <c r="J6" s="285">
        <f t="shared" ref="J6:J17" si="0">SUM(B6:I6)</f>
        <v>57537</v>
      </c>
    </row>
    <row r="7" spans="1:10" x14ac:dyDescent="0.3">
      <c r="A7" s="276">
        <v>2003</v>
      </c>
      <c r="B7" s="251">
        <v>43679</v>
      </c>
      <c r="C7" s="251">
        <f>3970-293</f>
        <v>3677</v>
      </c>
      <c r="D7" s="251">
        <v>545</v>
      </c>
      <c r="E7" s="251">
        <v>3</v>
      </c>
      <c r="F7" s="251">
        <v>5</v>
      </c>
      <c r="G7" s="251">
        <v>10151</v>
      </c>
      <c r="H7" s="251">
        <v>31</v>
      </c>
      <c r="I7" s="251">
        <v>293</v>
      </c>
      <c r="J7" s="285">
        <f t="shared" si="0"/>
        <v>58384</v>
      </c>
    </row>
    <row r="8" spans="1:10" x14ac:dyDescent="0.3">
      <c r="A8" s="277">
        <v>2004</v>
      </c>
      <c r="B8" s="251">
        <v>44280</v>
      </c>
      <c r="C8" s="251">
        <f>3871-295</f>
        <v>3576</v>
      </c>
      <c r="D8" s="251">
        <v>515</v>
      </c>
      <c r="E8" s="251">
        <v>2</v>
      </c>
      <c r="F8" s="251">
        <v>7</v>
      </c>
      <c r="G8" s="251">
        <v>10373</v>
      </c>
      <c r="H8" s="251">
        <v>29</v>
      </c>
      <c r="I8" s="251">
        <v>295</v>
      </c>
      <c r="J8" s="285">
        <f t="shared" si="0"/>
        <v>59077</v>
      </c>
    </row>
    <row r="9" spans="1:10" x14ac:dyDescent="0.3">
      <c r="A9" s="276">
        <v>2005</v>
      </c>
      <c r="B9" s="251">
        <v>44917</v>
      </c>
      <c r="C9" s="251">
        <f>4043-295</f>
        <v>3748</v>
      </c>
      <c r="D9" s="251">
        <v>528</v>
      </c>
      <c r="E9" s="251">
        <v>2</v>
      </c>
      <c r="F9" s="251">
        <v>8</v>
      </c>
      <c r="G9" s="251">
        <v>10624</v>
      </c>
      <c r="H9" s="251">
        <v>30</v>
      </c>
      <c r="I9" s="251">
        <v>295</v>
      </c>
      <c r="J9" s="285">
        <f t="shared" si="0"/>
        <v>60152</v>
      </c>
    </row>
    <row r="10" spans="1:10" x14ac:dyDescent="0.3">
      <c r="A10" s="277">
        <v>2006</v>
      </c>
      <c r="B10" s="251">
        <v>45961</v>
      </c>
      <c r="C10" s="251">
        <v>3733</v>
      </c>
      <c r="D10" s="251">
        <v>522</v>
      </c>
      <c r="E10" s="251">
        <v>2</v>
      </c>
      <c r="F10" s="251">
        <v>9</v>
      </c>
      <c r="G10" s="251">
        <v>11038</v>
      </c>
      <c r="H10" s="251">
        <v>27</v>
      </c>
      <c r="I10" s="251">
        <v>301</v>
      </c>
      <c r="J10" s="285">
        <f t="shared" si="0"/>
        <v>61593</v>
      </c>
    </row>
    <row r="11" spans="1:10" x14ac:dyDescent="0.3">
      <c r="A11" s="276">
        <v>2007</v>
      </c>
      <c r="B11" s="251">
        <v>46679</v>
      </c>
      <c r="C11" s="251">
        <v>3765</v>
      </c>
      <c r="D11" s="251">
        <v>524</v>
      </c>
      <c r="E11" s="251">
        <v>2</v>
      </c>
      <c r="F11" s="251">
        <v>9</v>
      </c>
      <c r="G11" s="251">
        <v>11523</v>
      </c>
      <c r="H11" s="251">
        <v>26</v>
      </c>
      <c r="I11" s="251">
        <v>301</v>
      </c>
      <c r="J11" s="285">
        <f t="shared" si="0"/>
        <v>62829</v>
      </c>
    </row>
    <row r="12" spans="1:10" x14ac:dyDescent="0.3">
      <c r="A12" s="277">
        <v>2008</v>
      </c>
      <c r="B12" s="251">
        <v>47436</v>
      </c>
      <c r="C12" s="251">
        <v>3822</v>
      </c>
      <c r="D12" s="251">
        <v>543</v>
      </c>
      <c r="E12" s="251">
        <v>3</v>
      </c>
      <c r="F12" s="251">
        <v>9</v>
      </c>
      <c r="G12" s="251">
        <v>11720</v>
      </c>
      <c r="H12" s="251">
        <v>26</v>
      </c>
      <c r="I12" s="251">
        <v>301</v>
      </c>
      <c r="J12" s="285">
        <f t="shared" si="0"/>
        <v>63860</v>
      </c>
    </row>
    <row r="13" spans="1:10" x14ac:dyDescent="0.3">
      <c r="A13" s="276">
        <v>2009</v>
      </c>
      <c r="B13" s="251">
        <v>47769</v>
      </c>
      <c r="C13" s="251">
        <v>3897</v>
      </c>
      <c r="D13" s="251">
        <v>507</v>
      </c>
      <c r="E13" s="251">
        <v>1</v>
      </c>
      <c r="F13" s="251">
        <v>10</v>
      </c>
      <c r="G13" s="251">
        <v>11882</v>
      </c>
      <c r="H13" s="251">
        <v>26</v>
      </c>
      <c r="I13" s="251">
        <v>304</v>
      </c>
      <c r="J13" s="285">
        <f t="shared" si="0"/>
        <v>64396</v>
      </c>
    </row>
    <row r="14" spans="1:10" x14ac:dyDescent="0.3">
      <c r="A14" s="277">
        <v>2010</v>
      </c>
      <c r="B14" s="251">
        <v>48460</v>
      </c>
      <c r="C14" s="251">
        <v>3961</v>
      </c>
      <c r="D14" s="251">
        <v>518</v>
      </c>
      <c r="E14" s="251">
        <v>1</v>
      </c>
      <c r="F14" s="251">
        <v>10</v>
      </c>
      <c r="G14" s="251">
        <v>12109</v>
      </c>
      <c r="H14" s="251">
        <v>24</v>
      </c>
      <c r="I14" s="251">
        <v>309</v>
      </c>
      <c r="J14" s="285">
        <f t="shared" si="0"/>
        <v>65392</v>
      </c>
    </row>
    <row r="15" spans="1:10" x14ac:dyDescent="0.3">
      <c r="A15" s="277">
        <v>2011</v>
      </c>
      <c r="B15" s="251">
        <v>48841</v>
      </c>
      <c r="C15" s="251">
        <v>3816</v>
      </c>
      <c r="D15" s="251">
        <v>523</v>
      </c>
      <c r="E15" s="251">
        <v>1</v>
      </c>
      <c r="F15" s="251">
        <v>10</v>
      </c>
      <c r="G15" s="251">
        <v>12146</v>
      </c>
      <c r="H15" s="251">
        <v>24</v>
      </c>
      <c r="I15" s="251">
        <v>296</v>
      </c>
      <c r="J15" s="285">
        <f t="shared" si="0"/>
        <v>65657</v>
      </c>
    </row>
    <row r="16" spans="1:10" x14ac:dyDescent="0.3">
      <c r="A16" s="277">
        <v>2012</v>
      </c>
      <c r="B16" s="251">
        <v>49201</v>
      </c>
      <c r="C16" s="251">
        <v>3885</v>
      </c>
      <c r="D16" s="251">
        <v>500</v>
      </c>
      <c r="E16" s="251">
        <v>1</v>
      </c>
      <c r="F16" s="251">
        <v>11</v>
      </c>
      <c r="G16" s="251">
        <v>12280</v>
      </c>
      <c r="H16" s="251">
        <v>24</v>
      </c>
      <c r="I16" s="251">
        <v>295</v>
      </c>
      <c r="J16" s="285">
        <f t="shared" si="0"/>
        <v>66197</v>
      </c>
    </row>
    <row r="17" spans="1:10" x14ac:dyDescent="0.3">
      <c r="A17" s="421">
        <v>2013</v>
      </c>
      <c r="B17" s="291">
        <v>49831</v>
      </c>
      <c r="C17" s="291">
        <v>3924</v>
      </c>
      <c r="D17" s="291">
        <v>500</v>
      </c>
      <c r="E17" s="291">
        <v>1</v>
      </c>
      <c r="F17" s="291">
        <v>11</v>
      </c>
      <c r="G17" s="291">
        <v>12385</v>
      </c>
      <c r="H17" s="291">
        <v>24</v>
      </c>
      <c r="I17" s="291">
        <v>295</v>
      </c>
      <c r="J17" s="292">
        <f t="shared" si="0"/>
        <v>66971</v>
      </c>
    </row>
    <row r="18" spans="1:10" ht="12.9" thickBot="1" x14ac:dyDescent="0.35">
      <c r="A18" s="278">
        <v>2014</v>
      </c>
      <c r="B18" s="264">
        <v>50574</v>
      </c>
      <c r="C18" s="264">
        <v>3981</v>
      </c>
      <c r="D18" s="264">
        <v>505</v>
      </c>
      <c r="E18" s="264">
        <v>1</v>
      </c>
      <c r="F18" s="264">
        <v>11</v>
      </c>
      <c r="G18" s="264">
        <v>12544</v>
      </c>
      <c r="H18" s="264">
        <v>24</v>
      </c>
      <c r="I18" s="264">
        <v>296</v>
      </c>
      <c r="J18" s="286">
        <f t="shared" ref="J18" si="1">SUM(B18:I18)</f>
        <v>67936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33"/>
  <sheetViews>
    <sheetView topLeftCell="A37" workbookViewId="0">
      <selection activeCell="A60" sqref="A60"/>
    </sheetView>
  </sheetViews>
  <sheetFormatPr defaultRowHeight="12.45" x14ac:dyDescent="0.3"/>
  <cols>
    <col min="1" max="1" width="25.84375" customWidth="1"/>
    <col min="2" max="2" width="11.69140625" bestFit="1" customWidth="1"/>
    <col min="3" max="3" width="10.69140625" bestFit="1" customWidth="1"/>
    <col min="4" max="4" width="9.53515625" bestFit="1" customWidth="1"/>
    <col min="5" max="5" width="10" customWidth="1"/>
    <col min="6" max="7" width="11.15234375" customWidth="1"/>
    <col min="8" max="8" width="14" bestFit="1" customWidth="1"/>
    <col min="9" max="9" width="10.15234375" customWidth="1"/>
    <col min="10" max="10" width="10.53515625" customWidth="1"/>
    <col min="11" max="12" width="9.3046875" bestFit="1" customWidth="1"/>
    <col min="13" max="13" width="15" bestFit="1" customWidth="1"/>
  </cols>
  <sheetData>
    <row r="1" spans="1:10" ht="23.6" thickBot="1" x14ac:dyDescent="0.35">
      <c r="A1" s="256" t="s">
        <v>112</v>
      </c>
      <c r="B1" s="249" t="s">
        <v>71</v>
      </c>
      <c r="C1" s="249" t="s">
        <v>236</v>
      </c>
      <c r="D1" s="249" t="s">
        <v>235</v>
      </c>
      <c r="E1" s="249" t="s">
        <v>74</v>
      </c>
      <c r="F1" s="249" t="s">
        <v>237</v>
      </c>
      <c r="G1" s="249" t="s">
        <v>238</v>
      </c>
      <c r="H1" s="249" t="s">
        <v>239</v>
      </c>
      <c r="I1" s="249" t="s">
        <v>76</v>
      </c>
      <c r="J1" s="250" t="s">
        <v>9</v>
      </c>
    </row>
    <row r="2" spans="1:10" x14ac:dyDescent="0.3">
      <c r="A2" s="279" t="s">
        <v>242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10" x14ac:dyDescent="0.3">
      <c r="A3" s="282" t="s">
        <v>114</v>
      </c>
      <c r="B3" s="254">
        <f>+'Year End Customer'!B3</f>
        <v>47243</v>
      </c>
      <c r="C3" s="254">
        <f>+'Year End Customer'!C3</f>
        <v>3845</v>
      </c>
      <c r="D3" s="254">
        <f>+'Year End Customer'!D3</f>
        <v>522</v>
      </c>
      <c r="E3" s="254">
        <f>+'Year End Customer'!E3</f>
        <v>2</v>
      </c>
      <c r="F3" s="254">
        <f>+'Year End Customer'!F3</f>
        <v>9</v>
      </c>
      <c r="G3" s="254">
        <f>+'Year End Customer'!G3</f>
        <v>11650</v>
      </c>
      <c r="H3" s="254">
        <f>+'Year End Customer'!H3</f>
        <v>77</v>
      </c>
      <c r="I3" s="254">
        <f>+'Year End Customer'!I3</f>
        <v>305</v>
      </c>
      <c r="J3" s="261">
        <f>SUM(B3:I3)</f>
        <v>63653</v>
      </c>
    </row>
    <row r="4" spans="1:10" x14ac:dyDescent="0.3">
      <c r="A4" s="282" t="s">
        <v>227</v>
      </c>
      <c r="B4" s="254">
        <f>+'Year End Customer'!B4</f>
        <v>49919.725406979574</v>
      </c>
      <c r="C4" s="254">
        <f>+'Year End Customer'!C4</f>
        <v>3961</v>
      </c>
      <c r="D4" s="254">
        <f>+'Year End Customer'!D4</f>
        <v>518</v>
      </c>
      <c r="E4" s="254">
        <f>+'Year End Customer'!E4</f>
        <v>1</v>
      </c>
      <c r="F4" s="254">
        <f>+'Year End Customer'!F4</f>
        <v>10</v>
      </c>
      <c r="G4" s="254">
        <f>+'Year End Customer'!G4</f>
        <v>12761.899782618997</v>
      </c>
      <c r="H4" s="254">
        <f>+'Year End Customer'!H4</f>
        <v>22.307657589073369</v>
      </c>
      <c r="I4" s="254">
        <f>+'Year End Customer'!I4</f>
        <v>313.0793844964528</v>
      </c>
      <c r="J4" s="261">
        <f>SUM(B4:I4)</f>
        <v>67507.012231684101</v>
      </c>
    </row>
    <row r="5" spans="1:10" x14ac:dyDescent="0.3">
      <c r="A5" s="276"/>
      <c r="B5" s="253"/>
      <c r="C5" s="283"/>
      <c r="D5" s="283"/>
      <c r="E5" s="283"/>
      <c r="F5" s="283"/>
      <c r="G5" s="283"/>
      <c r="H5" s="283"/>
      <c r="I5" s="283"/>
      <c r="J5" s="284"/>
    </row>
    <row r="6" spans="1:10" x14ac:dyDescent="0.3">
      <c r="A6" s="276">
        <v>2002</v>
      </c>
      <c r="B6" s="251">
        <f>+'Year End Customer'!B6</f>
        <v>42960</v>
      </c>
      <c r="C6" s="251">
        <f>+'Year End Customer'!C6</f>
        <v>3701</v>
      </c>
      <c r="D6" s="251">
        <f>+'Year End Customer'!D6</f>
        <v>573</v>
      </c>
      <c r="E6" s="251">
        <f>+'Year End Customer'!E6</f>
        <v>2</v>
      </c>
      <c r="F6" s="251">
        <f>+'Year End Customer'!F6</f>
        <v>5</v>
      </c>
      <c r="G6" s="251">
        <f>+'Year End Customer'!G6</f>
        <v>9967</v>
      </c>
      <c r="H6" s="251">
        <f>+'Year End Customer'!H6</f>
        <v>38</v>
      </c>
      <c r="I6" s="251">
        <f>+'Year End Customer'!I6</f>
        <v>291</v>
      </c>
      <c r="J6" s="285">
        <f t="shared" ref="J6:J17" si="0">SUM(B6:I6)</f>
        <v>57537</v>
      </c>
    </row>
    <row r="7" spans="1:10" x14ac:dyDescent="0.3">
      <c r="A7" s="276">
        <v>2003</v>
      </c>
      <c r="B7" s="251">
        <f>+'Year End Customer'!B7</f>
        <v>43679</v>
      </c>
      <c r="C7" s="251">
        <f>+'Year End Customer'!C7</f>
        <v>3677</v>
      </c>
      <c r="D7" s="251">
        <f>+'Year End Customer'!D7</f>
        <v>545</v>
      </c>
      <c r="E7" s="251">
        <f>+'Year End Customer'!E7</f>
        <v>3</v>
      </c>
      <c r="F7" s="251">
        <f>+'Year End Customer'!F7</f>
        <v>5</v>
      </c>
      <c r="G7" s="251">
        <f>+'Year End Customer'!G7</f>
        <v>10151</v>
      </c>
      <c r="H7" s="251">
        <f>+'Year End Customer'!H7</f>
        <v>31</v>
      </c>
      <c r="I7" s="251">
        <f>+'Year End Customer'!I7</f>
        <v>293</v>
      </c>
      <c r="J7" s="285">
        <f t="shared" si="0"/>
        <v>58384</v>
      </c>
    </row>
    <row r="8" spans="1:10" x14ac:dyDescent="0.3">
      <c r="A8" s="277">
        <v>2004</v>
      </c>
      <c r="B8" s="251">
        <f>+'Year End Customer'!B8</f>
        <v>44280</v>
      </c>
      <c r="C8" s="251">
        <f>+'Year End Customer'!C8</f>
        <v>3576</v>
      </c>
      <c r="D8" s="251">
        <f>+'Year End Customer'!D8</f>
        <v>515</v>
      </c>
      <c r="E8" s="251">
        <f>+'Year End Customer'!E8</f>
        <v>2</v>
      </c>
      <c r="F8" s="251">
        <f>+'Year End Customer'!F8</f>
        <v>7</v>
      </c>
      <c r="G8" s="251">
        <f>+'Year End Customer'!G8</f>
        <v>10373</v>
      </c>
      <c r="H8" s="251">
        <f>+'Year End Customer'!H8</f>
        <v>29</v>
      </c>
      <c r="I8" s="251">
        <f>+'Year End Customer'!I8</f>
        <v>295</v>
      </c>
      <c r="J8" s="285">
        <f t="shared" si="0"/>
        <v>59077</v>
      </c>
    </row>
    <row r="9" spans="1:10" x14ac:dyDescent="0.3">
      <c r="A9" s="276">
        <v>2005</v>
      </c>
      <c r="B9" s="251">
        <f>+'Year End Customer'!B9</f>
        <v>44917</v>
      </c>
      <c r="C9" s="251">
        <f>+'Year End Customer'!C9</f>
        <v>3748</v>
      </c>
      <c r="D9" s="251">
        <f>+'Year End Customer'!D9</f>
        <v>528</v>
      </c>
      <c r="E9" s="251">
        <f>+'Year End Customer'!E9</f>
        <v>2</v>
      </c>
      <c r="F9" s="251">
        <f>+'Year End Customer'!F9</f>
        <v>8</v>
      </c>
      <c r="G9" s="251">
        <f>+'Year End Customer'!G9</f>
        <v>10624</v>
      </c>
      <c r="H9" s="251">
        <f>+'Year End Customer'!H9</f>
        <v>30</v>
      </c>
      <c r="I9" s="251">
        <f>+'Year End Customer'!I9</f>
        <v>295</v>
      </c>
      <c r="J9" s="285">
        <f t="shared" si="0"/>
        <v>60152</v>
      </c>
    </row>
    <row r="10" spans="1:10" x14ac:dyDescent="0.3">
      <c r="A10" s="277">
        <v>2006</v>
      </c>
      <c r="B10" s="251">
        <f>+'Year End Customer'!B10</f>
        <v>45961</v>
      </c>
      <c r="C10" s="251">
        <f>+'Year End Customer'!C10</f>
        <v>3733</v>
      </c>
      <c r="D10" s="251">
        <f>+'Year End Customer'!D10</f>
        <v>522</v>
      </c>
      <c r="E10" s="251">
        <f>+'Year End Customer'!E10</f>
        <v>2</v>
      </c>
      <c r="F10" s="251">
        <f>+'Year End Customer'!F10</f>
        <v>9</v>
      </c>
      <c r="G10" s="251">
        <f>+'Year End Customer'!G10</f>
        <v>11038</v>
      </c>
      <c r="H10" s="251">
        <f>+'Year End Customer'!H10</f>
        <v>27</v>
      </c>
      <c r="I10" s="251">
        <f>+'Year End Customer'!I10</f>
        <v>301</v>
      </c>
      <c r="J10" s="285">
        <f t="shared" si="0"/>
        <v>61593</v>
      </c>
    </row>
    <row r="11" spans="1:10" x14ac:dyDescent="0.3">
      <c r="A11" s="276">
        <v>2007</v>
      </c>
      <c r="B11" s="251">
        <f>+'Year End Customer'!B11</f>
        <v>46679</v>
      </c>
      <c r="C11" s="251">
        <f>+'Year End Customer'!C11</f>
        <v>3765</v>
      </c>
      <c r="D11" s="251">
        <f>+'Year End Customer'!D11</f>
        <v>524</v>
      </c>
      <c r="E11" s="251">
        <f>+'Year End Customer'!E11</f>
        <v>2</v>
      </c>
      <c r="F11" s="251">
        <f>+'Year End Customer'!F11</f>
        <v>9</v>
      </c>
      <c r="G11" s="251">
        <f>+'Year End Customer'!G11</f>
        <v>11523</v>
      </c>
      <c r="H11" s="251">
        <f>+'Year End Customer'!H11</f>
        <v>26</v>
      </c>
      <c r="I11" s="251">
        <f>+'Year End Customer'!I11</f>
        <v>301</v>
      </c>
      <c r="J11" s="285">
        <f t="shared" si="0"/>
        <v>62829</v>
      </c>
    </row>
    <row r="12" spans="1:10" x14ac:dyDescent="0.3">
      <c r="A12" s="277">
        <v>2008</v>
      </c>
      <c r="B12" s="251">
        <f>+'Year End Customer'!B12</f>
        <v>47436</v>
      </c>
      <c r="C12" s="251">
        <f>+'Year End Customer'!C12</f>
        <v>3822</v>
      </c>
      <c r="D12" s="251">
        <f>+'Year End Customer'!D12</f>
        <v>543</v>
      </c>
      <c r="E12" s="251">
        <f>+'Year End Customer'!E12</f>
        <v>3</v>
      </c>
      <c r="F12" s="251">
        <f>+'Year End Customer'!F12</f>
        <v>9</v>
      </c>
      <c r="G12" s="251">
        <f>+'Year End Customer'!G12</f>
        <v>11720</v>
      </c>
      <c r="H12" s="251">
        <f>+'Year End Customer'!H12</f>
        <v>26</v>
      </c>
      <c r="I12" s="251">
        <f>+'Year End Customer'!I12</f>
        <v>301</v>
      </c>
      <c r="J12" s="285">
        <f t="shared" si="0"/>
        <v>63860</v>
      </c>
    </row>
    <row r="13" spans="1:10" x14ac:dyDescent="0.3">
      <c r="A13" s="276">
        <v>2009</v>
      </c>
      <c r="B13" s="251">
        <f>+'Year End Customer'!B13</f>
        <v>47769</v>
      </c>
      <c r="C13" s="251">
        <f>+'Year End Customer'!C13</f>
        <v>3897</v>
      </c>
      <c r="D13" s="251">
        <f>+'Year End Customer'!D13</f>
        <v>507</v>
      </c>
      <c r="E13" s="251">
        <f>+'Year End Customer'!E13</f>
        <v>1</v>
      </c>
      <c r="F13" s="251">
        <f>+'Year End Customer'!F13</f>
        <v>10</v>
      </c>
      <c r="G13" s="251">
        <f>+'Year End Customer'!G13</f>
        <v>11882</v>
      </c>
      <c r="H13" s="251">
        <f>+'Year End Customer'!H13</f>
        <v>26</v>
      </c>
      <c r="I13" s="251">
        <f>+'Year End Customer'!I13</f>
        <v>304</v>
      </c>
      <c r="J13" s="285">
        <f t="shared" si="0"/>
        <v>64396</v>
      </c>
    </row>
    <row r="14" spans="1:10" x14ac:dyDescent="0.3">
      <c r="A14" s="277">
        <v>2010</v>
      </c>
      <c r="B14" s="251">
        <f>+'Year End Customer'!B14</f>
        <v>48460</v>
      </c>
      <c r="C14" s="251">
        <f>+'Year End Customer'!C14</f>
        <v>3961</v>
      </c>
      <c r="D14" s="251">
        <f>+'Year End Customer'!D14</f>
        <v>518</v>
      </c>
      <c r="E14" s="251">
        <f>+'Year End Customer'!E14</f>
        <v>1</v>
      </c>
      <c r="F14" s="251">
        <f>+'Year End Customer'!F14</f>
        <v>10</v>
      </c>
      <c r="G14" s="251">
        <f>+'Year End Customer'!G14</f>
        <v>12109</v>
      </c>
      <c r="H14" s="251">
        <f>+'Year End Customer'!H14</f>
        <v>24</v>
      </c>
      <c r="I14" s="251">
        <f>+'Year End Customer'!I14</f>
        <v>309</v>
      </c>
      <c r="J14" s="285">
        <f t="shared" si="0"/>
        <v>65392</v>
      </c>
    </row>
    <row r="15" spans="1:10" x14ac:dyDescent="0.3">
      <c r="A15" s="277">
        <v>2011</v>
      </c>
      <c r="B15" s="251">
        <f>+'Year End Customer'!B15</f>
        <v>48841</v>
      </c>
      <c r="C15" s="251">
        <f>+'Year End Customer'!C15</f>
        <v>3816</v>
      </c>
      <c r="D15" s="251">
        <f>+'Year End Customer'!D15</f>
        <v>523</v>
      </c>
      <c r="E15" s="251">
        <f>+'Year End Customer'!E15</f>
        <v>1</v>
      </c>
      <c r="F15" s="251">
        <f>+'Year End Customer'!F15</f>
        <v>10</v>
      </c>
      <c r="G15" s="251">
        <f>+'Year End Customer'!G15</f>
        <v>12146</v>
      </c>
      <c r="H15" s="251">
        <f>+'Year End Customer'!H15</f>
        <v>24</v>
      </c>
      <c r="I15" s="251">
        <f>+'Year End Customer'!I15</f>
        <v>296</v>
      </c>
      <c r="J15" s="285">
        <f t="shared" si="0"/>
        <v>65657</v>
      </c>
    </row>
    <row r="16" spans="1:10" x14ac:dyDescent="0.3">
      <c r="A16" s="277">
        <v>2012</v>
      </c>
      <c r="B16" s="251">
        <f>+'Year End Customer'!B16</f>
        <v>49201</v>
      </c>
      <c r="C16" s="251">
        <f>+'Year End Customer'!C16</f>
        <v>3885</v>
      </c>
      <c r="D16" s="251">
        <f>+'Year End Customer'!D16</f>
        <v>500</v>
      </c>
      <c r="E16" s="251">
        <f>+'Year End Customer'!E16</f>
        <v>1</v>
      </c>
      <c r="F16" s="251">
        <f>+'Year End Customer'!F16</f>
        <v>11</v>
      </c>
      <c r="G16" s="251">
        <f>+'Year End Customer'!G16</f>
        <v>12280</v>
      </c>
      <c r="H16" s="251">
        <f>+'Year End Customer'!H16</f>
        <v>24</v>
      </c>
      <c r="I16" s="251">
        <f>+'Year End Customer'!I16</f>
        <v>295</v>
      </c>
      <c r="J16" s="285">
        <f t="shared" si="0"/>
        <v>66197</v>
      </c>
    </row>
    <row r="17" spans="1:10" x14ac:dyDescent="0.3">
      <c r="A17" s="421">
        <v>2013</v>
      </c>
      <c r="B17" s="291">
        <f>+'Year End Customer'!B17</f>
        <v>49831</v>
      </c>
      <c r="C17" s="291">
        <f>+'Year End Customer'!C17</f>
        <v>3924</v>
      </c>
      <c r="D17" s="291">
        <f>+'Year End Customer'!D17</f>
        <v>500</v>
      </c>
      <c r="E17" s="291">
        <f>+'Year End Customer'!E17</f>
        <v>1</v>
      </c>
      <c r="F17" s="291">
        <f>+'Year End Customer'!F17</f>
        <v>11</v>
      </c>
      <c r="G17" s="291">
        <f>+'Year End Customer'!G17</f>
        <v>12385</v>
      </c>
      <c r="H17" s="291">
        <f>+'Year End Customer'!H17</f>
        <v>24</v>
      </c>
      <c r="I17" s="291">
        <f>+'Year End Customer'!I17</f>
        <v>295</v>
      </c>
      <c r="J17" s="292">
        <f t="shared" si="0"/>
        <v>66971</v>
      </c>
    </row>
    <row r="18" spans="1:10" ht="12.9" thickBot="1" x14ac:dyDescent="0.35">
      <c r="A18" s="278">
        <v>2014</v>
      </c>
      <c r="B18" s="264">
        <f>+'Year End Customer'!B18</f>
        <v>50574</v>
      </c>
      <c r="C18" s="264">
        <f>+'Year End Customer'!C18</f>
        <v>3981</v>
      </c>
      <c r="D18" s="264">
        <f>+'Year End Customer'!D18</f>
        <v>505</v>
      </c>
      <c r="E18" s="264">
        <f>+'Year End Customer'!E18</f>
        <v>1</v>
      </c>
      <c r="F18" s="264">
        <f>+'Year End Customer'!F18</f>
        <v>11</v>
      </c>
      <c r="G18" s="264">
        <f>+'Year End Customer'!G18</f>
        <v>12544</v>
      </c>
      <c r="H18" s="264">
        <f>+'Year End Customer'!H18</f>
        <v>24</v>
      </c>
      <c r="I18" s="264">
        <f>+'Year End Customer'!I18</f>
        <v>296</v>
      </c>
      <c r="J18" s="286">
        <f t="shared" ref="J18" si="1">SUM(B18:I18)</f>
        <v>67936</v>
      </c>
    </row>
    <row r="19" spans="1:10" ht="12.9" thickBot="1" x14ac:dyDescent="0.35"/>
    <row r="20" spans="1:10" ht="23.6" thickBot="1" x14ac:dyDescent="0.35">
      <c r="A20" s="256" t="s">
        <v>112</v>
      </c>
      <c r="B20" s="249" t="s">
        <v>71</v>
      </c>
      <c r="C20" s="249" t="s">
        <v>236</v>
      </c>
      <c r="D20" s="249" t="s">
        <v>235</v>
      </c>
      <c r="E20" s="249" t="s">
        <v>74</v>
      </c>
      <c r="F20" s="249" t="s">
        <v>237</v>
      </c>
      <c r="G20" s="249" t="s">
        <v>238</v>
      </c>
      <c r="H20" s="249" t="s">
        <v>239</v>
      </c>
      <c r="I20" s="249" t="s">
        <v>76</v>
      </c>
      <c r="J20" s="250" t="s">
        <v>9</v>
      </c>
    </row>
    <row r="21" spans="1:10" x14ac:dyDescent="0.3">
      <c r="A21" s="279" t="s">
        <v>269</v>
      </c>
      <c r="B21" s="280"/>
      <c r="C21" s="280"/>
      <c r="D21" s="280"/>
      <c r="E21" s="280"/>
      <c r="F21" s="280"/>
      <c r="G21" s="280"/>
      <c r="H21" s="280"/>
      <c r="I21" s="280"/>
      <c r="J21" s="281"/>
    </row>
    <row r="22" spans="1:10" x14ac:dyDescent="0.3">
      <c r="A22" s="282" t="s">
        <v>114</v>
      </c>
      <c r="B22" s="254">
        <f>+B3</f>
        <v>47243</v>
      </c>
      <c r="C22" s="254">
        <f t="shared" ref="C22:I22" si="2">+C3</f>
        <v>3845</v>
      </c>
      <c r="D22" s="254">
        <f t="shared" si="2"/>
        <v>522</v>
      </c>
      <c r="E22" s="254">
        <f t="shared" si="2"/>
        <v>2</v>
      </c>
      <c r="F22" s="254">
        <f t="shared" si="2"/>
        <v>9</v>
      </c>
      <c r="G22" s="254">
        <f t="shared" si="2"/>
        <v>11650</v>
      </c>
      <c r="H22" s="254">
        <f t="shared" si="2"/>
        <v>77</v>
      </c>
      <c r="I22" s="254">
        <f t="shared" si="2"/>
        <v>305</v>
      </c>
      <c r="J22" s="261">
        <f>SUM(B22:I22)</f>
        <v>63653</v>
      </c>
    </row>
    <row r="23" spans="1:10" x14ac:dyDescent="0.3">
      <c r="A23" s="282" t="s">
        <v>227</v>
      </c>
      <c r="B23" s="254">
        <f t="shared" ref="B23:I23" si="3">+B4</f>
        <v>49919.725406979574</v>
      </c>
      <c r="C23" s="254">
        <f t="shared" si="3"/>
        <v>3961</v>
      </c>
      <c r="D23" s="254">
        <f t="shared" si="3"/>
        <v>518</v>
      </c>
      <c r="E23" s="254">
        <f t="shared" si="3"/>
        <v>1</v>
      </c>
      <c r="F23" s="254">
        <f t="shared" si="3"/>
        <v>10</v>
      </c>
      <c r="G23" s="254">
        <f t="shared" si="3"/>
        <v>12761.899782618997</v>
      </c>
      <c r="H23" s="254">
        <f t="shared" si="3"/>
        <v>22.307657589073369</v>
      </c>
      <c r="I23" s="254">
        <f t="shared" si="3"/>
        <v>313.0793844964528</v>
      </c>
      <c r="J23" s="261">
        <f>SUM(B23:I23)</f>
        <v>67507.012231684101</v>
      </c>
    </row>
    <row r="24" spans="1:10" x14ac:dyDescent="0.3">
      <c r="A24" s="276"/>
      <c r="B24" s="253"/>
      <c r="C24" s="283"/>
      <c r="D24" s="283"/>
      <c r="E24" s="283"/>
      <c r="F24" s="283"/>
      <c r="G24" s="283"/>
      <c r="H24" s="283"/>
      <c r="I24" s="283"/>
      <c r="J24" s="284"/>
    </row>
    <row r="25" spans="1:10" x14ac:dyDescent="0.3">
      <c r="A25" s="276">
        <v>2003</v>
      </c>
      <c r="B25" s="251">
        <f t="shared" ref="B25:B36" si="4">AVERAGE(B6:B7)</f>
        <v>43319.5</v>
      </c>
      <c r="C25" s="251">
        <f t="shared" ref="C25:I25" si="5">AVERAGE(C6:C7)</f>
        <v>3689</v>
      </c>
      <c r="D25" s="251">
        <f t="shared" si="5"/>
        <v>559</v>
      </c>
      <c r="E25" s="251">
        <f t="shared" si="5"/>
        <v>2.5</v>
      </c>
      <c r="F25" s="251">
        <f t="shared" si="5"/>
        <v>5</v>
      </c>
      <c r="G25" s="251">
        <f t="shared" si="5"/>
        <v>10059</v>
      </c>
      <c r="H25" s="251">
        <f t="shared" si="5"/>
        <v>34.5</v>
      </c>
      <c r="I25" s="251">
        <f t="shared" si="5"/>
        <v>292</v>
      </c>
      <c r="J25" s="285">
        <f t="shared" ref="J25:J35" si="6">SUM(B25:I25)</f>
        <v>57960.5</v>
      </c>
    </row>
    <row r="26" spans="1:10" x14ac:dyDescent="0.3">
      <c r="A26" s="277">
        <v>2004</v>
      </c>
      <c r="B26" s="251">
        <f t="shared" si="4"/>
        <v>43979.5</v>
      </c>
      <c r="C26" s="251">
        <f t="shared" ref="C26:I26" si="7">AVERAGE(C7:C8)</f>
        <v>3626.5</v>
      </c>
      <c r="D26" s="251">
        <f t="shared" si="7"/>
        <v>530</v>
      </c>
      <c r="E26" s="251">
        <f t="shared" si="7"/>
        <v>2.5</v>
      </c>
      <c r="F26" s="251">
        <f t="shared" si="7"/>
        <v>6</v>
      </c>
      <c r="G26" s="251">
        <f t="shared" si="7"/>
        <v>10262</v>
      </c>
      <c r="H26" s="251">
        <f t="shared" si="7"/>
        <v>30</v>
      </c>
      <c r="I26" s="251">
        <f t="shared" si="7"/>
        <v>294</v>
      </c>
      <c r="J26" s="285">
        <f t="shared" si="6"/>
        <v>58730.5</v>
      </c>
    </row>
    <row r="27" spans="1:10" x14ac:dyDescent="0.3">
      <c r="A27" s="276">
        <v>2005</v>
      </c>
      <c r="B27" s="251">
        <f t="shared" si="4"/>
        <v>44598.5</v>
      </c>
      <c r="C27" s="251">
        <f t="shared" ref="C27:I27" si="8">AVERAGE(C8:C9)</f>
        <v>3662</v>
      </c>
      <c r="D27" s="251">
        <f t="shared" si="8"/>
        <v>521.5</v>
      </c>
      <c r="E27" s="251">
        <f t="shared" si="8"/>
        <v>2</v>
      </c>
      <c r="F27" s="251">
        <f t="shared" si="8"/>
        <v>7.5</v>
      </c>
      <c r="G27" s="251">
        <f t="shared" si="8"/>
        <v>10498.5</v>
      </c>
      <c r="H27" s="251">
        <f t="shared" si="8"/>
        <v>29.5</v>
      </c>
      <c r="I27" s="251">
        <f t="shared" si="8"/>
        <v>295</v>
      </c>
      <c r="J27" s="285">
        <f t="shared" si="6"/>
        <v>59614.5</v>
      </c>
    </row>
    <row r="28" spans="1:10" x14ac:dyDescent="0.3">
      <c r="A28" s="277">
        <v>2006</v>
      </c>
      <c r="B28" s="251">
        <f t="shared" si="4"/>
        <v>45439</v>
      </c>
      <c r="C28" s="251">
        <f t="shared" ref="C28:I28" si="9">AVERAGE(C9:C10)</f>
        <v>3740.5</v>
      </c>
      <c r="D28" s="251">
        <f t="shared" si="9"/>
        <v>525</v>
      </c>
      <c r="E28" s="251">
        <f t="shared" si="9"/>
        <v>2</v>
      </c>
      <c r="F28" s="251">
        <f t="shared" si="9"/>
        <v>8.5</v>
      </c>
      <c r="G28" s="251">
        <f t="shared" si="9"/>
        <v>10831</v>
      </c>
      <c r="H28" s="251">
        <f t="shared" si="9"/>
        <v>28.5</v>
      </c>
      <c r="I28" s="251">
        <f t="shared" si="9"/>
        <v>298</v>
      </c>
      <c r="J28" s="285">
        <f t="shared" si="6"/>
        <v>60872.5</v>
      </c>
    </row>
    <row r="29" spans="1:10" x14ac:dyDescent="0.3">
      <c r="A29" s="276">
        <v>2007</v>
      </c>
      <c r="B29" s="251">
        <f t="shared" si="4"/>
        <v>46320</v>
      </c>
      <c r="C29" s="251">
        <f t="shared" ref="C29:I29" si="10">AVERAGE(C10:C11)</f>
        <v>3749</v>
      </c>
      <c r="D29" s="251">
        <f t="shared" si="10"/>
        <v>523</v>
      </c>
      <c r="E29" s="251">
        <f t="shared" si="10"/>
        <v>2</v>
      </c>
      <c r="F29" s="251">
        <f t="shared" si="10"/>
        <v>9</v>
      </c>
      <c r="G29" s="251">
        <f t="shared" si="10"/>
        <v>11280.5</v>
      </c>
      <c r="H29" s="251">
        <f t="shared" si="10"/>
        <v>26.5</v>
      </c>
      <c r="I29" s="251">
        <f t="shared" si="10"/>
        <v>301</v>
      </c>
      <c r="J29" s="285">
        <f t="shared" si="6"/>
        <v>62211</v>
      </c>
    </row>
    <row r="30" spans="1:10" x14ac:dyDescent="0.3">
      <c r="A30" s="277">
        <v>2008</v>
      </c>
      <c r="B30" s="251">
        <f t="shared" si="4"/>
        <v>47057.5</v>
      </c>
      <c r="C30" s="251">
        <f t="shared" ref="C30:I30" si="11">AVERAGE(C11:C12)</f>
        <v>3793.5</v>
      </c>
      <c r="D30" s="251">
        <f t="shared" si="11"/>
        <v>533.5</v>
      </c>
      <c r="E30" s="251">
        <f t="shared" si="11"/>
        <v>2.5</v>
      </c>
      <c r="F30" s="251">
        <f t="shared" si="11"/>
        <v>9</v>
      </c>
      <c r="G30" s="251">
        <f t="shared" si="11"/>
        <v>11621.5</v>
      </c>
      <c r="H30" s="251">
        <f t="shared" si="11"/>
        <v>26</v>
      </c>
      <c r="I30" s="251">
        <f t="shared" si="11"/>
        <v>301</v>
      </c>
      <c r="J30" s="285">
        <f t="shared" si="6"/>
        <v>63344.5</v>
      </c>
    </row>
    <row r="31" spans="1:10" x14ac:dyDescent="0.3">
      <c r="A31" s="276">
        <v>2009</v>
      </c>
      <c r="B31" s="251">
        <f t="shared" si="4"/>
        <v>47602.5</v>
      </c>
      <c r="C31" s="251">
        <f t="shared" ref="C31:I31" si="12">AVERAGE(C12:C13)</f>
        <v>3859.5</v>
      </c>
      <c r="D31" s="251">
        <f t="shared" si="12"/>
        <v>525</v>
      </c>
      <c r="E31" s="251">
        <f t="shared" si="12"/>
        <v>2</v>
      </c>
      <c r="F31" s="251">
        <f t="shared" si="12"/>
        <v>9.5</v>
      </c>
      <c r="G31" s="251">
        <f t="shared" si="12"/>
        <v>11801</v>
      </c>
      <c r="H31" s="251">
        <f t="shared" si="12"/>
        <v>26</v>
      </c>
      <c r="I31" s="251">
        <f t="shared" si="12"/>
        <v>302.5</v>
      </c>
      <c r="J31" s="285">
        <f t="shared" si="6"/>
        <v>64128</v>
      </c>
    </row>
    <row r="32" spans="1:10" x14ac:dyDescent="0.3">
      <c r="A32" s="277">
        <v>2010</v>
      </c>
      <c r="B32" s="251">
        <f t="shared" si="4"/>
        <v>48114.5</v>
      </c>
      <c r="C32" s="251">
        <f t="shared" ref="C32:I32" si="13">AVERAGE(C13:C14)</f>
        <v>3929</v>
      </c>
      <c r="D32" s="251">
        <f t="shared" si="13"/>
        <v>512.5</v>
      </c>
      <c r="E32" s="251">
        <f t="shared" si="13"/>
        <v>1</v>
      </c>
      <c r="F32" s="251">
        <f t="shared" si="13"/>
        <v>10</v>
      </c>
      <c r="G32" s="251">
        <f t="shared" si="13"/>
        <v>11995.5</v>
      </c>
      <c r="H32" s="251">
        <f t="shared" si="13"/>
        <v>25</v>
      </c>
      <c r="I32" s="251">
        <f t="shared" si="13"/>
        <v>306.5</v>
      </c>
      <c r="J32" s="285">
        <f t="shared" si="6"/>
        <v>64894</v>
      </c>
    </row>
    <row r="33" spans="1:10" x14ac:dyDescent="0.3">
      <c r="A33" s="277">
        <v>2011</v>
      </c>
      <c r="B33" s="251">
        <f t="shared" si="4"/>
        <v>48650.5</v>
      </c>
      <c r="C33" s="251">
        <f t="shared" ref="C33:I33" si="14">AVERAGE(C14:C15)</f>
        <v>3888.5</v>
      </c>
      <c r="D33" s="251">
        <f t="shared" si="14"/>
        <v>520.5</v>
      </c>
      <c r="E33" s="251">
        <f t="shared" si="14"/>
        <v>1</v>
      </c>
      <c r="F33" s="251">
        <f t="shared" si="14"/>
        <v>10</v>
      </c>
      <c r="G33" s="251">
        <f t="shared" si="14"/>
        <v>12127.5</v>
      </c>
      <c r="H33" s="251">
        <f t="shared" si="14"/>
        <v>24</v>
      </c>
      <c r="I33" s="251">
        <f t="shared" si="14"/>
        <v>302.5</v>
      </c>
      <c r="J33" s="285">
        <f t="shared" si="6"/>
        <v>65524.5</v>
      </c>
    </row>
    <row r="34" spans="1:10" x14ac:dyDescent="0.3">
      <c r="A34" s="277">
        <v>2012</v>
      </c>
      <c r="B34" s="251">
        <f t="shared" si="4"/>
        <v>49021</v>
      </c>
      <c r="C34" s="251">
        <f t="shared" ref="C34:I34" si="15">AVERAGE(C15:C16)</f>
        <v>3850.5</v>
      </c>
      <c r="D34" s="251">
        <f t="shared" si="15"/>
        <v>511.5</v>
      </c>
      <c r="E34" s="251">
        <f t="shared" si="15"/>
        <v>1</v>
      </c>
      <c r="F34" s="251">
        <f t="shared" si="15"/>
        <v>10.5</v>
      </c>
      <c r="G34" s="251">
        <f t="shared" si="15"/>
        <v>12213</v>
      </c>
      <c r="H34" s="251">
        <f t="shared" si="15"/>
        <v>24</v>
      </c>
      <c r="I34" s="251">
        <f t="shared" si="15"/>
        <v>295.5</v>
      </c>
      <c r="J34" s="285">
        <f t="shared" si="6"/>
        <v>65927</v>
      </c>
    </row>
    <row r="35" spans="1:10" x14ac:dyDescent="0.3">
      <c r="A35" s="421">
        <v>2013</v>
      </c>
      <c r="B35" s="291">
        <f t="shared" si="4"/>
        <v>49516</v>
      </c>
      <c r="C35" s="291">
        <f t="shared" ref="C35:I36" si="16">AVERAGE(C16:C17)</f>
        <v>3904.5</v>
      </c>
      <c r="D35" s="291">
        <f t="shared" si="16"/>
        <v>500</v>
      </c>
      <c r="E35" s="291">
        <f t="shared" si="16"/>
        <v>1</v>
      </c>
      <c r="F35" s="291">
        <f t="shared" si="16"/>
        <v>11</v>
      </c>
      <c r="G35" s="291">
        <f t="shared" si="16"/>
        <v>12332.5</v>
      </c>
      <c r="H35" s="291">
        <f t="shared" si="16"/>
        <v>24</v>
      </c>
      <c r="I35" s="291">
        <f t="shared" si="16"/>
        <v>295</v>
      </c>
      <c r="J35" s="292">
        <f t="shared" si="6"/>
        <v>66584</v>
      </c>
    </row>
    <row r="36" spans="1:10" ht="12.9" thickBot="1" x14ac:dyDescent="0.35">
      <c r="A36" s="278">
        <v>2014</v>
      </c>
      <c r="B36" s="264">
        <f t="shared" si="4"/>
        <v>50202.5</v>
      </c>
      <c r="C36" s="264">
        <f>AVERAGE(C17:C18)</f>
        <v>3952.5</v>
      </c>
      <c r="D36" s="264">
        <f t="shared" si="16"/>
        <v>502.5</v>
      </c>
      <c r="E36" s="264">
        <f t="shared" si="16"/>
        <v>1</v>
      </c>
      <c r="F36" s="264">
        <f t="shared" si="16"/>
        <v>11</v>
      </c>
      <c r="G36" s="264">
        <f t="shared" si="16"/>
        <v>12464.5</v>
      </c>
      <c r="H36" s="264">
        <f t="shared" si="16"/>
        <v>24</v>
      </c>
      <c r="I36" s="264">
        <f t="shared" si="16"/>
        <v>295.5</v>
      </c>
      <c r="J36" s="286">
        <f t="shared" ref="J36" si="17">SUM(B36:I36)</f>
        <v>67453.5</v>
      </c>
    </row>
    <row r="37" spans="1:10" ht="12.9" thickBot="1" x14ac:dyDescent="0.35"/>
    <row r="38" spans="1:10" ht="23.6" thickBot="1" x14ac:dyDescent="0.35">
      <c r="A38" s="256" t="s">
        <v>112</v>
      </c>
      <c r="B38" s="249" t="s">
        <v>71</v>
      </c>
      <c r="C38" s="249" t="s">
        <v>236</v>
      </c>
      <c r="D38" s="249" t="s">
        <v>235</v>
      </c>
      <c r="E38" s="249" t="s">
        <v>74</v>
      </c>
      <c r="F38" s="249" t="s">
        <v>237</v>
      </c>
      <c r="G38" s="249" t="s">
        <v>238</v>
      </c>
      <c r="H38" s="249" t="s">
        <v>239</v>
      </c>
      <c r="I38" s="249" t="s">
        <v>76</v>
      </c>
      <c r="J38" s="250" t="s">
        <v>9</v>
      </c>
    </row>
    <row r="39" spans="1:10" x14ac:dyDescent="0.3">
      <c r="A39" s="287" t="s">
        <v>243</v>
      </c>
      <c r="B39" s="255">
        <f>+'Rate Class Customer Model'!B40</f>
        <v>1.0134958898228545</v>
      </c>
      <c r="C39" s="255">
        <f>+'Rate Class Customer Model'!C40</f>
        <v>1.0062917899024224</v>
      </c>
      <c r="D39" s="255">
        <f>+'Rate Class Customer Model'!D40</f>
        <v>1</v>
      </c>
      <c r="E39" s="255">
        <f>+'Rate Class Customer Model'!E40</f>
        <v>1</v>
      </c>
      <c r="F39" s="255">
        <f>+'Rate Class Customer Model'!F40</f>
        <v>1</v>
      </c>
      <c r="G39" s="255">
        <f>+'Rate Class Customer Model'!G40</f>
        <v>1.0196836587372433</v>
      </c>
      <c r="H39" s="255">
        <f>+'Rate Class Customer Model'!H40</f>
        <v>0.96754687221561908</v>
      </c>
      <c r="I39" s="255">
        <f>+'Rate Class Customer Model'!I40</f>
        <v>1.0010837718183276</v>
      </c>
      <c r="J39" s="288">
        <f>+'Rate Class Customer Model'!J40</f>
        <v>1.013884297281004</v>
      </c>
    </row>
    <row r="40" spans="1:10" ht="12.9" thickBot="1" x14ac:dyDescent="0.35">
      <c r="A40" s="289" t="s">
        <v>241</v>
      </c>
      <c r="B40" s="274">
        <f>+'Rate Class Customer Model'!B42</f>
        <v>1.0134958898228545</v>
      </c>
      <c r="C40" s="274">
        <f>+'Rate Class Customer Model'!C42</f>
        <v>1.0062917899024224</v>
      </c>
      <c r="D40" s="274">
        <f>+'Rate Class Customer Model'!D42</f>
        <v>0.99036005296293395</v>
      </c>
      <c r="E40" s="274">
        <f>+'Rate Class Customer Model'!E42</f>
        <v>0.920075858503551</v>
      </c>
      <c r="F40" s="274">
        <f>+'Rate Class Customer Model'!F42</f>
        <v>1.0743092982796343</v>
      </c>
      <c r="G40" s="274">
        <f>+'Rate Class Customer Model'!G42</f>
        <v>1.0196836587372433</v>
      </c>
      <c r="H40" s="274">
        <f>+'Rate Class Customer Model'!H42</f>
        <v>0.96754687221561908</v>
      </c>
      <c r="I40" s="274">
        <f>+'Rate Class Customer Model'!I42</f>
        <v>1.0010837718183276</v>
      </c>
      <c r="J40" s="290">
        <f>+'Rate Class Customer Model'!J42</f>
        <v>1.013884297281004</v>
      </c>
    </row>
    <row r="41" spans="1:10" ht="12.9" thickBot="1" x14ac:dyDescent="0.35"/>
    <row r="42" spans="1:10" ht="23.6" thickBot="1" x14ac:dyDescent="0.35">
      <c r="A42" s="256" t="s">
        <v>112</v>
      </c>
      <c r="B42" s="249" t="s">
        <v>71</v>
      </c>
      <c r="C42" s="249" t="s">
        <v>236</v>
      </c>
      <c r="D42" s="249" t="s">
        <v>235</v>
      </c>
      <c r="E42" s="249" t="s">
        <v>74</v>
      </c>
      <c r="F42" s="249" t="s">
        <v>237</v>
      </c>
      <c r="G42" s="249" t="s">
        <v>238</v>
      </c>
      <c r="H42" s="249" t="s">
        <v>239</v>
      </c>
      <c r="I42" s="249" t="s">
        <v>76</v>
      </c>
      <c r="J42" s="250" t="s">
        <v>9</v>
      </c>
    </row>
    <row r="43" spans="1:10" x14ac:dyDescent="0.3">
      <c r="A43" s="279" t="s">
        <v>244</v>
      </c>
      <c r="B43" s="280"/>
      <c r="C43" s="280"/>
      <c r="D43" s="280"/>
      <c r="E43" s="280"/>
      <c r="F43" s="280"/>
      <c r="G43" s="280"/>
      <c r="H43" s="280"/>
      <c r="I43" s="280"/>
      <c r="J43" s="281"/>
    </row>
    <row r="44" spans="1:10" x14ac:dyDescent="0.3">
      <c r="A44" s="282" t="s">
        <v>114</v>
      </c>
      <c r="B44" s="254">
        <f>+B22</f>
        <v>47243</v>
      </c>
      <c r="C44" s="254">
        <f t="shared" ref="C44:I44" si="18">+C22</f>
        <v>3845</v>
      </c>
      <c r="D44" s="254">
        <f t="shared" si="18"/>
        <v>522</v>
      </c>
      <c r="E44" s="254">
        <f t="shared" si="18"/>
        <v>2</v>
      </c>
      <c r="F44" s="254">
        <f t="shared" si="18"/>
        <v>9</v>
      </c>
      <c r="G44" s="254">
        <f t="shared" si="18"/>
        <v>11650</v>
      </c>
      <c r="H44" s="254">
        <f t="shared" si="18"/>
        <v>77</v>
      </c>
      <c r="I44" s="254">
        <f t="shared" si="18"/>
        <v>305</v>
      </c>
      <c r="J44" s="261">
        <f>SUM(B44:I44)</f>
        <v>63653</v>
      </c>
    </row>
    <row r="45" spans="1:10" x14ac:dyDescent="0.3">
      <c r="A45" s="282" t="s">
        <v>227</v>
      </c>
      <c r="B45" s="254">
        <f>+B23</f>
        <v>49919.725406979574</v>
      </c>
      <c r="C45" s="254">
        <f t="shared" ref="C45:I45" si="19">+C23</f>
        <v>3961</v>
      </c>
      <c r="D45" s="254">
        <f t="shared" si="19"/>
        <v>518</v>
      </c>
      <c r="E45" s="254">
        <f t="shared" si="19"/>
        <v>1</v>
      </c>
      <c r="F45" s="254">
        <f t="shared" si="19"/>
        <v>10</v>
      </c>
      <c r="G45" s="254">
        <f t="shared" si="19"/>
        <v>12761.899782618997</v>
      </c>
      <c r="H45" s="254">
        <f t="shared" si="19"/>
        <v>22.307657589073369</v>
      </c>
      <c r="I45" s="254">
        <f t="shared" si="19"/>
        <v>313.0793844964528</v>
      </c>
      <c r="J45" s="261">
        <f>SUM(B45:I45)</f>
        <v>67507.012231684101</v>
      </c>
    </row>
    <row r="46" spans="1:10" x14ac:dyDescent="0.3">
      <c r="A46" s="276"/>
      <c r="B46" s="253"/>
      <c r="C46" s="283"/>
      <c r="D46" s="283"/>
      <c r="E46" s="283"/>
      <c r="F46" s="283"/>
      <c r="G46" s="283"/>
      <c r="H46" s="283"/>
      <c r="I46" s="283"/>
      <c r="J46" s="284"/>
    </row>
    <row r="47" spans="1:10" x14ac:dyDescent="0.3">
      <c r="A47" s="277" t="s">
        <v>295</v>
      </c>
      <c r="B47" s="251">
        <f>+B36</f>
        <v>50202.5</v>
      </c>
      <c r="C47" s="251">
        <f t="shared" ref="C47:I47" si="20">+C36</f>
        <v>3952.5</v>
      </c>
      <c r="D47" s="251">
        <f t="shared" si="20"/>
        <v>502.5</v>
      </c>
      <c r="E47" s="251">
        <f t="shared" si="20"/>
        <v>1</v>
      </c>
      <c r="F47" s="251">
        <f t="shared" si="20"/>
        <v>11</v>
      </c>
      <c r="G47" s="251">
        <f t="shared" si="20"/>
        <v>12464.5</v>
      </c>
      <c r="H47" s="251">
        <f t="shared" si="20"/>
        <v>24</v>
      </c>
      <c r="I47" s="251">
        <f t="shared" si="20"/>
        <v>295.5</v>
      </c>
      <c r="J47" s="285">
        <f>SUM(B47:I47)</f>
        <v>67453.5</v>
      </c>
    </row>
    <row r="48" spans="1:10" x14ac:dyDescent="0.3">
      <c r="A48" s="277" t="s">
        <v>296</v>
      </c>
      <c r="B48" s="251">
        <f>+B47*B$39</f>
        <v>50880.027408831855</v>
      </c>
      <c r="C48" s="251">
        <f t="shared" ref="C48:I52" si="21">+C47*C$39</f>
        <v>3977.3682995893246</v>
      </c>
      <c r="D48" s="251">
        <f t="shared" si="21"/>
        <v>502.5</v>
      </c>
      <c r="E48" s="251">
        <f t="shared" si="21"/>
        <v>1</v>
      </c>
      <c r="F48" s="251">
        <f t="shared" si="21"/>
        <v>11</v>
      </c>
      <c r="G48" s="251">
        <f>+G47*G$39</f>
        <v>12709.846964330369</v>
      </c>
      <c r="H48" s="251">
        <f t="shared" si="21"/>
        <v>23.221124933174856</v>
      </c>
      <c r="I48" s="251">
        <f t="shared" si="21"/>
        <v>295.82025457231583</v>
      </c>
      <c r="J48" s="285">
        <f t="shared" ref="J48:J52" si="22">SUM(B48:I48)</f>
        <v>68400.784052257033</v>
      </c>
    </row>
    <row r="49" spans="1:12" x14ac:dyDescent="0.3">
      <c r="A49" s="277" t="s">
        <v>297</v>
      </c>
      <c r="B49" s="251">
        <f t="shared" ref="B49:B52" si="23">+B48*B$39</f>
        <v>51566.698652925268</v>
      </c>
      <c r="C49" s="251">
        <f t="shared" si="21"/>
        <v>4002.3930652948957</v>
      </c>
      <c r="D49" s="251">
        <f t="shared" si="21"/>
        <v>502.5</v>
      </c>
      <c r="E49" s="251">
        <f t="shared" si="21"/>
        <v>1</v>
      </c>
      <c r="F49" s="251">
        <f t="shared" si="21"/>
        <v>11</v>
      </c>
      <c r="G49" s="251">
        <f t="shared" si="21"/>
        <v>12960.023254578835</v>
      </c>
      <c r="H49" s="251">
        <f t="shared" si="21"/>
        <v>22.46752679842146</v>
      </c>
      <c r="I49" s="251">
        <f t="shared" si="21"/>
        <v>296.14085622751179</v>
      </c>
      <c r="J49" s="285">
        <f t="shared" si="22"/>
        <v>69362.223355824943</v>
      </c>
    </row>
    <row r="50" spans="1:12" x14ac:dyDescent="0.3">
      <c r="A50" s="277" t="s">
        <v>298</v>
      </c>
      <c r="B50" s="251">
        <f t="shared" si="23"/>
        <v>52262.637136473488</v>
      </c>
      <c r="C50" s="251">
        <f t="shared" si="21"/>
        <v>4027.5752815686437</v>
      </c>
      <c r="D50" s="251">
        <f t="shared" si="21"/>
        <v>502.5</v>
      </c>
      <c r="E50" s="251">
        <f t="shared" si="21"/>
        <v>1</v>
      </c>
      <c r="F50" s="251">
        <f t="shared" si="21"/>
        <v>11</v>
      </c>
      <c r="G50" s="251">
        <f t="shared" si="21"/>
        <v>13215.123929548703</v>
      </c>
      <c r="H50" s="251">
        <f t="shared" si="21"/>
        <v>21.738385280233285</v>
      </c>
      <c r="I50" s="251">
        <f t="shared" si="21"/>
        <v>296.46180534174658</v>
      </c>
      <c r="J50" s="285">
        <f t="shared" si="22"/>
        <v>70338.036538212822</v>
      </c>
    </row>
    <row r="51" spans="1:12" x14ac:dyDescent="0.3">
      <c r="A51" s="277" t="s">
        <v>299</v>
      </c>
      <c r="B51" s="251">
        <f t="shared" si="23"/>
        <v>52967.967929119157</v>
      </c>
      <c r="C51" s="251">
        <f t="shared" si="21"/>
        <v>4052.9159390564632</v>
      </c>
      <c r="D51" s="251">
        <f t="shared" si="21"/>
        <v>502.5</v>
      </c>
      <c r="E51" s="251">
        <f t="shared" si="21"/>
        <v>1</v>
      </c>
      <c r="F51" s="251">
        <f t="shared" si="21"/>
        <v>11</v>
      </c>
      <c r="G51" s="251">
        <f>+G50*G$39</f>
        <v>13475.245919148318</v>
      </c>
      <c r="H51" s="251">
        <f t="shared" si="21"/>
        <v>21.032906684907768</v>
      </c>
      <c r="I51" s="251">
        <f t="shared" si="21"/>
        <v>296.78310229158649</v>
      </c>
      <c r="J51" s="285">
        <f t="shared" si="22"/>
        <v>71328.445796300439</v>
      </c>
      <c r="L51" s="31"/>
    </row>
    <row r="52" spans="1:12" ht="12.9" thickBot="1" x14ac:dyDescent="0.35">
      <c r="A52" s="278" t="s">
        <v>300</v>
      </c>
      <c r="B52" s="264">
        <f t="shared" si="23"/>
        <v>53682.817788431043</v>
      </c>
      <c r="C52" s="264">
        <f t="shared" si="21"/>
        <v>4078.4160346371855</v>
      </c>
      <c r="D52" s="264">
        <f t="shared" si="21"/>
        <v>502.5</v>
      </c>
      <c r="E52" s="264">
        <f t="shared" si="21"/>
        <v>1</v>
      </c>
      <c r="F52" s="264">
        <f t="shared" si="21"/>
        <v>11</v>
      </c>
      <c r="G52" s="264">
        <f t="shared" si="21"/>
        <v>13740.488061221264</v>
      </c>
      <c r="H52" s="264">
        <f t="shared" si="21"/>
        <v>20.350323076585497</v>
      </c>
      <c r="I52" s="264">
        <f t="shared" si="21"/>
        <v>297.10474745400597</v>
      </c>
      <c r="J52" s="286">
        <f t="shared" si="22"/>
        <v>72333.676954820097</v>
      </c>
      <c r="L52" s="31"/>
    </row>
    <row r="53" spans="1:12" ht="12.9" thickBot="1" x14ac:dyDescent="0.35"/>
    <row r="54" spans="1:12" ht="23.6" thickBot="1" x14ac:dyDescent="0.35">
      <c r="A54" s="464" t="s">
        <v>112</v>
      </c>
      <c r="B54" s="465" t="s">
        <v>71</v>
      </c>
      <c r="C54" s="465" t="s">
        <v>236</v>
      </c>
      <c r="D54" s="465" t="s">
        <v>235</v>
      </c>
      <c r="E54" s="465" t="s">
        <v>74</v>
      </c>
      <c r="F54" s="465" t="s">
        <v>237</v>
      </c>
      <c r="G54" s="465" t="s">
        <v>238</v>
      </c>
      <c r="H54" s="465" t="s">
        <v>239</v>
      </c>
      <c r="I54" s="465" t="s">
        <v>76</v>
      </c>
      <c r="J54" s="466" t="s">
        <v>9</v>
      </c>
      <c r="K54" s="49" t="s">
        <v>346</v>
      </c>
      <c r="L54" s="31"/>
    </row>
    <row r="55" spans="1:12" x14ac:dyDescent="0.3">
      <c r="A55" s="467" t="s">
        <v>341</v>
      </c>
      <c r="B55" s="468"/>
      <c r="C55" s="468"/>
      <c r="D55" s="468"/>
      <c r="E55" s="468"/>
      <c r="F55" s="468"/>
      <c r="G55" s="468"/>
      <c r="H55" s="468"/>
      <c r="I55" s="468"/>
      <c r="J55" s="469"/>
      <c r="K55" s="49" t="s">
        <v>347</v>
      </c>
      <c r="L55" s="31"/>
    </row>
    <row r="56" spans="1:12" x14ac:dyDescent="0.3">
      <c r="A56" s="470" t="s">
        <v>295</v>
      </c>
      <c r="B56" s="471">
        <f t="shared" ref="B56:I56" si="24">+B36</f>
        <v>50202.5</v>
      </c>
      <c r="C56" s="471">
        <f t="shared" si="24"/>
        <v>3952.5</v>
      </c>
      <c r="D56" s="471">
        <f t="shared" si="24"/>
        <v>502.5</v>
      </c>
      <c r="E56" s="471">
        <f t="shared" si="24"/>
        <v>1</v>
      </c>
      <c r="F56" s="471">
        <f t="shared" si="24"/>
        <v>11</v>
      </c>
      <c r="G56" s="471">
        <f t="shared" si="24"/>
        <v>12464.5</v>
      </c>
      <c r="H56" s="471">
        <f t="shared" si="24"/>
        <v>24</v>
      </c>
      <c r="I56" s="471">
        <f t="shared" si="24"/>
        <v>295.5</v>
      </c>
      <c r="J56" s="472">
        <f t="shared" ref="J56:J61" si="25">SUM(B56:I56)</f>
        <v>67453.5</v>
      </c>
      <c r="K56" s="31"/>
      <c r="L56" s="31"/>
    </row>
    <row r="57" spans="1:12" x14ac:dyDescent="0.3">
      <c r="A57" s="470" t="s">
        <v>336</v>
      </c>
      <c r="B57" s="471">
        <v>50977.361904761899</v>
      </c>
      <c r="C57" s="471">
        <v>4002.4190476190474</v>
      </c>
      <c r="D57" s="471">
        <v>506.96190476190475</v>
      </c>
      <c r="E57" s="471">
        <f>+E48</f>
        <v>1</v>
      </c>
      <c r="F57" s="471">
        <v>12</v>
      </c>
      <c r="G57" s="471">
        <f>+G48</f>
        <v>12709.846964330369</v>
      </c>
      <c r="H57" s="471">
        <f t="shared" ref="H57:I61" si="26">+H48</f>
        <v>23.221124933174856</v>
      </c>
      <c r="I57" s="471">
        <f t="shared" si="26"/>
        <v>295.82025457231583</v>
      </c>
      <c r="J57" s="472">
        <f t="shared" si="25"/>
        <v>68528.631200978722</v>
      </c>
      <c r="K57" s="31"/>
      <c r="L57" s="31"/>
    </row>
    <row r="58" spans="1:12" x14ac:dyDescent="0.3">
      <c r="A58" s="470" t="s">
        <v>337</v>
      </c>
      <c r="B58" s="471">
        <f t="shared" ref="B58:D59" si="27">+B57*1.015</f>
        <v>51742.02233333332</v>
      </c>
      <c r="C58" s="471">
        <f t="shared" si="27"/>
        <v>4062.4553333333329</v>
      </c>
      <c r="D58" s="471">
        <f t="shared" si="27"/>
        <v>514.56633333333332</v>
      </c>
      <c r="E58" s="471">
        <f>+E49</f>
        <v>1</v>
      </c>
      <c r="F58" s="471">
        <f>+F57</f>
        <v>12</v>
      </c>
      <c r="G58" s="471">
        <f>+G49</f>
        <v>12960.023254578835</v>
      </c>
      <c r="H58" s="471">
        <f t="shared" si="26"/>
        <v>22.46752679842146</v>
      </c>
      <c r="I58" s="471">
        <f t="shared" si="26"/>
        <v>296.14085622751179</v>
      </c>
      <c r="J58" s="472">
        <f t="shared" si="25"/>
        <v>69610.675637604771</v>
      </c>
      <c r="K58" s="31"/>
      <c r="L58" s="31"/>
    </row>
    <row r="59" spans="1:12" x14ac:dyDescent="0.3">
      <c r="A59" s="470" t="s">
        <v>338</v>
      </c>
      <c r="B59" s="471">
        <f t="shared" si="27"/>
        <v>52518.152668333314</v>
      </c>
      <c r="C59" s="471">
        <f t="shared" si="27"/>
        <v>4123.3921633333321</v>
      </c>
      <c r="D59" s="471">
        <f t="shared" si="27"/>
        <v>522.28482833333328</v>
      </c>
      <c r="E59" s="471">
        <f>+E50</f>
        <v>1</v>
      </c>
      <c r="F59" s="471">
        <f>+F58</f>
        <v>12</v>
      </c>
      <c r="G59" s="471">
        <f t="shared" ref="G59" si="28">+G50</f>
        <v>13215.123929548703</v>
      </c>
      <c r="H59" s="471">
        <f t="shared" si="26"/>
        <v>21.738385280233285</v>
      </c>
      <c r="I59" s="471">
        <f t="shared" si="26"/>
        <v>296.46180534174658</v>
      </c>
      <c r="J59" s="472">
        <f t="shared" si="25"/>
        <v>70710.153780170658</v>
      </c>
      <c r="K59" s="31"/>
      <c r="L59" s="31"/>
    </row>
    <row r="60" spans="1:12" x14ac:dyDescent="0.3">
      <c r="A60" s="470" t="s">
        <v>339</v>
      </c>
      <c r="B60" s="471">
        <f>ROUND(+B59*1.019,-0.1)</f>
        <v>53516</v>
      </c>
      <c r="C60" s="471">
        <f t="shared" ref="C60:C61" si="29">ROUND(+C59*1.019,-0.1)</f>
        <v>4202</v>
      </c>
      <c r="D60" s="471">
        <f t="shared" ref="D60:D61" si="30">ROUND(+D59*1.019,-0.1)</f>
        <v>532</v>
      </c>
      <c r="E60" s="471">
        <f>+E51</f>
        <v>1</v>
      </c>
      <c r="F60" s="471">
        <f t="shared" ref="F60:F61" si="31">ROUND(+F59*1.019,-0.1)</f>
        <v>12</v>
      </c>
      <c r="G60" s="471">
        <f t="shared" ref="G60:G61" si="32">ROUND(+G59*1.019,-0.1)</f>
        <v>13466</v>
      </c>
      <c r="H60" s="471">
        <f t="shared" si="26"/>
        <v>21.032906684907768</v>
      </c>
      <c r="I60" s="471">
        <f t="shared" si="26"/>
        <v>296.78310229158649</v>
      </c>
      <c r="J60" s="472">
        <f t="shared" si="25"/>
        <v>72046.816008976501</v>
      </c>
      <c r="K60" s="31"/>
      <c r="L60" s="520"/>
    </row>
    <row r="61" spans="1:12" ht="12.9" thickBot="1" x14ac:dyDescent="0.35">
      <c r="A61" s="473" t="s">
        <v>340</v>
      </c>
      <c r="B61" s="474">
        <f>ROUND(+B60*1.019,-0.1)</f>
        <v>54533</v>
      </c>
      <c r="C61" s="474">
        <f t="shared" si="29"/>
        <v>4282</v>
      </c>
      <c r="D61" s="474">
        <f t="shared" si="30"/>
        <v>542</v>
      </c>
      <c r="E61" s="474">
        <f>+E52</f>
        <v>1</v>
      </c>
      <c r="F61" s="474">
        <f t="shared" si="31"/>
        <v>12</v>
      </c>
      <c r="G61" s="471">
        <f t="shared" si="32"/>
        <v>13722</v>
      </c>
      <c r="H61" s="474">
        <f t="shared" si="26"/>
        <v>20.350323076585497</v>
      </c>
      <c r="I61" s="474">
        <f t="shared" si="26"/>
        <v>297.10474745400597</v>
      </c>
      <c r="J61" s="475">
        <f t="shared" si="25"/>
        <v>73409.455070530603</v>
      </c>
      <c r="K61" s="31"/>
      <c r="L61" s="31"/>
    </row>
    <row r="62" spans="1:12" ht="12.9" thickBot="1" x14ac:dyDescent="0.35"/>
    <row r="63" spans="1:12" ht="23.6" thickBot="1" x14ac:dyDescent="0.35">
      <c r="A63" s="256" t="s">
        <v>112</v>
      </c>
      <c r="B63" s="249" t="s">
        <v>71</v>
      </c>
      <c r="C63" s="249" t="s">
        <v>236</v>
      </c>
      <c r="D63" s="249" t="s">
        <v>235</v>
      </c>
      <c r="E63" s="249" t="s">
        <v>74</v>
      </c>
      <c r="F63" s="249" t="s">
        <v>237</v>
      </c>
      <c r="G63" s="249" t="s">
        <v>238</v>
      </c>
      <c r="H63" s="249" t="s">
        <v>239</v>
      </c>
      <c r="I63" s="249" t="s">
        <v>76</v>
      </c>
      <c r="J63" s="250" t="s">
        <v>9</v>
      </c>
    </row>
    <row r="64" spans="1:12" x14ac:dyDescent="0.3">
      <c r="A64" s="279" t="s">
        <v>341</v>
      </c>
      <c r="B64" s="280"/>
      <c r="C64" s="280"/>
      <c r="D64" s="280"/>
      <c r="E64" s="280"/>
      <c r="F64" s="280"/>
      <c r="G64" s="280"/>
      <c r="H64" s="280"/>
      <c r="I64" s="280"/>
      <c r="J64" s="281"/>
    </row>
    <row r="65" spans="1:10" x14ac:dyDescent="0.3">
      <c r="A65" s="277" t="s">
        <v>295</v>
      </c>
      <c r="B65" s="251">
        <f t="shared" ref="B65:I70" si="33">ROUND(+B56-B47,1)</f>
        <v>0</v>
      </c>
      <c r="C65" s="251">
        <f t="shared" si="33"/>
        <v>0</v>
      </c>
      <c r="D65" s="251">
        <f t="shared" si="33"/>
        <v>0</v>
      </c>
      <c r="E65" s="251">
        <f t="shared" si="33"/>
        <v>0</v>
      </c>
      <c r="F65" s="251">
        <f t="shared" si="33"/>
        <v>0</v>
      </c>
      <c r="G65" s="251">
        <f t="shared" si="33"/>
        <v>0</v>
      </c>
      <c r="H65" s="251">
        <f t="shared" si="33"/>
        <v>0</v>
      </c>
      <c r="I65" s="251">
        <f t="shared" si="33"/>
        <v>0</v>
      </c>
      <c r="J65" s="285">
        <f t="shared" ref="J65:J70" si="34">SUM(B65:I65)</f>
        <v>0</v>
      </c>
    </row>
    <row r="66" spans="1:10" x14ac:dyDescent="0.3">
      <c r="A66" s="277" t="s">
        <v>296</v>
      </c>
      <c r="B66" s="251">
        <f t="shared" si="33"/>
        <v>97.3</v>
      </c>
      <c r="C66" s="251">
        <f t="shared" si="33"/>
        <v>25.1</v>
      </c>
      <c r="D66" s="251">
        <f t="shared" si="33"/>
        <v>4.5</v>
      </c>
      <c r="E66" s="251">
        <f t="shared" si="33"/>
        <v>0</v>
      </c>
      <c r="F66" s="251">
        <f t="shared" si="33"/>
        <v>1</v>
      </c>
      <c r="G66" s="251">
        <f t="shared" si="33"/>
        <v>0</v>
      </c>
      <c r="H66" s="251">
        <f t="shared" si="33"/>
        <v>0</v>
      </c>
      <c r="I66" s="251">
        <f t="shared" si="33"/>
        <v>0</v>
      </c>
      <c r="J66" s="285">
        <f t="shared" si="34"/>
        <v>127.9</v>
      </c>
    </row>
    <row r="67" spans="1:10" x14ac:dyDescent="0.3">
      <c r="A67" s="277" t="s">
        <v>297</v>
      </c>
      <c r="B67" s="251">
        <f t="shared" si="33"/>
        <v>175.3</v>
      </c>
      <c r="C67" s="251">
        <f t="shared" si="33"/>
        <v>60.1</v>
      </c>
      <c r="D67" s="251">
        <f t="shared" si="33"/>
        <v>12.1</v>
      </c>
      <c r="E67" s="251">
        <f t="shared" si="33"/>
        <v>0</v>
      </c>
      <c r="F67" s="251">
        <f t="shared" si="33"/>
        <v>1</v>
      </c>
      <c r="G67" s="251">
        <f t="shared" si="33"/>
        <v>0</v>
      </c>
      <c r="H67" s="251">
        <f t="shared" si="33"/>
        <v>0</v>
      </c>
      <c r="I67" s="251">
        <f t="shared" si="33"/>
        <v>0</v>
      </c>
      <c r="J67" s="285">
        <f t="shared" si="34"/>
        <v>248.5</v>
      </c>
    </row>
    <row r="68" spans="1:10" x14ac:dyDescent="0.3">
      <c r="A68" s="277" t="s">
        <v>298</v>
      </c>
      <c r="B68" s="251">
        <f t="shared" si="33"/>
        <v>255.5</v>
      </c>
      <c r="C68" s="251">
        <f t="shared" si="33"/>
        <v>95.8</v>
      </c>
      <c r="D68" s="251">
        <f t="shared" si="33"/>
        <v>19.8</v>
      </c>
      <c r="E68" s="251">
        <f t="shared" si="33"/>
        <v>0</v>
      </c>
      <c r="F68" s="251">
        <f t="shared" si="33"/>
        <v>1</v>
      </c>
      <c r="G68" s="251">
        <f t="shared" si="33"/>
        <v>0</v>
      </c>
      <c r="H68" s="251">
        <f t="shared" si="33"/>
        <v>0</v>
      </c>
      <c r="I68" s="251">
        <f t="shared" si="33"/>
        <v>0</v>
      </c>
      <c r="J68" s="285">
        <f t="shared" si="34"/>
        <v>372.1</v>
      </c>
    </row>
    <row r="69" spans="1:10" x14ac:dyDescent="0.3">
      <c r="A69" s="277" t="s">
        <v>299</v>
      </c>
      <c r="B69" s="251">
        <f t="shared" si="33"/>
        <v>548</v>
      </c>
      <c r="C69" s="251">
        <f t="shared" si="33"/>
        <v>149.1</v>
      </c>
      <c r="D69" s="251">
        <f t="shared" si="33"/>
        <v>29.5</v>
      </c>
      <c r="E69" s="251">
        <f t="shared" si="33"/>
        <v>0</v>
      </c>
      <c r="F69" s="251">
        <f t="shared" si="33"/>
        <v>1</v>
      </c>
      <c r="G69" s="251">
        <f t="shared" si="33"/>
        <v>-9.1999999999999993</v>
      </c>
      <c r="H69" s="251">
        <f t="shared" si="33"/>
        <v>0</v>
      </c>
      <c r="I69" s="251">
        <f t="shared" si="33"/>
        <v>0</v>
      </c>
      <c r="J69" s="285">
        <f t="shared" si="34"/>
        <v>718.4</v>
      </c>
    </row>
    <row r="70" spans="1:10" ht="12.9" thickBot="1" x14ac:dyDescent="0.35">
      <c r="A70" s="278" t="s">
        <v>300</v>
      </c>
      <c r="B70" s="264">
        <f t="shared" si="33"/>
        <v>850.2</v>
      </c>
      <c r="C70" s="264">
        <f t="shared" si="33"/>
        <v>203.6</v>
      </c>
      <c r="D70" s="264">
        <f t="shared" si="33"/>
        <v>39.5</v>
      </c>
      <c r="E70" s="264">
        <f t="shared" si="33"/>
        <v>0</v>
      </c>
      <c r="F70" s="264">
        <f t="shared" si="33"/>
        <v>1</v>
      </c>
      <c r="G70" s="264">
        <f t="shared" si="33"/>
        <v>-18.5</v>
      </c>
      <c r="H70" s="264">
        <f t="shared" si="33"/>
        <v>0</v>
      </c>
      <c r="I70" s="264">
        <f t="shared" si="33"/>
        <v>0</v>
      </c>
      <c r="J70" s="286">
        <f t="shared" si="34"/>
        <v>1075.8</v>
      </c>
    </row>
    <row r="71" spans="1:10" ht="12.9" thickBot="1" x14ac:dyDescent="0.35"/>
    <row r="72" spans="1:10" ht="23.6" thickBot="1" x14ac:dyDescent="0.35">
      <c r="A72" s="256" t="s">
        <v>112</v>
      </c>
      <c r="B72" s="249" t="s">
        <v>71</v>
      </c>
      <c r="C72" s="249" t="s">
        <v>236</v>
      </c>
      <c r="D72" s="249" t="s">
        <v>235</v>
      </c>
      <c r="E72" s="249" t="s">
        <v>74</v>
      </c>
      <c r="F72" s="249" t="s">
        <v>237</v>
      </c>
      <c r="G72" s="249" t="s">
        <v>238</v>
      </c>
      <c r="H72" s="249" t="s">
        <v>239</v>
      </c>
      <c r="I72" s="249" t="s">
        <v>76</v>
      </c>
      <c r="J72" s="250" t="s">
        <v>9</v>
      </c>
    </row>
    <row r="73" spans="1:10" x14ac:dyDescent="0.3">
      <c r="A73" s="279" t="s">
        <v>281</v>
      </c>
      <c r="B73" s="280"/>
      <c r="C73" s="280"/>
      <c r="D73" s="280"/>
      <c r="E73" s="280"/>
      <c r="F73" s="280"/>
      <c r="G73" s="280"/>
      <c r="H73" s="280"/>
      <c r="I73" s="280"/>
      <c r="J73" s="281"/>
    </row>
    <row r="74" spans="1:10" x14ac:dyDescent="0.3">
      <c r="A74" s="277" t="s">
        <v>229</v>
      </c>
      <c r="B74" s="251">
        <f>+'Rate Class Energy Model'!H42</f>
        <v>9620.4967571258403</v>
      </c>
      <c r="C74" s="251">
        <f>+'Rate Class Energy Model'!I42</f>
        <v>33639.096336679446</v>
      </c>
      <c r="D74" s="251">
        <f>+'Rate Class Energy Model'!J42</f>
        <v>668377.40361670626</v>
      </c>
      <c r="E74" s="251">
        <f>+'Rate Class Energy Model'!K42</f>
        <v>43077959.531164952</v>
      </c>
      <c r="F74" s="251">
        <f>+'Rate Class Energy Model'!L42</f>
        <v>7400031.4545454541</v>
      </c>
      <c r="G74" s="251">
        <f>+'Rate Class Energy Model'!M42</f>
        <v>734.55613943599826</v>
      </c>
      <c r="H74" s="251">
        <f>+'Rate Class Energy Model'!N42</f>
        <v>1492.1666666666667</v>
      </c>
      <c r="I74" s="251">
        <f>+'Rate Class Energy Model'!O42</f>
        <v>9175.0219966159057</v>
      </c>
      <c r="J74" s="285">
        <f>+'Rate Class Energy Model'!P42</f>
        <v>16018.954802436359</v>
      </c>
    </row>
    <row r="75" spans="1:10" x14ac:dyDescent="0.3">
      <c r="A75" s="277" t="s">
        <v>230</v>
      </c>
      <c r="B75" s="251">
        <f>+'Rate Class Energy Model'!H43</f>
        <v>9570.3532562924393</v>
      </c>
      <c r="C75" s="251">
        <f>+'Rate Class Energy Model'!I43</f>
        <v>33445.26616343671</v>
      </c>
      <c r="D75" s="251">
        <f>+'Rate Class Energy Model'!J43</f>
        <v>667291.6703198452</v>
      </c>
      <c r="E75" s="251">
        <f>+'Rate Class Energy Model'!K43</f>
        <v>43458821.844992571</v>
      </c>
      <c r="F75" s="251">
        <f>+'Rate Class Energy Model'!L43</f>
        <v>7400031.4545454541</v>
      </c>
      <c r="G75" s="251">
        <f>+'Rate Class Energy Model'!M43</f>
        <v>734.55613943599826</v>
      </c>
      <c r="H75" s="251">
        <f>+'Rate Class Energy Model'!N43</f>
        <v>1492.1666666666667</v>
      </c>
      <c r="I75" s="251">
        <f>+'Rate Class Energy Model'!O43</f>
        <v>9175.0219966159057</v>
      </c>
      <c r="J75" s="285">
        <f>+'Rate Class Energy Model'!P43</f>
        <v>15856.12876163014</v>
      </c>
    </row>
    <row r="76" spans="1:10" x14ac:dyDescent="0.3">
      <c r="A76" s="277" t="s">
        <v>231</v>
      </c>
      <c r="B76" s="251">
        <f>+'Rate Class Energy Model'!H44</f>
        <v>9520.4711110562912</v>
      </c>
      <c r="C76" s="251">
        <f>+'Rate Class Energy Model'!I44</f>
        <v>33252.552849448555</v>
      </c>
      <c r="D76" s="251">
        <f>+'Rate Class Energy Model'!J44</f>
        <v>666207.70072233351</v>
      </c>
      <c r="E76" s="251">
        <f>+'Rate Class Energy Model'!K44</f>
        <v>43843051.451599903</v>
      </c>
      <c r="F76" s="251">
        <f>+'Rate Class Energy Model'!L44</f>
        <v>7400031.4545454541</v>
      </c>
      <c r="G76" s="251">
        <f>+'Rate Class Energy Model'!M44</f>
        <v>734.55613943599826</v>
      </c>
      <c r="H76" s="251">
        <f>+'Rate Class Energy Model'!N44</f>
        <v>1492.1666666666667</v>
      </c>
      <c r="I76" s="251">
        <f>+'Rate Class Energy Model'!O44</f>
        <v>9175.0219966159057</v>
      </c>
      <c r="J76" s="285">
        <f>+'Rate Class Energy Model'!P44</f>
        <v>15695.129401439173</v>
      </c>
    </row>
    <row r="77" spans="1:10" x14ac:dyDescent="0.3">
      <c r="A77" s="277" t="s">
        <v>232</v>
      </c>
      <c r="B77" s="251">
        <f>+'Rate Class Energy Model'!H45</f>
        <v>9470.8489591920425</v>
      </c>
      <c r="C77" s="251">
        <f>+'Rate Class Energy Model'!I45</f>
        <v>33060.949959315505</v>
      </c>
      <c r="D77" s="251">
        <f>+'Rate Class Energy Model'!J45</f>
        <v>665125.49195916252</v>
      </c>
      <c r="E77" s="251">
        <f>+'Rate Class Energy Model'!K45</f>
        <v>44230678.122009844</v>
      </c>
      <c r="F77" s="251">
        <f>+'Rate Class Energy Model'!L45</f>
        <v>7400031.4545454541</v>
      </c>
      <c r="G77" s="251">
        <f>+'Rate Class Energy Model'!M45</f>
        <v>734.55613943599826</v>
      </c>
      <c r="H77" s="251">
        <f>+'Rate Class Energy Model'!N45</f>
        <v>1492.1666666666667</v>
      </c>
      <c r="I77" s="251">
        <f>+'Rate Class Energy Model'!O45</f>
        <v>9175.0219966159057</v>
      </c>
      <c r="J77" s="285">
        <f>+'Rate Class Energy Model'!P45</f>
        <v>15535.93586902137</v>
      </c>
    </row>
    <row r="78" spans="1:10" ht="12.9" thickBot="1" x14ac:dyDescent="0.35">
      <c r="A78" s="278" t="s">
        <v>233</v>
      </c>
      <c r="B78" s="264">
        <f>+'Rate Class Energy Model'!H46</f>
        <v>9421.4854455744626</v>
      </c>
      <c r="C78" s="264">
        <f>+'Rate Class Energy Model'!I46</f>
        <v>32870.451094719188</v>
      </c>
      <c r="D78" s="264">
        <f>+'Rate Class Energy Model'!J46</f>
        <v>664045.0411699774</v>
      </c>
      <c r="E78" s="264">
        <f>+'Rate Class Energy Model'!K46</f>
        <v>44621731.890457861</v>
      </c>
      <c r="F78" s="264">
        <f>+'Rate Class Energy Model'!L46</f>
        <v>7400031.4545454541</v>
      </c>
      <c r="G78" s="264">
        <f>+'Rate Class Energy Model'!M46</f>
        <v>734.55613943599826</v>
      </c>
      <c r="H78" s="264">
        <f>+'Rate Class Energy Model'!N46</f>
        <v>1492.1666666666667</v>
      </c>
      <c r="I78" s="264">
        <f>+'Rate Class Energy Model'!O46</f>
        <v>9175.0219966159057</v>
      </c>
      <c r="J78" s="286">
        <f>+'Rate Class Energy Model'!P46</f>
        <v>15378.527509197662</v>
      </c>
    </row>
    <row r="79" spans="1:10" ht="12.9" thickBot="1" x14ac:dyDescent="0.35"/>
    <row r="80" spans="1:10" ht="23.6" thickBot="1" x14ac:dyDescent="0.35">
      <c r="A80" s="256" t="s">
        <v>112</v>
      </c>
      <c r="B80" s="249" t="s">
        <v>71</v>
      </c>
      <c r="C80" s="249" t="s">
        <v>236</v>
      </c>
      <c r="D80" s="249" t="s">
        <v>235</v>
      </c>
      <c r="E80" s="249" t="s">
        <v>74</v>
      </c>
      <c r="F80" s="249" t="s">
        <v>237</v>
      </c>
      <c r="G80" s="249" t="s">
        <v>238</v>
      </c>
      <c r="H80" s="249" t="s">
        <v>239</v>
      </c>
      <c r="I80" s="249" t="s">
        <v>76</v>
      </c>
      <c r="J80" s="250" t="s">
        <v>9</v>
      </c>
    </row>
    <row r="81" spans="1:10" x14ac:dyDescent="0.3">
      <c r="A81" s="279" t="s">
        <v>271</v>
      </c>
      <c r="B81" s="280"/>
      <c r="C81" s="280"/>
      <c r="D81" s="280"/>
      <c r="E81" s="280"/>
      <c r="F81" s="280"/>
      <c r="G81" s="280"/>
      <c r="H81" s="280"/>
      <c r="I81" s="280"/>
      <c r="J81" s="281"/>
    </row>
    <row r="82" spans="1:10" x14ac:dyDescent="0.3">
      <c r="A82" s="282" t="s">
        <v>114</v>
      </c>
      <c r="B82" s="254">
        <f>+'Chart II'!B80</f>
        <v>10312.478017907415</v>
      </c>
      <c r="C82" s="254">
        <f>+'Chart II'!C80</f>
        <v>36436.199739921976</v>
      </c>
      <c r="D82" s="254">
        <f>+'Chart II'!D80</f>
        <v>687468.15134099615</v>
      </c>
      <c r="E82" s="254">
        <f>+'Chart II'!E80</f>
        <v>30069991</v>
      </c>
      <c r="F82" s="254">
        <f>+'Chart II'!F80</f>
        <v>8995177.8888888881</v>
      </c>
      <c r="G82" s="254">
        <f>+'Chart II'!G80</f>
        <v>864.62257510729614</v>
      </c>
      <c r="H82" s="254">
        <f>+'Chart II'!H80</f>
        <v>530.03896103896102</v>
      </c>
      <c r="I82" s="254">
        <f>+'Chart II'!I80</f>
        <v>12596.537704918033</v>
      </c>
      <c r="J82" s="261">
        <f>+'Chart II'!J80</f>
        <v>17928.45828162066</v>
      </c>
    </row>
    <row r="83" spans="1:10" x14ac:dyDescent="0.3">
      <c r="A83" s="282" t="s">
        <v>227</v>
      </c>
      <c r="B83" s="254">
        <f>+'Chart II'!B81</f>
        <v>9944.9139784448562</v>
      </c>
      <c r="C83" s="254">
        <f>+'Chart II'!C81</f>
        <v>33405.607674829589</v>
      </c>
      <c r="D83" s="254">
        <f>+'Chart II'!D81</f>
        <v>693751.11969111965</v>
      </c>
      <c r="E83" s="254">
        <f>+'Chart II'!E81</f>
        <v>33402763</v>
      </c>
      <c r="F83" s="254">
        <f>+'Chart II'!F81</f>
        <v>7817530.5999999996</v>
      </c>
      <c r="G83" s="254">
        <f>+'Chart II'!G81</f>
        <v>865.45077050694306</v>
      </c>
      <c r="H83" s="254">
        <f>+'Chart II'!H81</f>
        <v>1728.868207968671</v>
      </c>
      <c r="I83" s="254">
        <f>+'Chart II'!I81</f>
        <v>10248.202720726738</v>
      </c>
      <c r="J83" s="261">
        <f>+'Chart II'!J81</f>
        <v>16501.989395957142</v>
      </c>
    </row>
    <row r="84" spans="1:10" x14ac:dyDescent="0.3">
      <c r="A84" s="276"/>
      <c r="B84" s="253"/>
      <c r="C84" s="283"/>
      <c r="D84" s="283"/>
      <c r="E84" s="283"/>
      <c r="F84" s="283"/>
      <c r="G84" s="283"/>
      <c r="H84" s="283"/>
      <c r="I84" s="283"/>
      <c r="J84" s="284"/>
    </row>
    <row r="85" spans="1:10" x14ac:dyDescent="0.3">
      <c r="A85" s="277" t="s">
        <v>229</v>
      </c>
      <c r="B85" s="251">
        <f ca="1">+'Rate Class Energy Model'!H73/'Rate Class Customer Model'!B15</f>
        <v>9676.6869988604376</v>
      </c>
      <c r="C85" s="251">
        <f ca="1">+'Rate Class Energy Model'!I73/'Rate Class Customer Model'!C15</f>
        <v>33835.571529448607</v>
      </c>
      <c r="D85" s="251">
        <f ca="1">+'Rate Class Energy Model'!J73/'Rate Class Customer Model'!D15</f>
        <v>672042.62544507708</v>
      </c>
      <c r="E85" s="251">
        <f ca="1">+'Rate Class Energy Model'!K73/'Rate Class Customer Model'!E15</f>
        <v>43077959.531164952</v>
      </c>
      <c r="F85" s="251">
        <f ca="1">+'Rate Class Energy Model'!L73/'Rate Class Customer Model'!F15</f>
        <v>7437400.4202513359</v>
      </c>
      <c r="G85" s="251">
        <f ca="1">+'Rate Class Energy Model'!M73/'Rate Class Customer Model'!G15</f>
        <v>734.55613943599826</v>
      </c>
      <c r="H85" s="251">
        <f ca="1">+'Rate Class Energy Model'!N73/'Rate Class Customer Model'!H15</f>
        <v>1492.1666666666667</v>
      </c>
      <c r="I85" s="251">
        <f ca="1">+'Rate Class Energy Model'!O73/'Rate Class Customer Model'!I15</f>
        <v>9175.0219966159057</v>
      </c>
      <c r="J85" s="285">
        <f ca="1">+'Rate Class Energy Model'!G73/'Rate Class Customer Model'!J15</f>
        <v>16105.11240890414</v>
      </c>
    </row>
    <row r="86" spans="1:10" x14ac:dyDescent="0.3">
      <c r="A86" s="277" t="s">
        <v>230</v>
      </c>
      <c r="B86" s="251">
        <f ca="1">+'Rate Class Energy Model'!H74/'Rate Class Customer Model'!B16</f>
        <v>9671.9218823679184</v>
      </c>
      <c r="C86" s="251">
        <f ca="1">+'Rate Class Energy Model'!I74/'Rate Class Customer Model'!C16</f>
        <v>33800.215415776533</v>
      </c>
      <c r="D86" s="251">
        <f ca="1">+'Rate Class Energy Model'!J74/'Rate Class Customer Model'!D16</f>
        <v>673940.76344209805</v>
      </c>
      <c r="E86" s="251">
        <f ca="1">+'Rate Class Energy Model'!K74/'Rate Class Customer Model'!E16</f>
        <v>43458821.844992571</v>
      </c>
      <c r="F86" s="251">
        <f ca="1">+'Rate Class Energy Model'!L74/'Rate Class Customer Model'!F16</f>
        <v>7467932.941356984</v>
      </c>
      <c r="G86" s="251">
        <f ca="1">+'Rate Class Energy Model'!M74/'Rate Class Customer Model'!G16</f>
        <v>734.55613943599826</v>
      </c>
      <c r="H86" s="251">
        <f ca="1">+'Rate Class Energy Model'!N74/'Rate Class Customer Model'!H16</f>
        <v>1492.1666666666667</v>
      </c>
      <c r="I86" s="251">
        <f ca="1">+'Rate Class Energy Model'!O74/'Rate Class Customer Model'!I16</f>
        <v>9175.0219966159057</v>
      </c>
      <c r="J86" s="285">
        <f ca="1">+'Rate Class Energy Model'!G74/'Rate Class Customer Model'!J16</f>
        <v>16011.058783888126</v>
      </c>
    </row>
    <row r="87" spans="1:10" x14ac:dyDescent="0.3">
      <c r="A87" s="277" t="s">
        <v>231</v>
      </c>
      <c r="B87" s="251">
        <f ca="1">+'Rate Class Energy Model'!H75/'Rate Class Customer Model'!B17</f>
        <v>9609.5085376854731</v>
      </c>
      <c r="C87" s="251">
        <f ca="1">+'Rate Class Energy Model'!I75/'Rate Class Customer Model'!C17</f>
        <v>33563.537642115742</v>
      </c>
      <c r="D87" s="251">
        <f ca="1">+'Rate Class Energy Model'!J75/'Rate Class Customer Model'!D17</f>
        <v>672057.47233772906</v>
      </c>
      <c r="E87" s="251">
        <f ca="1">+'Rate Class Energy Model'!K75/'Rate Class Customer Model'!E17</f>
        <v>43843051.451599903</v>
      </c>
      <c r="F87" s="251">
        <f ca="1">+'Rate Class Energy Model'!L75/'Rate Class Customer Model'!F17</f>
        <v>7459867.3555047307</v>
      </c>
      <c r="G87" s="251">
        <f ca="1">+'Rate Class Energy Model'!M75/'Rate Class Customer Model'!G17</f>
        <v>734.55613943599826</v>
      </c>
      <c r="H87" s="251">
        <f ca="1">+'Rate Class Energy Model'!N75/'Rate Class Customer Model'!H17</f>
        <v>1492.1666666666667</v>
      </c>
      <c r="I87" s="251">
        <f ca="1">+'Rate Class Energy Model'!O75/'Rate Class Customer Model'!I17</f>
        <v>9175.0219966159057</v>
      </c>
      <c r="J87" s="285">
        <f ca="1">+'Rate Class Energy Model'!G75/'Rate Class Customer Model'!J17</f>
        <v>15830.241937961311</v>
      </c>
    </row>
    <row r="88" spans="1:10" x14ac:dyDescent="0.3">
      <c r="A88" s="277" t="s">
        <v>232</v>
      </c>
      <c r="B88" s="251">
        <f ca="1">+'Rate Class Energy Model'!H76/'Rate Class Customer Model'!B18</f>
        <v>9546.2204115694276</v>
      </c>
      <c r="C88" s="251">
        <f ca="1">+'Rate Class Energy Model'!I76/'Rate Class Customer Model'!C18</f>
        <v>33324.057503966105</v>
      </c>
      <c r="D88" s="251">
        <f ca="1">+'Rate Class Energy Model'!J76/'Rate Class Customer Model'!D18</f>
        <v>670095.26629634772</v>
      </c>
      <c r="E88" s="251">
        <f ca="1">+'Rate Class Energy Model'!K76/'Rate Class Customer Model'!E18</f>
        <v>44230678.122009844</v>
      </c>
      <c r="F88" s="251">
        <f ca="1">+'Rate Class Energy Model'!L76/'Rate Class Customer Model'!F18</f>
        <v>7450948.7876104033</v>
      </c>
      <c r="G88" s="251">
        <f ca="1">+'Rate Class Energy Model'!M76/'Rate Class Customer Model'!G18</f>
        <v>734.55613943599815</v>
      </c>
      <c r="H88" s="251">
        <f ca="1">+'Rate Class Energy Model'!N76/'Rate Class Customer Model'!H18</f>
        <v>1492.1666666666667</v>
      </c>
      <c r="I88" s="251">
        <f ca="1">+'Rate Class Energy Model'!O76/'Rate Class Customer Model'!I18</f>
        <v>9175.0219966159057</v>
      </c>
      <c r="J88" s="285">
        <f ca="1">+'Rate Class Energy Model'!G76/'Rate Class Customer Model'!J18</f>
        <v>15649.719754415768</v>
      </c>
    </row>
    <row r="89" spans="1:10" ht="12.9" thickBot="1" x14ac:dyDescent="0.35">
      <c r="A89" s="278" t="s">
        <v>233</v>
      </c>
      <c r="B89" s="264">
        <f ca="1">+'Rate Class Energy Model'!H77/'Rate Class Customer Model'!B19</f>
        <v>9521.4656053632043</v>
      </c>
      <c r="C89" s="264">
        <f ca="1">+'Rate Class Energy Model'!I77/'Rate Class Customer Model'!C19</f>
        <v>33219.270075734734</v>
      </c>
      <c r="D89" s="264">
        <f ca="1">+'Rate Class Energy Model'!J77/'Rate Class Customer Model'!D19</f>
        <v>670661.21771532064</v>
      </c>
      <c r="E89" s="264">
        <f ca="1">+'Rate Class Energy Model'!K77/'Rate Class Customer Model'!E19</f>
        <v>44621731.890457861</v>
      </c>
      <c r="F89" s="264">
        <f ca="1">+'Rate Class Energy Model'!L77/'Rate Class Customer Model'!F19</f>
        <v>7467927.131010687</v>
      </c>
      <c r="G89" s="264">
        <f ca="1">+'Rate Class Energy Model'!M77/'Rate Class Customer Model'!G19</f>
        <v>734.55613943599826</v>
      </c>
      <c r="H89" s="264">
        <f ca="1">+'Rate Class Energy Model'!N77/'Rate Class Customer Model'!H19</f>
        <v>1492.1666666666667</v>
      </c>
      <c r="I89" s="264">
        <f ca="1">+'Rate Class Energy Model'!O77/'Rate Class Customer Model'!I19</f>
        <v>9175.0219966159057</v>
      </c>
      <c r="J89" s="286">
        <f ca="1">+'Rate Class Energy Model'!G77/'Rate Class Customer Model'!J19</f>
        <v>15528.683387319181</v>
      </c>
    </row>
    <row r="90" spans="1:10" ht="12.9" thickBot="1" x14ac:dyDescent="0.35"/>
    <row r="91" spans="1:10" ht="23.6" thickBot="1" x14ac:dyDescent="0.35">
      <c r="A91" s="256" t="s">
        <v>112</v>
      </c>
      <c r="B91" s="249" t="s">
        <v>71</v>
      </c>
      <c r="C91" s="249" t="s">
        <v>236</v>
      </c>
      <c r="D91" s="249" t="s">
        <v>235</v>
      </c>
      <c r="E91" s="249" t="s">
        <v>74</v>
      </c>
      <c r="F91" s="249" t="s">
        <v>237</v>
      </c>
      <c r="G91" s="249" t="s">
        <v>238</v>
      </c>
      <c r="H91" s="249" t="s">
        <v>239</v>
      </c>
      <c r="I91" s="249" t="s">
        <v>76</v>
      </c>
      <c r="J91" s="250" t="s">
        <v>9</v>
      </c>
    </row>
    <row r="92" spans="1:10" x14ac:dyDescent="0.3">
      <c r="A92" s="279" t="s">
        <v>270</v>
      </c>
      <c r="B92" s="280"/>
      <c r="C92" s="280"/>
      <c r="D92" s="280"/>
      <c r="E92" s="280"/>
      <c r="F92" s="280"/>
      <c r="G92" s="280"/>
      <c r="H92" s="280"/>
      <c r="I92" s="280"/>
      <c r="J92" s="281"/>
    </row>
    <row r="93" spans="1:10" x14ac:dyDescent="0.3">
      <c r="A93" s="277" t="s">
        <v>229</v>
      </c>
      <c r="B93" s="251">
        <f t="shared" ref="B93:I97" ca="1" si="35">+B85*B66</f>
        <v>941541.64498912054</v>
      </c>
      <c r="C93" s="251">
        <f t="shared" ca="1" si="35"/>
        <v>849272.84538916009</v>
      </c>
      <c r="D93" s="251">
        <f t="shared" ca="1" si="35"/>
        <v>3024191.8145028469</v>
      </c>
      <c r="E93" s="251">
        <f t="shared" ca="1" si="35"/>
        <v>0</v>
      </c>
      <c r="F93" s="251">
        <f t="shared" ca="1" si="35"/>
        <v>7437400.4202513359</v>
      </c>
      <c r="G93" s="251">
        <f t="shared" ca="1" si="35"/>
        <v>0</v>
      </c>
      <c r="H93" s="251">
        <f t="shared" ca="1" si="35"/>
        <v>0</v>
      </c>
      <c r="I93" s="251">
        <f t="shared" ca="1" si="35"/>
        <v>0</v>
      </c>
      <c r="J93" s="285">
        <f t="shared" ref="J93:J97" ca="1" si="36">SUM(B93:I93)</f>
        <v>12252406.725132463</v>
      </c>
    </row>
    <row r="94" spans="1:10" x14ac:dyDescent="0.3">
      <c r="A94" s="277" t="s">
        <v>230</v>
      </c>
      <c r="B94" s="251">
        <f t="shared" ca="1" si="35"/>
        <v>1695487.9059790962</v>
      </c>
      <c r="C94" s="251">
        <f t="shared" ca="1" si="35"/>
        <v>2031392.9464881697</v>
      </c>
      <c r="D94" s="251">
        <f t="shared" ca="1" si="35"/>
        <v>8154683.2376493858</v>
      </c>
      <c r="E94" s="251">
        <f t="shared" ca="1" si="35"/>
        <v>0</v>
      </c>
      <c r="F94" s="251">
        <f t="shared" ca="1" si="35"/>
        <v>7467932.941356984</v>
      </c>
      <c r="G94" s="251">
        <f t="shared" ca="1" si="35"/>
        <v>0</v>
      </c>
      <c r="H94" s="251">
        <f t="shared" ca="1" si="35"/>
        <v>0</v>
      </c>
      <c r="I94" s="251">
        <f t="shared" ca="1" si="35"/>
        <v>0</v>
      </c>
      <c r="J94" s="285">
        <f t="shared" ca="1" si="36"/>
        <v>19349497.031473637</v>
      </c>
    </row>
    <row r="95" spans="1:10" x14ac:dyDescent="0.3">
      <c r="A95" s="277" t="s">
        <v>231</v>
      </c>
      <c r="B95" s="251">
        <f t="shared" ca="1" si="35"/>
        <v>2455229.4313786384</v>
      </c>
      <c r="C95" s="251">
        <f t="shared" ca="1" si="35"/>
        <v>3215386.9061146881</v>
      </c>
      <c r="D95" s="251">
        <f t="shared" ca="1" si="35"/>
        <v>13306737.952287035</v>
      </c>
      <c r="E95" s="251">
        <f t="shared" ca="1" si="35"/>
        <v>0</v>
      </c>
      <c r="F95" s="251">
        <f t="shared" ca="1" si="35"/>
        <v>7459867.3555047307</v>
      </c>
      <c r="G95" s="251">
        <f t="shared" ca="1" si="35"/>
        <v>0</v>
      </c>
      <c r="H95" s="251">
        <f t="shared" ca="1" si="35"/>
        <v>0</v>
      </c>
      <c r="I95" s="251">
        <f t="shared" ca="1" si="35"/>
        <v>0</v>
      </c>
      <c r="J95" s="285">
        <f t="shared" ca="1" si="36"/>
        <v>26437221.645285092</v>
      </c>
    </row>
    <row r="96" spans="1:10" x14ac:dyDescent="0.3">
      <c r="A96" s="277" t="s">
        <v>232</v>
      </c>
      <c r="B96" s="251">
        <f t="shared" ca="1" si="35"/>
        <v>5231328.7855400462</v>
      </c>
      <c r="C96" s="251">
        <f t="shared" ca="1" si="35"/>
        <v>4968616.9738413459</v>
      </c>
      <c r="D96" s="251">
        <f t="shared" ca="1" si="35"/>
        <v>19767810.355742257</v>
      </c>
      <c r="E96" s="251">
        <f t="shared" ca="1" si="35"/>
        <v>0</v>
      </c>
      <c r="F96" s="251">
        <f t="shared" ca="1" si="35"/>
        <v>7450948.7876104033</v>
      </c>
      <c r="G96" s="251">
        <f t="shared" ca="1" si="35"/>
        <v>-6757.9164828111825</v>
      </c>
      <c r="H96" s="251">
        <f t="shared" ca="1" si="35"/>
        <v>0</v>
      </c>
      <c r="I96" s="251">
        <f t="shared" ca="1" si="35"/>
        <v>0</v>
      </c>
      <c r="J96" s="285">
        <f t="shared" ca="1" si="36"/>
        <v>37411946.986251235</v>
      </c>
    </row>
    <row r="97" spans="1:13" ht="12.9" thickBot="1" x14ac:dyDescent="0.35">
      <c r="A97" s="278" t="s">
        <v>233</v>
      </c>
      <c r="B97" s="264">
        <f t="shared" ca="1" si="35"/>
        <v>8095150.0576797966</v>
      </c>
      <c r="C97" s="264">
        <f t="shared" ca="1" si="35"/>
        <v>6763443.3874195917</v>
      </c>
      <c r="D97" s="264">
        <f t="shared" ca="1" si="35"/>
        <v>26491118.099755164</v>
      </c>
      <c r="E97" s="264">
        <f t="shared" ca="1" si="35"/>
        <v>0</v>
      </c>
      <c r="F97" s="264">
        <f t="shared" ca="1" si="35"/>
        <v>7467927.131010687</v>
      </c>
      <c r="G97" s="264">
        <f t="shared" ca="1" si="35"/>
        <v>-13589.288579565968</v>
      </c>
      <c r="H97" s="264">
        <f t="shared" ca="1" si="35"/>
        <v>0</v>
      </c>
      <c r="I97" s="264">
        <f t="shared" ca="1" si="35"/>
        <v>0</v>
      </c>
      <c r="J97" s="286">
        <f t="shared" ca="1" si="36"/>
        <v>48804049.387285672</v>
      </c>
    </row>
    <row r="98" spans="1:13" ht="12.9" thickBot="1" x14ac:dyDescent="0.35"/>
    <row r="99" spans="1:13" ht="23.6" thickBot="1" x14ac:dyDescent="0.35">
      <c r="A99" s="256" t="s">
        <v>112</v>
      </c>
      <c r="B99" s="249" t="s">
        <v>2</v>
      </c>
      <c r="C99" s="250" t="s">
        <v>272</v>
      </c>
    </row>
    <row r="100" spans="1:13" x14ac:dyDescent="0.3">
      <c r="A100" s="279" t="s">
        <v>270</v>
      </c>
      <c r="B100" s="280"/>
      <c r="C100" s="281"/>
      <c r="E100" s="400"/>
      <c r="F100" s="400"/>
      <c r="G100" s="400"/>
      <c r="H100" s="400"/>
      <c r="I100" s="400"/>
      <c r="J100" s="400"/>
      <c r="K100" s="400"/>
      <c r="L100" s="400"/>
      <c r="M100" s="400"/>
    </row>
    <row r="101" spans="1:13" x14ac:dyDescent="0.3">
      <c r="A101" s="277" t="s">
        <v>229</v>
      </c>
      <c r="B101" s="251">
        <f ca="1">+J93</f>
        <v>12252406.725132463</v>
      </c>
      <c r="C101" s="262">
        <f ca="1">+B101*'Rate Class Energy Model'!$F$25</f>
        <v>12847873.6919739</v>
      </c>
      <c r="E101" s="400"/>
      <c r="F101" s="400"/>
      <c r="G101" s="400"/>
      <c r="H101" s="400"/>
      <c r="I101" s="400"/>
      <c r="J101" s="400"/>
      <c r="K101" s="400"/>
      <c r="L101" s="400"/>
      <c r="M101" s="400"/>
    </row>
    <row r="102" spans="1:13" x14ac:dyDescent="0.3">
      <c r="A102" s="277" t="s">
        <v>230</v>
      </c>
      <c r="B102" s="251">
        <f ca="1">+J94</f>
        <v>19349497.031473637</v>
      </c>
      <c r="C102" s="262">
        <f ca="1">+B102*'Rate Class Energy Model'!$F$25</f>
        <v>20289882.587203253</v>
      </c>
      <c r="E102" s="400"/>
      <c r="F102" s="400"/>
      <c r="G102" s="400"/>
      <c r="H102" s="400"/>
      <c r="I102" s="400"/>
      <c r="J102" s="400"/>
      <c r="K102" s="400"/>
      <c r="L102" s="400"/>
      <c r="M102" s="400"/>
    </row>
    <row r="103" spans="1:13" x14ac:dyDescent="0.3">
      <c r="A103" s="277" t="s">
        <v>231</v>
      </c>
      <c r="B103" s="251">
        <f ca="1">+J95</f>
        <v>26437221.645285092</v>
      </c>
      <c r="C103" s="262">
        <f ca="1">+B103*'Rate Class Energy Model'!$F$25</f>
        <v>27722070.617245946</v>
      </c>
      <c r="E103" s="400"/>
      <c r="F103" s="400"/>
      <c r="G103" s="400"/>
      <c r="H103" s="400"/>
      <c r="I103" s="400"/>
      <c r="J103" s="400"/>
      <c r="K103" s="400"/>
      <c r="L103" s="400"/>
      <c r="M103" s="400"/>
    </row>
    <row r="104" spans="1:13" x14ac:dyDescent="0.3">
      <c r="A104" s="277" t="s">
        <v>232</v>
      </c>
      <c r="B104" s="251">
        <f ca="1">+J96</f>
        <v>37411946.986251235</v>
      </c>
      <c r="C104" s="262">
        <f ca="1">+B104*'Rate Class Energy Model'!$F$25</f>
        <v>39230167.609783046</v>
      </c>
      <c r="E104" s="400"/>
      <c r="F104" s="400"/>
      <c r="G104" s="400"/>
      <c r="H104" s="400"/>
      <c r="I104" s="400"/>
      <c r="J104" s="400"/>
      <c r="K104" s="400"/>
      <c r="L104" s="400"/>
      <c r="M104" s="400"/>
    </row>
    <row r="105" spans="1:13" ht="12.9" thickBot="1" x14ac:dyDescent="0.35">
      <c r="A105" s="278" t="s">
        <v>233</v>
      </c>
      <c r="B105" s="264">
        <f ca="1">+J97</f>
        <v>48804049.387285672</v>
      </c>
      <c r="C105" s="338">
        <f ca="1">+B105*'Rate Class Energy Model'!$F$25</f>
        <v>51175926.187507756</v>
      </c>
      <c r="E105" s="400"/>
      <c r="F105" s="400"/>
      <c r="G105" s="400"/>
      <c r="H105" s="400"/>
      <c r="I105" s="400"/>
      <c r="J105" s="400"/>
      <c r="K105" s="400"/>
      <c r="L105" s="400"/>
      <c r="M105" s="400"/>
    </row>
    <row r="106" spans="1:13" x14ac:dyDescent="0.3">
      <c r="E106" s="400"/>
      <c r="F106" s="400"/>
      <c r="G106" s="400"/>
      <c r="H106" s="400"/>
      <c r="I106" s="400"/>
      <c r="J106" s="400"/>
      <c r="K106" s="400"/>
      <c r="L106" s="400"/>
      <c r="M106" s="400"/>
    </row>
    <row r="107" spans="1:13" x14ac:dyDescent="0.3">
      <c r="E107" s="400"/>
      <c r="F107" s="400"/>
      <c r="G107" s="400"/>
      <c r="H107" s="400"/>
      <c r="I107" s="400"/>
      <c r="J107" s="400"/>
      <c r="K107" s="400"/>
      <c r="L107" s="400"/>
      <c r="M107" s="400"/>
    </row>
    <row r="108" spans="1:13" x14ac:dyDescent="0.3">
      <c r="E108" s="400"/>
      <c r="F108" s="400"/>
      <c r="G108" s="400"/>
      <c r="H108" s="400"/>
      <c r="I108" s="400"/>
      <c r="J108" s="400"/>
      <c r="K108" s="400"/>
      <c r="L108" s="400"/>
      <c r="M108" s="400"/>
    </row>
    <row r="109" spans="1:13" x14ac:dyDescent="0.3">
      <c r="E109" s="400"/>
      <c r="F109" s="400"/>
      <c r="G109" s="400"/>
      <c r="H109" s="400"/>
      <c r="I109" s="400"/>
      <c r="J109" s="400"/>
      <c r="K109" s="400"/>
      <c r="L109" s="400"/>
      <c r="M109" s="400"/>
    </row>
    <row r="110" spans="1:13" x14ac:dyDescent="0.3">
      <c r="E110" s="400"/>
      <c r="F110" s="400"/>
      <c r="G110" s="400"/>
      <c r="H110" s="400"/>
      <c r="I110" s="400"/>
      <c r="J110" s="400"/>
      <c r="K110" s="400"/>
      <c r="L110" s="400"/>
      <c r="M110" s="400"/>
    </row>
    <row r="111" spans="1:13" x14ac:dyDescent="0.3">
      <c r="E111" s="400"/>
      <c r="F111" s="400"/>
      <c r="G111" s="400"/>
      <c r="H111" s="400"/>
      <c r="I111" s="400"/>
      <c r="J111" s="400"/>
      <c r="K111" s="400"/>
      <c r="L111" s="400"/>
      <c r="M111" s="400"/>
    </row>
    <row r="112" spans="1:13" x14ac:dyDescent="0.3">
      <c r="E112" s="400"/>
      <c r="F112" s="400"/>
      <c r="G112" s="400"/>
      <c r="H112" s="400"/>
      <c r="I112" s="400"/>
      <c r="J112" s="400"/>
      <c r="K112" s="400"/>
      <c r="L112" s="400"/>
      <c r="M112" s="400"/>
    </row>
    <row r="113" spans="5:13" x14ac:dyDescent="0.3">
      <c r="E113" s="400"/>
      <c r="F113" s="400"/>
      <c r="G113" s="400"/>
      <c r="H113" s="400"/>
      <c r="I113" s="400"/>
      <c r="J113" s="400"/>
      <c r="K113" s="400"/>
      <c r="L113" s="400"/>
      <c r="M113" s="400"/>
    </row>
    <row r="114" spans="5:13" x14ac:dyDescent="0.3">
      <c r="E114" s="400"/>
      <c r="F114" s="400"/>
      <c r="G114" s="400"/>
      <c r="H114" s="400"/>
      <c r="I114" s="400"/>
      <c r="J114" s="400"/>
      <c r="K114" s="400"/>
      <c r="L114" s="400"/>
      <c r="M114" s="400"/>
    </row>
    <row r="115" spans="5:13" x14ac:dyDescent="0.3">
      <c r="E115" s="400"/>
      <c r="F115" s="400"/>
      <c r="G115" s="400"/>
      <c r="H115" s="400"/>
      <c r="I115" s="400"/>
      <c r="J115" s="400"/>
      <c r="K115" s="400"/>
      <c r="L115" s="400"/>
      <c r="M115" s="400"/>
    </row>
    <row r="116" spans="5:13" x14ac:dyDescent="0.3">
      <c r="E116" s="400"/>
      <c r="F116" s="400"/>
      <c r="G116" s="400"/>
      <c r="H116" s="400"/>
      <c r="I116" s="400"/>
      <c r="J116" s="400"/>
      <c r="K116" s="400"/>
      <c r="L116" s="400"/>
      <c r="M116" s="400"/>
    </row>
    <row r="117" spans="5:13" x14ac:dyDescent="0.3">
      <c r="E117" s="400"/>
      <c r="F117" s="400"/>
      <c r="G117" s="400"/>
      <c r="H117" s="400"/>
      <c r="I117" s="400"/>
      <c r="J117" s="400"/>
      <c r="K117" s="400"/>
      <c r="L117" s="400"/>
      <c r="M117" s="400"/>
    </row>
    <row r="118" spans="5:13" x14ac:dyDescent="0.3">
      <c r="E118" s="400"/>
      <c r="F118" s="400"/>
      <c r="G118" s="400"/>
      <c r="H118" s="400"/>
      <c r="I118" s="400"/>
      <c r="J118" s="400"/>
      <c r="K118" s="400"/>
      <c r="L118" s="400"/>
      <c r="M118" s="400"/>
    </row>
    <row r="119" spans="5:13" x14ac:dyDescent="0.3">
      <c r="E119" s="400"/>
      <c r="F119" s="400"/>
      <c r="G119" s="400"/>
      <c r="H119" s="400"/>
      <c r="I119" s="400"/>
      <c r="J119" s="400"/>
      <c r="K119" s="400"/>
      <c r="L119" s="400"/>
      <c r="M119" s="400"/>
    </row>
    <row r="120" spans="5:13" x14ac:dyDescent="0.3">
      <c r="E120" s="400"/>
      <c r="F120" s="400"/>
      <c r="G120" s="400"/>
      <c r="H120" s="400"/>
      <c r="I120" s="400"/>
      <c r="J120" s="400"/>
      <c r="K120" s="400"/>
      <c r="L120" s="400"/>
      <c r="M120" s="400"/>
    </row>
    <row r="121" spans="5:13" x14ac:dyDescent="0.3">
      <c r="E121" s="400"/>
      <c r="F121" s="400"/>
      <c r="G121" s="400"/>
      <c r="H121" s="400"/>
      <c r="I121" s="400"/>
      <c r="J121" s="400"/>
      <c r="K121" s="400"/>
      <c r="L121" s="400"/>
      <c r="M121" s="400"/>
    </row>
    <row r="122" spans="5:13" x14ac:dyDescent="0.3">
      <c r="E122" s="400"/>
      <c r="F122" s="400"/>
      <c r="G122" s="400"/>
      <c r="H122" s="400"/>
      <c r="I122" s="400"/>
      <c r="J122" s="400"/>
      <c r="K122" s="400"/>
      <c r="L122" s="400"/>
      <c r="M122" s="400"/>
    </row>
    <row r="123" spans="5:13" x14ac:dyDescent="0.3">
      <c r="E123" s="400"/>
      <c r="F123" s="400"/>
      <c r="G123" s="400"/>
      <c r="H123" s="400"/>
      <c r="I123" s="400"/>
      <c r="J123" s="400"/>
      <c r="K123" s="400"/>
      <c r="L123" s="400"/>
      <c r="M123" s="400"/>
    </row>
    <row r="124" spans="5:13" x14ac:dyDescent="0.3">
      <c r="E124" s="400"/>
      <c r="F124" s="400"/>
      <c r="G124" s="400"/>
      <c r="H124" s="400"/>
      <c r="I124" s="400"/>
      <c r="J124" s="400"/>
      <c r="K124" s="400"/>
      <c r="L124" s="400"/>
      <c r="M124" s="400"/>
    </row>
    <row r="125" spans="5:13" x14ac:dyDescent="0.3">
      <c r="E125" s="400"/>
      <c r="F125" s="400"/>
      <c r="G125" s="400"/>
      <c r="H125" s="400"/>
      <c r="I125" s="400"/>
      <c r="J125" s="400"/>
      <c r="K125" s="400"/>
      <c r="L125" s="400"/>
      <c r="M125" s="400"/>
    </row>
    <row r="126" spans="5:13" x14ac:dyDescent="0.3">
      <c r="E126" s="400"/>
      <c r="F126" s="400"/>
      <c r="G126" s="400"/>
      <c r="H126" s="400"/>
      <c r="I126" s="400"/>
      <c r="J126" s="400"/>
      <c r="K126" s="400"/>
      <c r="L126" s="400"/>
      <c r="M126" s="400"/>
    </row>
    <row r="127" spans="5:13" x14ac:dyDescent="0.3">
      <c r="E127" s="400"/>
      <c r="F127" s="400"/>
      <c r="G127" s="400"/>
      <c r="H127" s="400"/>
      <c r="I127" s="400"/>
      <c r="J127" s="400"/>
      <c r="K127" s="400"/>
      <c r="L127" s="400"/>
      <c r="M127" s="400"/>
    </row>
    <row r="128" spans="5:13" x14ac:dyDescent="0.3">
      <c r="E128" s="400"/>
      <c r="F128" s="400"/>
      <c r="G128" s="400"/>
      <c r="H128" s="400"/>
      <c r="I128" s="400"/>
      <c r="J128" s="400"/>
      <c r="K128" s="400"/>
      <c r="L128" s="400"/>
      <c r="M128" s="400"/>
    </row>
    <row r="129" spans="5:13" x14ac:dyDescent="0.3">
      <c r="E129" s="400"/>
      <c r="F129" s="400"/>
      <c r="G129" s="400"/>
      <c r="H129" s="400"/>
      <c r="I129" s="400"/>
      <c r="J129" s="400"/>
      <c r="K129" s="400"/>
      <c r="L129" s="400"/>
      <c r="M129" s="400"/>
    </row>
    <row r="130" spans="5:13" x14ac:dyDescent="0.3">
      <c r="E130" s="400"/>
      <c r="F130" s="400"/>
      <c r="G130" s="400"/>
      <c r="H130" s="400"/>
      <c r="I130" s="400"/>
      <c r="J130" s="400"/>
      <c r="K130" s="400"/>
      <c r="L130" s="400"/>
      <c r="M130" s="400"/>
    </row>
    <row r="131" spans="5:13" x14ac:dyDescent="0.3">
      <c r="E131" s="400"/>
      <c r="F131" s="400"/>
      <c r="G131" s="400"/>
      <c r="H131" s="400"/>
      <c r="I131" s="400"/>
      <c r="J131" s="400"/>
      <c r="K131" s="400"/>
      <c r="L131" s="400"/>
      <c r="M131" s="400"/>
    </row>
    <row r="132" spans="5:13" x14ac:dyDescent="0.3">
      <c r="E132" s="400"/>
      <c r="F132" s="400"/>
      <c r="G132" s="400"/>
      <c r="H132" s="400"/>
      <c r="I132" s="400"/>
      <c r="J132" s="400"/>
      <c r="K132" s="400"/>
      <c r="L132" s="400"/>
      <c r="M132" s="400"/>
    </row>
    <row r="133" spans="5:13" x14ac:dyDescent="0.3">
      <c r="E133" s="400"/>
      <c r="F133" s="400"/>
      <c r="G133" s="400"/>
      <c r="H133" s="400"/>
      <c r="I133" s="400"/>
      <c r="J133" s="400"/>
      <c r="K133" s="400"/>
      <c r="L133" s="400"/>
      <c r="M133" s="400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4"/>
  <sheetViews>
    <sheetView workbookViewId="0"/>
  </sheetViews>
  <sheetFormatPr defaultRowHeight="12.45" x14ac:dyDescent="0.3"/>
  <cols>
    <col min="1" max="1" width="25.84375" customWidth="1"/>
    <col min="2" max="2" width="11.69140625" bestFit="1" customWidth="1"/>
    <col min="3" max="3" width="10.69140625" bestFit="1" customWidth="1"/>
    <col min="4" max="4" width="9.53515625" bestFit="1" customWidth="1"/>
    <col min="5" max="5" width="10" customWidth="1"/>
    <col min="6" max="9" width="11.15234375" customWidth="1"/>
  </cols>
  <sheetData>
    <row r="1" spans="1:11" x14ac:dyDescent="0.3">
      <c r="A1" s="428" t="s">
        <v>305</v>
      </c>
    </row>
    <row r="2" spans="1:11" ht="12.9" thickBot="1" x14ac:dyDescent="0.35"/>
    <row r="3" spans="1:11" ht="24.75" customHeight="1" thickBot="1" x14ac:dyDescent="0.35">
      <c r="A3" s="500" t="s">
        <v>344</v>
      </c>
      <c r="B3" s="502" t="s">
        <v>261</v>
      </c>
      <c r="C3" s="507" t="s">
        <v>342</v>
      </c>
      <c r="D3" s="508"/>
      <c r="E3" s="507" t="s">
        <v>343</v>
      </c>
      <c r="F3" s="508"/>
      <c r="G3" s="507" t="s">
        <v>302</v>
      </c>
      <c r="H3" s="509"/>
      <c r="I3" s="510"/>
    </row>
    <row r="4" spans="1:11" ht="12.9" thickBot="1" x14ac:dyDescent="0.35">
      <c r="A4" s="501"/>
      <c r="B4" s="503"/>
      <c r="C4" s="249" t="s">
        <v>105</v>
      </c>
      <c r="D4" s="249" t="s">
        <v>106</v>
      </c>
      <c r="E4" s="249" t="s">
        <v>105</v>
      </c>
      <c r="F4" s="249" t="s">
        <v>106</v>
      </c>
      <c r="G4" s="249" t="s">
        <v>303</v>
      </c>
      <c r="H4" s="249" t="s">
        <v>304</v>
      </c>
      <c r="I4" s="250" t="s">
        <v>248</v>
      </c>
    </row>
    <row r="5" spans="1:11" x14ac:dyDescent="0.3">
      <c r="A5" s="277" t="s">
        <v>228</v>
      </c>
      <c r="B5" s="251">
        <f>+'Rate Class Customer Model'!G14</f>
        <v>12464.5</v>
      </c>
      <c r="C5" s="251">
        <f t="shared" ref="C5:D10" si="0">+C14+C23</f>
        <v>9155875</v>
      </c>
      <c r="D5" s="251">
        <f t="shared" si="0"/>
        <v>25520</v>
      </c>
      <c r="E5" s="251">
        <f t="shared" ref="E5:F10" si="1">+E14+C23</f>
        <v>9155875</v>
      </c>
      <c r="F5" s="251">
        <f t="shared" si="1"/>
        <v>25520</v>
      </c>
      <c r="G5" s="251">
        <f>+C5*'Rate Class Energy Model'!$F$25</f>
        <v>9600850.5250000004</v>
      </c>
      <c r="H5" s="251">
        <f>+E5*'Rate Class Energy Model'!$F$25</f>
        <v>9600850.5250000004</v>
      </c>
      <c r="I5" s="262">
        <f>+G5-H5</f>
        <v>0</v>
      </c>
    </row>
    <row r="6" spans="1:11" x14ac:dyDescent="0.3">
      <c r="A6" s="277" t="s">
        <v>229</v>
      </c>
      <c r="B6" s="251">
        <f>+B$5+B24</f>
        <v>12709.846964330369</v>
      </c>
      <c r="C6" s="251">
        <f t="shared" si="0"/>
        <v>9245985.5594704282</v>
      </c>
      <c r="D6" s="251">
        <f t="shared" si="0"/>
        <v>25771.163485487225</v>
      </c>
      <c r="E6" s="251">
        <f t="shared" si="1"/>
        <v>8578851.707184026</v>
      </c>
      <c r="F6" s="251">
        <f t="shared" si="1"/>
        <v>23911.673714127417</v>
      </c>
      <c r="G6" s="251">
        <f>+C6*'Rate Class Energy Model'!$F$25</f>
        <v>9695340.4576606899</v>
      </c>
      <c r="H6" s="251">
        <f>+E6*'Rate Class Energy Model'!$F$25</f>
        <v>8995783.9001531694</v>
      </c>
      <c r="I6" s="262">
        <f t="shared" ref="I6:I10" si="2">+G6-H6</f>
        <v>699556.55750752054</v>
      </c>
      <c r="K6" s="172"/>
    </row>
    <row r="7" spans="1:11" x14ac:dyDescent="0.3">
      <c r="A7" s="277" t="s">
        <v>230</v>
      </c>
      <c r="B7" s="251">
        <f>+B$5+B25</f>
        <v>12960.023254578835</v>
      </c>
      <c r="C7" s="251">
        <f t="shared" si="0"/>
        <v>9337869.8244420961</v>
      </c>
      <c r="D7" s="251">
        <f t="shared" si="0"/>
        <v>26027.270787310033</v>
      </c>
      <c r="E7" s="251">
        <f t="shared" si="1"/>
        <v>5237833.7421617098</v>
      </c>
      <c r="F7" s="251">
        <f t="shared" si="1"/>
        <v>14599.316515348542</v>
      </c>
      <c r="G7" s="251">
        <f>+C7*'Rate Class Energy Model'!$F$25</f>
        <v>9791690.2979099825</v>
      </c>
      <c r="H7" s="251">
        <f>+E7*'Rate Class Energy Model'!$F$25</f>
        <v>5492392.4620307684</v>
      </c>
      <c r="I7" s="262">
        <f t="shared" si="2"/>
        <v>4299297.8358792141</v>
      </c>
      <c r="K7" s="172"/>
    </row>
    <row r="8" spans="1:11" x14ac:dyDescent="0.3">
      <c r="A8" s="277" t="s">
        <v>231</v>
      </c>
      <c r="B8" s="251">
        <f>+B$5+B26</f>
        <v>13215.123929548703</v>
      </c>
      <c r="C8" s="251">
        <f t="shared" si="0"/>
        <v>9431562.7079287879</v>
      </c>
      <c r="D8" s="251">
        <f t="shared" si="0"/>
        <v>26288.419217862043</v>
      </c>
      <c r="E8" s="251">
        <f t="shared" si="1"/>
        <v>4853625.207928787</v>
      </c>
      <c r="F8" s="251">
        <f t="shared" si="1"/>
        <v>13528.419217862043</v>
      </c>
      <c r="G8" s="251">
        <f>+C8*'Rate Class Energy Model'!$F$25</f>
        <v>9889936.6555341259</v>
      </c>
      <c r="H8" s="251">
        <f>+E8*'Rate Class Energy Model'!$F$25</f>
        <v>5089511.3930341257</v>
      </c>
      <c r="I8" s="262">
        <f t="shared" si="2"/>
        <v>4800425.2625000002</v>
      </c>
      <c r="K8" s="172"/>
    </row>
    <row r="9" spans="1:11" ht="13.5" customHeight="1" x14ac:dyDescent="0.3">
      <c r="A9" s="277" t="s">
        <v>232</v>
      </c>
      <c r="B9" s="251">
        <f>+B$5+B27</f>
        <v>13466.045919148317</v>
      </c>
      <c r="C9" s="251">
        <f t="shared" si="0"/>
        <v>9523720.8519187327</v>
      </c>
      <c r="D9" s="251">
        <f t="shared" si="0"/>
        <v>26545.289897575716</v>
      </c>
      <c r="E9" s="251">
        <f t="shared" si="1"/>
        <v>4945783.3519187327</v>
      </c>
      <c r="F9" s="251">
        <f t="shared" si="1"/>
        <v>13785.289897575716</v>
      </c>
      <c r="G9" s="251">
        <f>+C9*'Rate Class Energy Model'!$F$25</f>
        <v>9986573.6853219829</v>
      </c>
      <c r="H9" s="251">
        <f>+E9*'Rate Class Energy Model'!$F$25</f>
        <v>5186148.4228219828</v>
      </c>
      <c r="I9" s="262">
        <f t="shared" si="2"/>
        <v>4800425.2625000002</v>
      </c>
      <c r="K9" s="172"/>
    </row>
    <row r="10" spans="1:11" ht="12.9" thickBot="1" x14ac:dyDescent="0.35">
      <c r="A10" s="278" t="s">
        <v>233</v>
      </c>
      <c r="B10" s="264">
        <f>+B$5+B28</f>
        <v>13721.988061221264</v>
      </c>
      <c r="C10" s="264">
        <f t="shared" si="0"/>
        <v>9617722.7878187746</v>
      </c>
      <c r="D10" s="264">
        <f t="shared" si="0"/>
        <v>26807.299744168104</v>
      </c>
      <c r="E10" s="264">
        <f t="shared" si="1"/>
        <v>5039785.2878187746</v>
      </c>
      <c r="F10" s="264">
        <f t="shared" si="1"/>
        <v>14047.299744168104</v>
      </c>
      <c r="G10" s="264">
        <f>+C10*'Rate Class Energy Model'!$F$25</f>
        <v>10085144.115306767</v>
      </c>
      <c r="H10" s="264">
        <f>+E10*'Rate Class Energy Model'!$F$25</f>
        <v>5284718.8528067665</v>
      </c>
      <c r="I10" s="338">
        <f t="shared" si="2"/>
        <v>4800425.2625000002</v>
      </c>
      <c r="K10" s="172"/>
    </row>
    <row r="11" spans="1:11" ht="12.9" thickBot="1" x14ac:dyDescent="0.35">
      <c r="A11" s="426"/>
      <c r="B11" s="427"/>
      <c r="C11" s="427"/>
      <c r="D11" s="427"/>
      <c r="E11" s="427"/>
      <c r="F11" s="427"/>
      <c r="G11" s="427"/>
      <c r="H11" s="427"/>
      <c r="I11" s="427"/>
    </row>
    <row r="12" spans="1:11" ht="24.75" customHeight="1" thickBot="1" x14ac:dyDescent="0.35">
      <c r="A12" s="500" t="s">
        <v>307</v>
      </c>
      <c r="B12" s="502" t="s">
        <v>261</v>
      </c>
      <c r="C12" s="507" t="s">
        <v>342</v>
      </c>
      <c r="D12" s="508"/>
      <c r="E12" s="507" t="s">
        <v>343</v>
      </c>
      <c r="F12" s="508"/>
      <c r="G12" s="507" t="s">
        <v>302</v>
      </c>
      <c r="H12" s="509"/>
      <c r="I12" s="510"/>
    </row>
    <row r="13" spans="1:11" ht="12.9" thickBot="1" x14ac:dyDescent="0.35">
      <c r="A13" s="501"/>
      <c r="B13" s="503"/>
      <c r="C13" s="249" t="s">
        <v>105</v>
      </c>
      <c r="D13" s="249" t="s">
        <v>106</v>
      </c>
      <c r="E13" s="249" t="s">
        <v>105</v>
      </c>
      <c r="F13" s="249" t="s">
        <v>106</v>
      </c>
      <c r="G13" s="249" t="s">
        <v>303</v>
      </c>
      <c r="H13" s="249" t="s">
        <v>304</v>
      </c>
      <c r="I13" s="250" t="s">
        <v>248</v>
      </c>
    </row>
    <row r="14" spans="1:11" x14ac:dyDescent="0.3">
      <c r="A14" s="277" t="s">
        <v>228</v>
      </c>
      <c r="B14" s="251">
        <f>+B5</f>
        <v>12464.5</v>
      </c>
      <c r="C14" s="251">
        <f>+'Rate Class Energy Model'!M18</f>
        <v>9155875</v>
      </c>
      <c r="D14" s="251">
        <f>+'Rate Class Load Model'!E13</f>
        <v>25520</v>
      </c>
      <c r="E14" s="251">
        <f>+C14</f>
        <v>9155875</v>
      </c>
      <c r="F14" s="251">
        <f>+D14</f>
        <v>25520</v>
      </c>
      <c r="G14" s="251">
        <f>+C14*'Rate Class Energy Model'!$F$25</f>
        <v>9600850.5250000004</v>
      </c>
      <c r="H14" s="251">
        <f>+E14*'Rate Class Energy Model'!$F$25</f>
        <v>9600850.5250000004</v>
      </c>
      <c r="I14" s="262">
        <f>+G14-H14</f>
        <v>0</v>
      </c>
    </row>
    <row r="15" spans="1:11" x14ac:dyDescent="0.3">
      <c r="A15" s="277" t="s">
        <v>229</v>
      </c>
      <c r="B15" s="251">
        <f>+B14</f>
        <v>12464.5</v>
      </c>
      <c r="C15" s="251">
        <f>+C14*'Rate Class Energy Model'!$M$61</f>
        <v>9155875</v>
      </c>
      <c r="D15" s="251">
        <f>+C15*'Rate Class Load Model'!$E$43</f>
        <v>25520</v>
      </c>
      <c r="E15" s="251">
        <f>+F46</f>
        <v>8488741.1477135979</v>
      </c>
      <c r="F15" s="251">
        <f>+E15*'Rate Class Load Model'!$E$43</f>
        <v>23660.510228640193</v>
      </c>
      <c r="G15" s="251">
        <f>+C15*'Rate Class Energy Model'!$F$25</f>
        <v>9600850.5250000004</v>
      </c>
      <c r="H15" s="251">
        <f>+E15*'Rate Class Energy Model'!$F$25</f>
        <v>8901293.967492478</v>
      </c>
      <c r="I15" s="262">
        <f t="shared" ref="I15:I19" si="3">+G15-H15</f>
        <v>699556.5575075224</v>
      </c>
    </row>
    <row r="16" spans="1:11" x14ac:dyDescent="0.3">
      <c r="A16" s="277" t="s">
        <v>230</v>
      </c>
      <c r="B16" s="251">
        <f>+B15</f>
        <v>12464.5</v>
      </c>
      <c r="C16" s="251">
        <f>+C15*'Rate Class Energy Model'!$M$61</f>
        <v>9155875</v>
      </c>
      <c r="D16" s="251">
        <f>+C16*'Rate Class Load Model'!$E$43</f>
        <v>25520</v>
      </c>
      <c r="E16" s="251">
        <f>+F60</f>
        <v>5055838.9177196147</v>
      </c>
      <c r="F16" s="251">
        <f>+E16*'Rate Class Load Model'!$E$43</f>
        <v>14092.045728038507</v>
      </c>
      <c r="G16" s="251">
        <f>+C16*'Rate Class Energy Model'!$F$25</f>
        <v>9600850.5250000004</v>
      </c>
      <c r="H16" s="251">
        <f>+E16*'Rate Class Energy Model'!$F$25</f>
        <v>5301552.6891207881</v>
      </c>
      <c r="I16" s="262">
        <f t="shared" si="3"/>
        <v>4299297.8358792122</v>
      </c>
    </row>
    <row r="17" spans="1:9" x14ac:dyDescent="0.3">
      <c r="A17" s="277" t="s">
        <v>231</v>
      </c>
      <c r="B17" s="251">
        <f>+B16</f>
        <v>12464.5</v>
      </c>
      <c r="C17" s="251">
        <f>+C16*'Rate Class Energy Model'!$M$61</f>
        <v>9155875</v>
      </c>
      <c r="D17" s="251">
        <f>+C17*'Rate Class Load Model'!$E$43</f>
        <v>25520</v>
      </c>
      <c r="E17" s="251">
        <f>+F74</f>
        <v>4577937.5</v>
      </c>
      <c r="F17" s="251">
        <f>+E17*'Rate Class Load Model'!$E$43</f>
        <v>12760</v>
      </c>
      <c r="G17" s="251">
        <f>+C17*'Rate Class Energy Model'!$F$25</f>
        <v>9600850.5250000004</v>
      </c>
      <c r="H17" s="251">
        <f>+E17*'Rate Class Energy Model'!$F$25</f>
        <v>4800425.2625000002</v>
      </c>
      <c r="I17" s="262">
        <f t="shared" si="3"/>
        <v>4800425.2625000002</v>
      </c>
    </row>
    <row r="18" spans="1:9" x14ac:dyDescent="0.3">
      <c r="A18" s="277" t="s">
        <v>232</v>
      </c>
      <c r="B18" s="251">
        <f>+B17</f>
        <v>12464.5</v>
      </c>
      <c r="C18" s="251">
        <f>+C17*'Rate Class Energy Model'!$M$61</f>
        <v>9155875</v>
      </c>
      <c r="D18" s="251">
        <f>+C18*'Rate Class Load Model'!$E$43</f>
        <v>25520</v>
      </c>
      <c r="E18" s="251">
        <f>+E17</f>
        <v>4577937.5</v>
      </c>
      <c r="F18" s="251">
        <f>+E18*'Rate Class Load Model'!$E$43</f>
        <v>12760</v>
      </c>
      <c r="G18" s="251">
        <f>+C18*'Rate Class Energy Model'!$F$25</f>
        <v>9600850.5250000004</v>
      </c>
      <c r="H18" s="251">
        <f>+E18*'Rate Class Energy Model'!$F$25</f>
        <v>4800425.2625000002</v>
      </c>
      <c r="I18" s="262">
        <f t="shared" si="3"/>
        <v>4800425.2625000002</v>
      </c>
    </row>
    <row r="19" spans="1:9" ht="12.9" thickBot="1" x14ac:dyDescent="0.35">
      <c r="A19" s="278" t="s">
        <v>233</v>
      </c>
      <c r="B19" s="264">
        <f>+B18</f>
        <v>12464.5</v>
      </c>
      <c r="C19" s="264">
        <f>+C18*'Rate Class Energy Model'!$M$61</f>
        <v>9155875</v>
      </c>
      <c r="D19" s="264">
        <f>+C19*'Rate Class Load Model'!$E$43</f>
        <v>25520</v>
      </c>
      <c r="E19" s="264">
        <f>+E18</f>
        <v>4577937.5</v>
      </c>
      <c r="F19" s="264">
        <f>+E19*'Rate Class Load Model'!$E$43</f>
        <v>12760</v>
      </c>
      <c r="G19" s="264">
        <f>+C19*'Rate Class Energy Model'!$F$25</f>
        <v>9600850.5250000004</v>
      </c>
      <c r="H19" s="264">
        <f>+E19*'Rate Class Energy Model'!$F$25</f>
        <v>4800425.2625000002</v>
      </c>
      <c r="I19" s="338">
        <f t="shared" si="3"/>
        <v>4800425.2625000002</v>
      </c>
    </row>
    <row r="20" spans="1:9" ht="12.9" thickBot="1" x14ac:dyDescent="0.35"/>
    <row r="21" spans="1:9" ht="23.6" thickBot="1" x14ac:dyDescent="0.35">
      <c r="A21" s="500" t="s">
        <v>308</v>
      </c>
      <c r="B21" s="502" t="s">
        <v>261</v>
      </c>
      <c r="C21" s="507" t="s">
        <v>301</v>
      </c>
      <c r="D21" s="508"/>
      <c r="E21" s="250" t="s">
        <v>302</v>
      </c>
    </row>
    <row r="22" spans="1:9" ht="12.9" thickBot="1" x14ac:dyDescent="0.35">
      <c r="A22" s="501"/>
      <c r="B22" s="503"/>
      <c r="C22" s="249" t="s">
        <v>105</v>
      </c>
      <c r="D22" s="249" t="s">
        <v>106</v>
      </c>
      <c r="E22" s="250" t="s">
        <v>304</v>
      </c>
    </row>
    <row r="23" spans="1:9" x14ac:dyDescent="0.3">
      <c r="A23" s="277" t="s">
        <v>228</v>
      </c>
      <c r="B23" s="251">
        <v>0</v>
      </c>
      <c r="C23" s="251">
        <v>0</v>
      </c>
      <c r="D23" s="251">
        <v>0</v>
      </c>
      <c r="E23" s="262">
        <f>+C23*'Rate Class Energy Model'!$F$25</f>
        <v>0</v>
      </c>
    </row>
    <row r="24" spans="1:9" x14ac:dyDescent="0.3">
      <c r="A24" s="277" t="s">
        <v>229</v>
      </c>
      <c r="B24" s="251">
        <f>+'Chart II'!G45-'Chart II'!G$44</f>
        <v>245.34696433036879</v>
      </c>
      <c r="C24" s="251">
        <f>+'Rate Class Energy Model'!M42/2*B24</f>
        <v>90110.559470428634</v>
      </c>
      <c r="D24" s="251">
        <f>+C24*'Rate Class Load Model'!$E$43</f>
        <v>251.16348548722416</v>
      </c>
      <c r="E24" s="262">
        <f>+C24*'Rate Class Energy Model'!$F$25</f>
        <v>94489.932660691469</v>
      </c>
    </row>
    <row r="25" spans="1:9" x14ac:dyDescent="0.3">
      <c r="A25" s="277" t="s">
        <v>230</v>
      </c>
      <c r="B25" s="251">
        <f>+'Chart II'!G46-'Chart II'!G$44</f>
        <v>495.52325457883489</v>
      </c>
      <c r="C25" s="251">
        <f>+'Rate Class Energy Model'!M43/2*B25</f>
        <v>181994.82444209515</v>
      </c>
      <c r="D25" s="251">
        <f>+C25*'Rate Class Load Model'!$E$43</f>
        <v>507.27078731003513</v>
      </c>
      <c r="E25" s="262">
        <f>+C25*'Rate Class Energy Model'!$F$25</f>
        <v>190839.77290998097</v>
      </c>
    </row>
    <row r="26" spans="1:9" x14ac:dyDescent="0.3">
      <c r="A26" s="277" t="s">
        <v>231</v>
      </c>
      <c r="B26" s="251">
        <f>+'Chart II'!G47-'Chart II'!G$44</f>
        <v>750.62392954870302</v>
      </c>
      <c r="C26" s="251">
        <f>+'Rate Class Energy Model'!M44/2*B26</f>
        <v>275687.70792878699</v>
      </c>
      <c r="D26" s="251">
        <f>+C26*'Rate Class Load Model'!$E$43</f>
        <v>768.41921786204421</v>
      </c>
      <c r="E26" s="262">
        <f>+C26*'Rate Class Energy Model'!$F$25</f>
        <v>289086.13053412602</v>
      </c>
    </row>
    <row r="27" spans="1:9" x14ac:dyDescent="0.3">
      <c r="A27" s="277" t="s">
        <v>232</v>
      </c>
      <c r="B27" s="251">
        <f>+'Chart II'!G48-'Chart II'!G$44</f>
        <v>1001.5459191483169</v>
      </c>
      <c r="C27" s="251">
        <f>+'Rate Class Energy Model'!M45/2*B27</f>
        <v>367845.85191873304</v>
      </c>
      <c r="D27" s="251">
        <f>+C27*'Rate Class Load Model'!$E$43</f>
        <v>1025.2898975757169</v>
      </c>
      <c r="E27" s="262">
        <f>+C27*'Rate Class Energy Model'!$F$25</f>
        <v>385723.16032198345</v>
      </c>
    </row>
    <row r="28" spans="1:9" ht="12.9" thickBot="1" x14ac:dyDescent="0.35">
      <c r="A28" s="278" t="s">
        <v>233</v>
      </c>
      <c r="B28" s="264">
        <f>+'Chart II'!G49-'Chart II'!G$44</f>
        <v>1257.4880612212637</v>
      </c>
      <c r="C28" s="264">
        <f>+'Rate Class Energy Model'!M46/2*B28</f>
        <v>461847.78781877487</v>
      </c>
      <c r="D28" s="264">
        <f>+C28*'Rate Class Load Model'!$E$43</f>
        <v>1287.2997441681034</v>
      </c>
      <c r="E28" s="338">
        <f>+C28*'Rate Class Energy Model'!$F$25</f>
        <v>484293.59030676732</v>
      </c>
    </row>
    <row r="29" spans="1:9" ht="12.9" thickBot="1" x14ac:dyDescent="0.35"/>
    <row r="30" spans="1:9" ht="24.75" customHeight="1" x14ac:dyDescent="0.3">
      <c r="A30" s="500" t="s">
        <v>345</v>
      </c>
      <c r="B30" s="477" t="s">
        <v>261</v>
      </c>
      <c r="C30" s="477"/>
      <c r="D30" s="477" t="s">
        <v>333</v>
      </c>
      <c r="E30" s="477"/>
      <c r="F30" s="502" t="s">
        <v>334</v>
      </c>
      <c r="G30" s="499" t="s">
        <v>260</v>
      </c>
    </row>
    <row r="31" spans="1:9" ht="12.75" customHeight="1" x14ac:dyDescent="0.3">
      <c r="A31" s="511"/>
      <c r="B31" s="504" t="s">
        <v>331</v>
      </c>
      <c r="C31" s="504" t="s">
        <v>332</v>
      </c>
      <c r="D31" s="504" t="s">
        <v>331</v>
      </c>
      <c r="E31" s="504" t="s">
        <v>332</v>
      </c>
      <c r="F31" s="504"/>
      <c r="G31" s="505"/>
    </row>
    <row r="32" spans="1:9" ht="12.9" thickBot="1" x14ac:dyDescent="0.35">
      <c r="A32" s="501"/>
      <c r="B32" s="503"/>
      <c r="C32" s="503"/>
      <c r="D32" s="503"/>
      <c r="E32" s="503"/>
      <c r="F32" s="503"/>
      <c r="G32" s="506"/>
    </row>
    <row r="33" spans="1:9" x14ac:dyDescent="0.3">
      <c r="A33" s="449" t="s">
        <v>329</v>
      </c>
      <c r="B33" s="443"/>
      <c r="C33" s="443"/>
      <c r="D33" s="443"/>
      <c r="E33" s="443"/>
      <c r="F33" s="443"/>
      <c r="G33" s="450"/>
    </row>
    <row r="34" spans="1:9" x14ac:dyDescent="0.3">
      <c r="A34" s="451" t="s">
        <v>317</v>
      </c>
      <c r="B34" s="452">
        <v>12465</v>
      </c>
      <c r="C34" s="283"/>
      <c r="D34" s="452">
        <f>+C14/B34</f>
        <v>734.52667468912955</v>
      </c>
      <c r="E34" s="452">
        <f>+D34/2</f>
        <v>367.26333734456477</v>
      </c>
      <c r="F34" s="452">
        <f>(+D34*B34/12)+(E34*C34/12)</f>
        <v>762989.58333333337</v>
      </c>
      <c r="G34" s="285"/>
      <c r="H34" s="411"/>
      <c r="I34" s="411"/>
    </row>
    <row r="35" spans="1:9" x14ac:dyDescent="0.3">
      <c r="A35" s="451" t="s">
        <v>318</v>
      </c>
      <c r="B35" s="452">
        <f>+B34</f>
        <v>12465</v>
      </c>
      <c r="C35" s="283"/>
      <c r="D35" s="452">
        <f>+D34</f>
        <v>734.52667468912955</v>
      </c>
      <c r="E35" s="452">
        <f>+E34</f>
        <v>367.26333734456477</v>
      </c>
      <c r="F35" s="452">
        <f t="shared" ref="F35:F45" si="4">(+D35*B35/12)+(E35*C35/12)</f>
        <v>762989.58333333337</v>
      </c>
      <c r="G35" s="285"/>
      <c r="H35" s="411"/>
      <c r="I35" s="411"/>
    </row>
    <row r="36" spans="1:9" x14ac:dyDescent="0.3">
      <c r="A36" s="451" t="s">
        <v>319</v>
      </c>
      <c r="B36" s="452">
        <f>+B35</f>
        <v>12465</v>
      </c>
      <c r="C36" s="283"/>
      <c r="D36" s="452">
        <f t="shared" ref="D36:D45" si="5">+D35</f>
        <v>734.52667468912955</v>
      </c>
      <c r="E36" s="452">
        <f t="shared" ref="E36:E45" si="6">+E35</f>
        <v>367.26333734456477</v>
      </c>
      <c r="F36" s="452">
        <f t="shared" si="4"/>
        <v>762989.58333333337</v>
      </c>
      <c r="G36" s="285"/>
      <c r="H36" s="411"/>
      <c r="I36" s="411"/>
    </row>
    <row r="37" spans="1:9" x14ac:dyDescent="0.3">
      <c r="A37" s="451" t="s">
        <v>320</v>
      </c>
      <c r="B37" s="452">
        <f>+B36</f>
        <v>12465</v>
      </c>
      <c r="C37" s="283"/>
      <c r="D37" s="452">
        <f t="shared" si="5"/>
        <v>734.52667468912955</v>
      </c>
      <c r="E37" s="452">
        <f t="shared" si="6"/>
        <v>367.26333734456477</v>
      </c>
      <c r="F37" s="452">
        <f t="shared" si="4"/>
        <v>762989.58333333337</v>
      </c>
      <c r="G37" s="285"/>
      <c r="H37" s="411"/>
      <c r="I37" s="411"/>
    </row>
    <row r="38" spans="1:9" x14ac:dyDescent="0.3">
      <c r="A38" s="451" t="s">
        <v>321</v>
      </c>
      <c r="B38" s="452">
        <f>+B37</f>
        <v>12465</v>
      </c>
      <c r="C38" s="283"/>
      <c r="D38" s="452">
        <f t="shared" si="5"/>
        <v>734.52667468912955</v>
      </c>
      <c r="E38" s="452">
        <f t="shared" si="6"/>
        <v>367.26333734456477</v>
      </c>
      <c r="F38" s="452">
        <f t="shared" si="4"/>
        <v>762989.58333333337</v>
      </c>
      <c r="G38" s="285"/>
      <c r="H38" s="411"/>
      <c r="I38" s="411"/>
    </row>
    <row r="39" spans="1:9" x14ac:dyDescent="0.3">
      <c r="A39" s="451" t="s">
        <v>322</v>
      </c>
      <c r="B39" s="452">
        <f>+B38</f>
        <v>12465</v>
      </c>
      <c r="C39" s="283"/>
      <c r="D39" s="452">
        <f t="shared" si="5"/>
        <v>734.52667468912955</v>
      </c>
      <c r="E39" s="452">
        <f t="shared" si="6"/>
        <v>367.26333734456477</v>
      </c>
      <c r="F39" s="452">
        <f t="shared" si="4"/>
        <v>762989.58333333337</v>
      </c>
      <c r="G39" s="285"/>
      <c r="H39" s="411"/>
      <c r="I39" s="411"/>
    </row>
    <row r="40" spans="1:9" x14ac:dyDescent="0.3">
      <c r="A40" s="451" t="s">
        <v>323</v>
      </c>
      <c r="B40" s="452">
        <f>+B$39-C40</f>
        <v>11427</v>
      </c>
      <c r="C40" s="452">
        <v>1038</v>
      </c>
      <c r="D40" s="452">
        <f t="shared" si="5"/>
        <v>734.52667468912955</v>
      </c>
      <c r="E40" s="452">
        <f t="shared" si="6"/>
        <v>367.26333734456477</v>
      </c>
      <c r="F40" s="452">
        <f t="shared" si="4"/>
        <v>731221.30465302849</v>
      </c>
      <c r="G40" s="285"/>
      <c r="H40" s="411"/>
      <c r="I40" s="411"/>
    </row>
    <row r="41" spans="1:9" x14ac:dyDescent="0.3">
      <c r="A41" s="451" t="s">
        <v>324</v>
      </c>
      <c r="B41" s="452">
        <f t="shared" ref="B41:B59" si="7">+B$39-C41</f>
        <v>10389</v>
      </c>
      <c r="C41" s="452">
        <f>+C40*2</f>
        <v>2076</v>
      </c>
      <c r="D41" s="452">
        <f t="shared" si="5"/>
        <v>734.52667468912955</v>
      </c>
      <c r="E41" s="452">
        <f t="shared" si="6"/>
        <v>367.26333734456477</v>
      </c>
      <c r="F41" s="452">
        <f t="shared" si="4"/>
        <v>699453.0259727235</v>
      </c>
      <c r="G41" s="285"/>
      <c r="H41" s="411"/>
      <c r="I41" s="411"/>
    </row>
    <row r="42" spans="1:9" x14ac:dyDescent="0.3">
      <c r="A42" s="451" t="s">
        <v>325</v>
      </c>
      <c r="B42" s="452">
        <f t="shared" si="7"/>
        <v>9351</v>
      </c>
      <c r="C42" s="452">
        <f>+C40*3</f>
        <v>3114</v>
      </c>
      <c r="D42" s="452">
        <f t="shared" si="5"/>
        <v>734.52667468912955</v>
      </c>
      <c r="E42" s="452">
        <f t="shared" si="6"/>
        <v>367.26333734456477</v>
      </c>
      <c r="F42" s="452">
        <f t="shared" si="4"/>
        <v>667684.74729241873</v>
      </c>
      <c r="G42" s="285"/>
      <c r="H42" s="411"/>
      <c r="I42" s="411"/>
    </row>
    <row r="43" spans="1:9" x14ac:dyDescent="0.3">
      <c r="A43" s="451" t="s">
        <v>326</v>
      </c>
      <c r="B43" s="452">
        <f t="shared" si="7"/>
        <v>8313</v>
      </c>
      <c r="C43" s="452">
        <f>+C40*4</f>
        <v>4152</v>
      </c>
      <c r="D43" s="452">
        <f t="shared" si="5"/>
        <v>734.52667468912955</v>
      </c>
      <c r="E43" s="452">
        <f t="shared" si="6"/>
        <v>367.26333734456477</v>
      </c>
      <c r="F43" s="452">
        <f t="shared" si="4"/>
        <v>635916.46861211397</v>
      </c>
      <c r="G43" s="285"/>
      <c r="H43" s="411"/>
      <c r="I43" s="411"/>
    </row>
    <row r="44" spans="1:9" x14ac:dyDescent="0.3">
      <c r="A44" s="451" t="s">
        <v>327</v>
      </c>
      <c r="B44" s="452">
        <f t="shared" si="7"/>
        <v>7275</v>
      </c>
      <c r="C44" s="452">
        <f>+C40*5</f>
        <v>5190</v>
      </c>
      <c r="D44" s="452">
        <f t="shared" si="5"/>
        <v>734.52667468912955</v>
      </c>
      <c r="E44" s="452">
        <f t="shared" si="6"/>
        <v>367.26333734456477</v>
      </c>
      <c r="F44" s="452">
        <f t="shared" si="4"/>
        <v>604148.18993180897</v>
      </c>
      <c r="G44" s="285"/>
      <c r="H44" s="411"/>
      <c r="I44" s="411"/>
    </row>
    <row r="45" spans="1:9" ht="12.9" thickBot="1" x14ac:dyDescent="0.35">
      <c r="A45" s="454" t="s">
        <v>328</v>
      </c>
      <c r="B45" s="453">
        <f t="shared" si="7"/>
        <v>6237</v>
      </c>
      <c r="C45" s="453">
        <f>+C40*6</f>
        <v>6228</v>
      </c>
      <c r="D45" s="453">
        <f t="shared" si="5"/>
        <v>734.52667468912955</v>
      </c>
      <c r="E45" s="453">
        <f t="shared" si="6"/>
        <v>367.26333734456477</v>
      </c>
      <c r="F45" s="453">
        <f t="shared" si="4"/>
        <v>572379.91125150421</v>
      </c>
      <c r="G45" s="292"/>
      <c r="H45" s="411"/>
      <c r="I45" s="411"/>
    </row>
    <row r="46" spans="1:9" ht="12.9" thickBot="1" x14ac:dyDescent="0.35">
      <c r="A46" s="458" t="s">
        <v>9</v>
      </c>
      <c r="B46" s="459"/>
      <c r="C46" s="459"/>
      <c r="D46" s="459"/>
      <c r="E46" s="459"/>
      <c r="F46" s="459">
        <f>SUM(F34:F45)</f>
        <v>8488741.1477135979</v>
      </c>
      <c r="G46" s="460">
        <f>+C5-F46</f>
        <v>667133.85228640214</v>
      </c>
      <c r="H46" s="411"/>
      <c r="I46" s="411"/>
    </row>
    <row r="47" spans="1:9" x14ac:dyDescent="0.3">
      <c r="A47" s="455" t="s">
        <v>330</v>
      </c>
      <c r="B47" s="456"/>
      <c r="C47" s="456"/>
      <c r="D47" s="456"/>
      <c r="E47" s="456"/>
      <c r="F47" s="456"/>
      <c r="G47" s="457"/>
      <c r="H47" s="411"/>
      <c r="I47" s="411"/>
    </row>
    <row r="48" spans="1:9" x14ac:dyDescent="0.3">
      <c r="A48" s="451" t="s">
        <v>317</v>
      </c>
      <c r="B48" s="452">
        <f t="shared" si="7"/>
        <v>5199</v>
      </c>
      <c r="C48" s="452">
        <f>+C$40*7</f>
        <v>7266</v>
      </c>
      <c r="D48" s="452">
        <f>+D45</f>
        <v>734.52667468912955</v>
      </c>
      <c r="E48" s="452">
        <f>+E45</f>
        <v>367.26333734456477</v>
      </c>
      <c r="F48" s="452">
        <f t="shared" ref="F48:F59" si="8">(+D48*B48/12)+(E48*C48/12)</f>
        <v>540611.63257119933</v>
      </c>
      <c r="G48" s="285"/>
      <c r="H48" s="411"/>
      <c r="I48" s="411"/>
    </row>
    <row r="49" spans="1:9" x14ac:dyDescent="0.3">
      <c r="A49" s="451" t="s">
        <v>318</v>
      </c>
      <c r="B49" s="452">
        <f t="shared" si="7"/>
        <v>4161</v>
      </c>
      <c r="C49" s="452">
        <f>+C$40*8</f>
        <v>8304</v>
      </c>
      <c r="D49" s="452">
        <f t="shared" ref="D49:D58" si="9">+D48</f>
        <v>734.52667468912955</v>
      </c>
      <c r="E49" s="452">
        <f t="shared" ref="E49:E58" si="10">+E48</f>
        <v>367.26333734456477</v>
      </c>
      <c r="F49" s="452">
        <f t="shared" si="8"/>
        <v>508843.35389089445</v>
      </c>
      <c r="G49" s="285"/>
      <c r="H49" s="411"/>
      <c r="I49" s="411"/>
    </row>
    <row r="50" spans="1:9" x14ac:dyDescent="0.3">
      <c r="A50" s="451" t="s">
        <v>319</v>
      </c>
      <c r="B50" s="452">
        <f t="shared" si="7"/>
        <v>3123</v>
      </c>
      <c r="C50" s="452">
        <f>+C$40*9</f>
        <v>9342</v>
      </c>
      <c r="D50" s="452">
        <f t="shared" si="9"/>
        <v>734.52667468912955</v>
      </c>
      <c r="E50" s="452">
        <f t="shared" si="10"/>
        <v>367.26333734456477</v>
      </c>
      <c r="F50" s="452">
        <f t="shared" si="8"/>
        <v>477075.07521058968</v>
      </c>
      <c r="G50" s="285"/>
      <c r="H50" s="411"/>
      <c r="I50" s="411"/>
    </row>
    <row r="51" spans="1:9" x14ac:dyDescent="0.3">
      <c r="A51" s="451" t="s">
        <v>320</v>
      </c>
      <c r="B51" s="452">
        <f t="shared" si="7"/>
        <v>2085</v>
      </c>
      <c r="C51" s="452">
        <f>+C$40*10</f>
        <v>10380</v>
      </c>
      <c r="D51" s="452">
        <f t="shared" si="9"/>
        <v>734.52667468912955</v>
      </c>
      <c r="E51" s="452">
        <f t="shared" si="10"/>
        <v>367.26333734456477</v>
      </c>
      <c r="F51" s="452">
        <f t="shared" si="8"/>
        <v>445306.79653028474</v>
      </c>
      <c r="G51" s="285"/>
      <c r="H51" s="411"/>
      <c r="I51" s="411"/>
    </row>
    <row r="52" spans="1:9" x14ac:dyDescent="0.3">
      <c r="A52" s="451" t="s">
        <v>321</v>
      </c>
      <c r="B52" s="452">
        <f t="shared" si="7"/>
        <v>1047</v>
      </c>
      <c r="C52" s="452">
        <f>+C$40*11</f>
        <v>11418</v>
      </c>
      <c r="D52" s="452">
        <f t="shared" si="9"/>
        <v>734.52667468912955</v>
      </c>
      <c r="E52" s="452">
        <f t="shared" si="10"/>
        <v>367.26333734456477</v>
      </c>
      <c r="F52" s="452">
        <f t="shared" si="8"/>
        <v>413538.51784997992</v>
      </c>
      <c r="G52" s="285"/>
      <c r="H52" s="411"/>
      <c r="I52" s="411"/>
    </row>
    <row r="53" spans="1:9" x14ac:dyDescent="0.3">
      <c r="A53" s="451" t="s">
        <v>322</v>
      </c>
      <c r="B53" s="452">
        <f t="shared" si="7"/>
        <v>0</v>
      </c>
      <c r="C53" s="452">
        <v>12465</v>
      </c>
      <c r="D53" s="452">
        <f t="shared" si="9"/>
        <v>734.52667468912955</v>
      </c>
      <c r="E53" s="452">
        <f t="shared" si="10"/>
        <v>367.26333734456477</v>
      </c>
      <c r="F53" s="452">
        <f t="shared" si="8"/>
        <v>381494.79166666669</v>
      </c>
      <c r="G53" s="285"/>
      <c r="H53" s="411"/>
      <c r="I53" s="411"/>
    </row>
    <row r="54" spans="1:9" x14ac:dyDescent="0.3">
      <c r="A54" s="451" t="s">
        <v>323</v>
      </c>
      <c r="B54" s="452">
        <f t="shared" si="7"/>
        <v>0</v>
      </c>
      <c r="C54" s="452">
        <v>12465</v>
      </c>
      <c r="D54" s="452">
        <f t="shared" si="9"/>
        <v>734.52667468912955</v>
      </c>
      <c r="E54" s="452">
        <f t="shared" si="10"/>
        <v>367.26333734456477</v>
      </c>
      <c r="F54" s="452">
        <f t="shared" si="8"/>
        <v>381494.79166666669</v>
      </c>
      <c r="G54" s="285"/>
      <c r="H54" s="411"/>
      <c r="I54" s="411"/>
    </row>
    <row r="55" spans="1:9" x14ac:dyDescent="0.3">
      <c r="A55" s="451" t="s">
        <v>324</v>
      </c>
      <c r="B55" s="452">
        <f t="shared" si="7"/>
        <v>0</v>
      </c>
      <c r="C55" s="452">
        <v>12465</v>
      </c>
      <c r="D55" s="452">
        <f t="shared" si="9"/>
        <v>734.52667468912955</v>
      </c>
      <c r="E55" s="452">
        <f t="shared" si="10"/>
        <v>367.26333734456477</v>
      </c>
      <c r="F55" s="452">
        <f t="shared" si="8"/>
        <v>381494.79166666669</v>
      </c>
      <c r="G55" s="285"/>
      <c r="H55" s="411"/>
      <c r="I55" s="411"/>
    </row>
    <row r="56" spans="1:9" x14ac:dyDescent="0.3">
      <c r="A56" s="451" t="s">
        <v>325</v>
      </c>
      <c r="B56" s="452">
        <f t="shared" si="7"/>
        <v>0</v>
      </c>
      <c r="C56" s="452">
        <v>12465</v>
      </c>
      <c r="D56" s="452">
        <f t="shared" si="9"/>
        <v>734.52667468912955</v>
      </c>
      <c r="E56" s="452">
        <f t="shared" si="10"/>
        <v>367.26333734456477</v>
      </c>
      <c r="F56" s="452">
        <f t="shared" si="8"/>
        <v>381494.79166666669</v>
      </c>
      <c r="G56" s="285"/>
      <c r="H56" s="411"/>
      <c r="I56" s="411"/>
    </row>
    <row r="57" spans="1:9" x14ac:dyDescent="0.3">
      <c r="A57" s="451" t="s">
        <v>326</v>
      </c>
      <c r="B57" s="452">
        <f t="shared" si="7"/>
        <v>0</v>
      </c>
      <c r="C57" s="452">
        <v>12465</v>
      </c>
      <c r="D57" s="452">
        <f t="shared" si="9"/>
        <v>734.52667468912955</v>
      </c>
      <c r="E57" s="452">
        <f t="shared" si="10"/>
        <v>367.26333734456477</v>
      </c>
      <c r="F57" s="452">
        <f t="shared" si="8"/>
        <v>381494.79166666669</v>
      </c>
      <c r="G57" s="285"/>
      <c r="H57" s="411"/>
      <c r="I57" s="411"/>
    </row>
    <row r="58" spans="1:9" x14ac:dyDescent="0.3">
      <c r="A58" s="451" t="s">
        <v>327</v>
      </c>
      <c r="B58" s="452">
        <f t="shared" si="7"/>
        <v>0</v>
      </c>
      <c r="C58" s="452">
        <v>12465</v>
      </c>
      <c r="D58" s="452">
        <f t="shared" si="9"/>
        <v>734.52667468912955</v>
      </c>
      <c r="E58" s="452">
        <f t="shared" si="10"/>
        <v>367.26333734456477</v>
      </c>
      <c r="F58" s="452">
        <f t="shared" si="8"/>
        <v>381494.79166666669</v>
      </c>
      <c r="G58" s="285"/>
      <c r="H58" s="411"/>
      <c r="I58" s="411"/>
    </row>
    <row r="59" spans="1:9" ht="12.9" thickBot="1" x14ac:dyDescent="0.35">
      <c r="A59" s="454" t="s">
        <v>328</v>
      </c>
      <c r="B59" s="453">
        <f t="shared" si="7"/>
        <v>0</v>
      </c>
      <c r="C59" s="453">
        <v>12465</v>
      </c>
      <c r="D59" s="453">
        <f t="shared" ref="D59" si="11">+D58</f>
        <v>734.52667468912955</v>
      </c>
      <c r="E59" s="453">
        <f t="shared" ref="E59" si="12">+E58</f>
        <v>367.26333734456477</v>
      </c>
      <c r="F59" s="453">
        <f t="shared" si="8"/>
        <v>381494.79166666669</v>
      </c>
      <c r="G59" s="292"/>
      <c r="H59" s="411"/>
      <c r="I59" s="411"/>
    </row>
    <row r="60" spans="1:9" ht="12.9" thickBot="1" x14ac:dyDescent="0.35">
      <c r="A60" s="463" t="s">
        <v>9</v>
      </c>
      <c r="B60" s="462"/>
      <c r="C60" s="462"/>
      <c r="D60" s="459"/>
      <c r="E60" s="459"/>
      <c r="F60" s="459">
        <f>SUM(F48:F59)</f>
        <v>5055838.9177196147</v>
      </c>
      <c r="G60" s="460">
        <f>+C5-F60</f>
        <v>4100036.0822803853</v>
      </c>
      <c r="H60" s="411"/>
      <c r="I60" s="411"/>
    </row>
    <row r="61" spans="1:9" x14ac:dyDescent="0.3">
      <c r="A61" s="455" t="s">
        <v>335</v>
      </c>
      <c r="B61" s="456"/>
      <c r="C61" s="456"/>
      <c r="D61" s="456"/>
      <c r="E61" s="456"/>
      <c r="F61" s="456"/>
      <c r="G61" s="457"/>
      <c r="H61" s="411"/>
      <c r="I61" s="411"/>
    </row>
    <row r="62" spans="1:9" x14ac:dyDescent="0.3">
      <c r="A62" s="451" t="s">
        <v>317</v>
      </c>
      <c r="B62" s="452">
        <f t="shared" ref="B62:B73" si="13">+B$39-C62</f>
        <v>0</v>
      </c>
      <c r="C62" s="452">
        <f>+C59</f>
        <v>12465</v>
      </c>
      <c r="D62" s="452">
        <f>+D59</f>
        <v>734.52667468912955</v>
      </c>
      <c r="E62" s="452">
        <f>+E59</f>
        <v>367.26333734456477</v>
      </c>
      <c r="F62" s="452">
        <f t="shared" ref="F62:F73" si="14">(+D62*B62/12)+(E62*C62/12)</f>
        <v>381494.79166666669</v>
      </c>
      <c r="G62" s="285"/>
    </row>
    <row r="63" spans="1:9" x14ac:dyDescent="0.3">
      <c r="A63" s="451" t="s">
        <v>318</v>
      </c>
      <c r="B63" s="452">
        <f t="shared" si="13"/>
        <v>0</v>
      </c>
      <c r="C63" s="452">
        <f>+C62</f>
        <v>12465</v>
      </c>
      <c r="D63" s="452">
        <f t="shared" ref="D63:D73" si="15">+D62</f>
        <v>734.52667468912955</v>
      </c>
      <c r="E63" s="452">
        <f t="shared" ref="E63:E73" si="16">+E62</f>
        <v>367.26333734456477</v>
      </c>
      <c r="F63" s="452">
        <f t="shared" si="14"/>
        <v>381494.79166666669</v>
      </c>
      <c r="G63" s="285"/>
    </row>
    <row r="64" spans="1:9" x14ac:dyDescent="0.3">
      <c r="A64" s="451" t="s">
        <v>319</v>
      </c>
      <c r="B64" s="452">
        <f t="shared" si="13"/>
        <v>0</v>
      </c>
      <c r="C64" s="452">
        <f t="shared" ref="C64:C73" si="17">+C63</f>
        <v>12465</v>
      </c>
      <c r="D64" s="452">
        <f t="shared" si="15"/>
        <v>734.52667468912955</v>
      </c>
      <c r="E64" s="452">
        <f t="shared" si="16"/>
        <v>367.26333734456477</v>
      </c>
      <c r="F64" s="452">
        <f t="shared" si="14"/>
        <v>381494.79166666669</v>
      </c>
      <c r="G64" s="285"/>
    </row>
    <row r="65" spans="1:7" x14ac:dyDescent="0.3">
      <c r="A65" s="451" t="s">
        <v>320</v>
      </c>
      <c r="B65" s="452">
        <f t="shared" si="13"/>
        <v>0</v>
      </c>
      <c r="C65" s="452">
        <f t="shared" si="17"/>
        <v>12465</v>
      </c>
      <c r="D65" s="452">
        <f t="shared" si="15"/>
        <v>734.52667468912955</v>
      </c>
      <c r="E65" s="452">
        <f t="shared" si="16"/>
        <v>367.26333734456477</v>
      </c>
      <c r="F65" s="452">
        <f t="shared" si="14"/>
        <v>381494.79166666669</v>
      </c>
      <c r="G65" s="285"/>
    </row>
    <row r="66" spans="1:7" x14ac:dyDescent="0.3">
      <c r="A66" s="451" t="s">
        <v>321</v>
      </c>
      <c r="B66" s="452">
        <f t="shared" si="13"/>
        <v>0</v>
      </c>
      <c r="C66" s="452">
        <f t="shared" si="17"/>
        <v>12465</v>
      </c>
      <c r="D66" s="452">
        <f t="shared" si="15"/>
        <v>734.52667468912955</v>
      </c>
      <c r="E66" s="452">
        <f t="shared" si="16"/>
        <v>367.26333734456477</v>
      </c>
      <c r="F66" s="452">
        <f t="shared" si="14"/>
        <v>381494.79166666669</v>
      </c>
      <c r="G66" s="285"/>
    </row>
    <row r="67" spans="1:7" x14ac:dyDescent="0.3">
      <c r="A67" s="451" t="s">
        <v>322</v>
      </c>
      <c r="B67" s="452">
        <f t="shared" si="13"/>
        <v>0</v>
      </c>
      <c r="C67" s="452">
        <f t="shared" si="17"/>
        <v>12465</v>
      </c>
      <c r="D67" s="452">
        <f t="shared" si="15"/>
        <v>734.52667468912955</v>
      </c>
      <c r="E67" s="452">
        <f t="shared" si="16"/>
        <v>367.26333734456477</v>
      </c>
      <c r="F67" s="452">
        <f t="shared" si="14"/>
        <v>381494.79166666669</v>
      </c>
      <c r="G67" s="285"/>
    </row>
    <row r="68" spans="1:7" x14ac:dyDescent="0.3">
      <c r="A68" s="451" t="s">
        <v>323</v>
      </c>
      <c r="B68" s="452">
        <f t="shared" si="13"/>
        <v>0</v>
      </c>
      <c r="C68" s="452">
        <f t="shared" si="17"/>
        <v>12465</v>
      </c>
      <c r="D68" s="452">
        <f t="shared" si="15"/>
        <v>734.52667468912955</v>
      </c>
      <c r="E68" s="452">
        <f t="shared" si="16"/>
        <v>367.26333734456477</v>
      </c>
      <c r="F68" s="452">
        <f t="shared" si="14"/>
        <v>381494.79166666669</v>
      </c>
      <c r="G68" s="285"/>
    </row>
    <row r="69" spans="1:7" x14ac:dyDescent="0.3">
      <c r="A69" s="451" t="s">
        <v>324</v>
      </c>
      <c r="B69" s="452">
        <f t="shared" si="13"/>
        <v>0</v>
      </c>
      <c r="C69" s="452">
        <f t="shared" si="17"/>
        <v>12465</v>
      </c>
      <c r="D69" s="452">
        <f t="shared" si="15"/>
        <v>734.52667468912955</v>
      </c>
      <c r="E69" s="452">
        <f t="shared" si="16"/>
        <v>367.26333734456477</v>
      </c>
      <c r="F69" s="452">
        <f t="shared" si="14"/>
        <v>381494.79166666669</v>
      </c>
      <c r="G69" s="285"/>
    </row>
    <row r="70" spans="1:7" x14ac:dyDescent="0.3">
      <c r="A70" s="451" t="s">
        <v>325</v>
      </c>
      <c r="B70" s="452">
        <f t="shared" si="13"/>
        <v>0</v>
      </c>
      <c r="C70" s="452">
        <f t="shared" si="17"/>
        <v>12465</v>
      </c>
      <c r="D70" s="452">
        <f t="shared" si="15"/>
        <v>734.52667468912955</v>
      </c>
      <c r="E70" s="452">
        <f t="shared" si="16"/>
        <v>367.26333734456477</v>
      </c>
      <c r="F70" s="452">
        <f t="shared" si="14"/>
        <v>381494.79166666669</v>
      </c>
      <c r="G70" s="285"/>
    </row>
    <row r="71" spans="1:7" x14ac:dyDescent="0.3">
      <c r="A71" s="451" t="s">
        <v>326</v>
      </c>
      <c r="B71" s="452">
        <f t="shared" si="13"/>
        <v>0</v>
      </c>
      <c r="C71" s="452">
        <f t="shared" si="17"/>
        <v>12465</v>
      </c>
      <c r="D71" s="452">
        <f t="shared" si="15"/>
        <v>734.52667468912955</v>
      </c>
      <c r="E71" s="452">
        <f t="shared" si="16"/>
        <v>367.26333734456477</v>
      </c>
      <c r="F71" s="452">
        <f t="shared" si="14"/>
        <v>381494.79166666669</v>
      </c>
      <c r="G71" s="285"/>
    </row>
    <row r="72" spans="1:7" x14ac:dyDescent="0.3">
      <c r="A72" s="451" t="s">
        <v>327</v>
      </c>
      <c r="B72" s="452">
        <f t="shared" si="13"/>
        <v>0</v>
      </c>
      <c r="C72" s="452">
        <f t="shared" si="17"/>
        <v>12465</v>
      </c>
      <c r="D72" s="452">
        <f t="shared" si="15"/>
        <v>734.52667468912955</v>
      </c>
      <c r="E72" s="452">
        <f t="shared" si="16"/>
        <v>367.26333734456477</v>
      </c>
      <c r="F72" s="452">
        <f t="shared" si="14"/>
        <v>381494.79166666669</v>
      </c>
      <c r="G72" s="285"/>
    </row>
    <row r="73" spans="1:7" ht="12.9" thickBot="1" x14ac:dyDescent="0.35">
      <c r="A73" s="454" t="s">
        <v>328</v>
      </c>
      <c r="B73" s="453">
        <f t="shared" si="13"/>
        <v>0</v>
      </c>
      <c r="C73" s="453">
        <f t="shared" si="17"/>
        <v>12465</v>
      </c>
      <c r="D73" s="453">
        <f t="shared" si="15"/>
        <v>734.52667468912955</v>
      </c>
      <c r="E73" s="453">
        <f t="shared" si="16"/>
        <v>367.26333734456477</v>
      </c>
      <c r="F73" s="453">
        <f t="shared" si="14"/>
        <v>381494.79166666669</v>
      </c>
      <c r="G73" s="292"/>
    </row>
    <row r="74" spans="1:7" ht="12.9" thickBot="1" x14ac:dyDescent="0.35">
      <c r="A74" s="461"/>
      <c r="B74" s="462"/>
      <c r="C74" s="462"/>
      <c r="D74" s="462"/>
      <c r="E74" s="462"/>
      <c r="F74" s="459">
        <f>SUM(F62:F73)</f>
        <v>4577937.5</v>
      </c>
      <c r="G74" s="460">
        <f>+C5-F74</f>
        <v>4577937.5</v>
      </c>
    </row>
  </sheetData>
  <mergeCells count="22">
    <mergeCell ref="C31:C32"/>
    <mergeCell ref="B30:C30"/>
    <mergeCell ref="A12:A13"/>
    <mergeCell ref="A21:A22"/>
    <mergeCell ref="C21:D21"/>
    <mergeCell ref="B21:B22"/>
    <mergeCell ref="A3:A4"/>
    <mergeCell ref="B3:B4"/>
    <mergeCell ref="B12:B13"/>
    <mergeCell ref="F30:F32"/>
    <mergeCell ref="G30:G32"/>
    <mergeCell ref="C3:D3"/>
    <mergeCell ref="E3:F3"/>
    <mergeCell ref="G3:I3"/>
    <mergeCell ref="C12:D12"/>
    <mergeCell ref="E12:F12"/>
    <mergeCell ref="G12:I12"/>
    <mergeCell ref="D30:E30"/>
    <mergeCell ref="D31:D32"/>
    <mergeCell ref="E31:E32"/>
    <mergeCell ref="A30:A32"/>
    <mergeCell ref="B31:B32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70"/>
  <sheetViews>
    <sheetView showGridLines="0" zoomScaleNormal="100" workbookViewId="0"/>
  </sheetViews>
  <sheetFormatPr defaultRowHeight="12.45" x14ac:dyDescent="0.3"/>
  <cols>
    <col min="1" max="1" width="5.84375" customWidth="1"/>
    <col min="2" max="2" width="13.69140625" customWidth="1"/>
    <col min="3" max="3" width="10.3828125" customWidth="1"/>
    <col min="4" max="4" width="1.69140625" customWidth="1"/>
    <col min="5" max="5" width="12" customWidth="1"/>
    <col min="6" max="6" width="13.3046875" customWidth="1"/>
    <col min="7" max="7" width="12.69140625" customWidth="1"/>
    <col min="8" max="8" width="13.3046875" customWidth="1"/>
    <col min="9" max="9" width="12.69140625" customWidth="1"/>
    <col min="10" max="11" width="13.3046875" customWidth="1"/>
    <col min="12" max="14" width="12.69140625" customWidth="1"/>
    <col min="15" max="15" width="12.3046875" customWidth="1"/>
    <col min="16" max="18" width="13.3046875" customWidth="1"/>
    <col min="19" max="19" width="13.84375" bestFit="1" customWidth="1"/>
    <col min="20" max="20" width="13.3046875" customWidth="1"/>
    <col min="21" max="21" width="10.15234375" bestFit="1" customWidth="1"/>
    <col min="23" max="23" width="25.84375" customWidth="1"/>
    <col min="24" max="24" width="11.69140625" bestFit="1" customWidth="1"/>
    <col min="25" max="25" width="10.69140625" bestFit="1" customWidth="1"/>
  </cols>
  <sheetData>
    <row r="1" spans="1:19" x14ac:dyDescent="0.3">
      <c r="A1" t="s">
        <v>82</v>
      </c>
    </row>
    <row r="2" spans="1:19" x14ac:dyDescent="0.3">
      <c r="A2" t="s">
        <v>83</v>
      </c>
    </row>
    <row r="3" spans="1:19" x14ac:dyDescent="0.3">
      <c r="A3" s="66" t="s">
        <v>95</v>
      </c>
    </row>
    <row r="4" spans="1:19" ht="12.9" thickBot="1" x14ac:dyDescent="0.35"/>
    <row r="5" spans="1:19" ht="12.75" customHeight="1" thickBot="1" x14ac:dyDescent="0.35">
      <c r="E5" s="500" t="s">
        <v>275</v>
      </c>
      <c r="F5" s="512" t="s">
        <v>260</v>
      </c>
      <c r="G5" s="513"/>
      <c r="H5" s="513"/>
      <c r="I5" s="513"/>
      <c r="J5" s="513"/>
      <c r="K5" s="513"/>
      <c r="L5" s="513"/>
      <c r="M5" s="513"/>
      <c r="N5" s="513"/>
      <c r="O5" s="514"/>
      <c r="Q5" s="256" t="s">
        <v>112</v>
      </c>
      <c r="R5" s="249" t="s">
        <v>2</v>
      </c>
      <c r="S5" s="250" t="s">
        <v>272</v>
      </c>
    </row>
    <row r="6" spans="1:19" ht="12.9" thickBot="1" x14ac:dyDescent="0.35">
      <c r="E6" s="501"/>
      <c r="F6" s="344">
        <v>2010</v>
      </c>
      <c r="G6" s="344">
        <v>2011</v>
      </c>
      <c r="H6" s="344">
        <v>2012</v>
      </c>
      <c r="I6" s="344">
        <v>2013</v>
      </c>
      <c r="J6" s="344">
        <v>2014</v>
      </c>
      <c r="K6" s="345">
        <v>2015</v>
      </c>
      <c r="L6" s="345">
        <v>2016</v>
      </c>
      <c r="M6" s="345">
        <v>2017</v>
      </c>
      <c r="N6" s="345">
        <v>2018</v>
      </c>
      <c r="O6" s="346">
        <v>2019</v>
      </c>
      <c r="Q6" s="410" t="s">
        <v>288</v>
      </c>
      <c r="R6" s="280"/>
      <c r="S6" s="281"/>
    </row>
    <row r="7" spans="1:19" x14ac:dyDescent="0.3">
      <c r="E7" s="377" t="s">
        <v>274</v>
      </c>
      <c r="F7" s="378">
        <f t="shared" ref="F7:O7" si="0">+I40</f>
        <v>23940408.65980842</v>
      </c>
      <c r="G7" s="378">
        <f t="shared" si="0"/>
        <v>22739420.388500731</v>
      </c>
      <c r="H7" s="378">
        <f t="shared" si="0"/>
        <v>22381805.621150054</v>
      </c>
      <c r="I7" s="378">
        <f t="shared" si="0"/>
        <v>22309529.373889752</v>
      </c>
      <c r="J7" s="378">
        <f t="shared" si="0"/>
        <v>21747880.640079182</v>
      </c>
      <c r="K7" s="378">
        <f t="shared" si="0"/>
        <v>19730014.398549568</v>
      </c>
      <c r="L7" s="378">
        <f t="shared" si="0"/>
        <v>18946289.991510943</v>
      </c>
      <c r="M7" s="378">
        <f t="shared" si="0"/>
        <v>16748951.473723039</v>
      </c>
      <c r="N7" s="378">
        <f t="shared" si="0"/>
        <v>14366129.408459488</v>
      </c>
      <c r="O7" s="409">
        <f t="shared" si="0"/>
        <v>13626335.602470325</v>
      </c>
      <c r="Q7" s="277" t="s">
        <v>228</v>
      </c>
      <c r="R7" s="251">
        <f>+J19</f>
        <v>3713000</v>
      </c>
      <c r="S7" s="262">
        <f>+R7*'Rate Class Energy Model'!$F$25</f>
        <v>3893451.8</v>
      </c>
    </row>
    <row r="8" spans="1:19" x14ac:dyDescent="0.3">
      <c r="E8" s="377">
        <v>2011</v>
      </c>
      <c r="F8" s="378"/>
      <c r="G8" s="378">
        <f>+J45/2</f>
        <v>1292000</v>
      </c>
      <c r="H8" s="378">
        <f t="shared" ref="H8:O8" si="1">+K45</f>
        <v>2562149.417193138</v>
      </c>
      <c r="I8" s="378">
        <f t="shared" si="1"/>
        <v>2540483.6052721115</v>
      </c>
      <c r="J8" s="378">
        <f t="shared" si="1"/>
        <v>2516049.896933347</v>
      </c>
      <c r="K8" s="378">
        <f t="shared" si="1"/>
        <v>2393864.7538477653</v>
      </c>
      <c r="L8" s="378">
        <f t="shared" si="1"/>
        <v>2114650.3082580441</v>
      </c>
      <c r="M8" s="378">
        <f t="shared" si="1"/>
        <v>1775179.4012030358</v>
      </c>
      <c r="N8" s="378">
        <f t="shared" si="1"/>
        <v>1488993.519085088</v>
      </c>
      <c r="O8" s="409">
        <f t="shared" si="1"/>
        <v>1235307.4208164066</v>
      </c>
      <c r="Q8" s="277" t="s">
        <v>229</v>
      </c>
      <c r="R8" s="251">
        <f>+K19</f>
        <v>11055236.978101077</v>
      </c>
      <c r="S8" s="262">
        <f>+R8*'Rate Class Energy Model'!$F$25</f>
        <v>11592521.495236788</v>
      </c>
    </row>
    <row r="9" spans="1:19" x14ac:dyDescent="0.3">
      <c r="E9" s="377">
        <v>2012</v>
      </c>
      <c r="F9" s="378"/>
      <c r="G9" s="378"/>
      <c r="H9" s="378">
        <f>+K46/2</f>
        <v>1997500</v>
      </c>
      <c r="I9" s="378">
        <f t="shared" ref="I9:O9" si="2">+L46</f>
        <v>3924953.9781518746</v>
      </c>
      <c r="J9" s="378">
        <f t="shared" si="2"/>
        <v>3800044.6055374094</v>
      </c>
      <c r="K9" s="378">
        <f t="shared" si="2"/>
        <v>3543479.4329183633</v>
      </c>
      <c r="L9" s="378">
        <f t="shared" si="2"/>
        <v>3154511.5859724586</v>
      </c>
      <c r="M9" s="378">
        <f t="shared" si="2"/>
        <v>2522270.488040776</v>
      </c>
      <c r="N9" s="378">
        <f t="shared" si="2"/>
        <v>1949487.9976426857</v>
      </c>
      <c r="O9" s="409">
        <f t="shared" si="2"/>
        <v>1505780.8760472187</v>
      </c>
      <c r="Q9" s="277" t="s">
        <v>230</v>
      </c>
      <c r="R9" s="251">
        <f>+L19</f>
        <v>20025656.558534738</v>
      </c>
      <c r="S9" s="262">
        <f>+R9*'Rate Class Energy Model'!$F$25</f>
        <v>20998903.467279524</v>
      </c>
    </row>
    <row r="10" spans="1:19" x14ac:dyDescent="0.3">
      <c r="E10" s="377">
        <v>2013</v>
      </c>
      <c r="F10" s="378"/>
      <c r="G10" s="378"/>
      <c r="H10" s="378"/>
      <c r="I10" s="378">
        <f>+L47/2</f>
        <v>2624000</v>
      </c>
      <c r="J10" s="378">
        <f t="shared" ref="J10:O10" si="3">+M47</f>
        <v>5163469.1902769916</v>
      </c>
      <c r="K10" s="378">
        <f t="shared" si="3"/>
        <v>5015308.0573407756</v>
      </c>
      <c r="L10" s="378">
        <f t="shared" si="3"/>
        <v>4634806.6485508932</v>
      </c>
      <c r="M10" s="378">
        <f t="shared" si="3"/>
        <v>3741778.3900143262</v>
      </c>
      <c r="N10" s="378">
        <f t="shared" si="3"/>
        <v>2719565.5009593228</v>
      </c>
      <c r="O10" s="409">
        <f t="shared" si="3"/>
        <v>1975180.853132403</v>
      </c>
      <c r="Q10" s="277" t="s">
        <v>231</v>
      </c>
      <c r="R10" s="251">
        <f>+M19</f>
        <v>27218681.576815814</v>
      </c>
      <c r="S10" s="262">
        <f>+R10*'Rate Class Energy Model'!$F$25</f>
        <v>28541509.501449063</v>
      </c>
    </row>
    <row r="11" spans="1:19" x14ac:dyDescent="0.3">
      <c r="E11" s="377">
        <v>2014</v>
      </c>
      <c r="F11" s="378"/>
      <c r="G11" s="378"/>
      <c r="H11" s="378"/>
      <c r="I11" s="378"/>
      <c r="J11" s="378">
        <f>+M48/2</f>
        <v>3713000</v>
      </c>
      <c r="K11" s="251">
        <f>+J11</f>
        <v>3713000</v>
      </c>
      <c r="L11" s="251">
        <f>+K11</f>
        <v>3713000</v>
      </c>
      <c r="M11" s="251">
        <f>+L11</f>
        <v>3713000</v>
      </c>
      <c r="N11" s="251">
        <f>+M11</f>
        <v>3713000</v>
      </c>
      <c r="O11" s="382">
        <f>+R48/2</f>
        <v>3713000</v>
      </c>
      <c r="Q11" s="277" t="s">
        <v>232</v>
      </c>
      <c r="R11" s="251">
        <f>+N19</f>
        <v>37535323.093303367</v>
      </c>
      <c r="S11" s="262">
        <f>+R11*'Rate Class Energy Model'!$F$25</f>
        <v>39359539.795637913</v>
      </c>
    </row>
    <row r="12" spans="1:19" ht="12.9" thickBot="1" x14ac:dyDescent="0.35">
      <c r="E12" s="377">
        <v>2015</v>
      </c>
      <c r="F12" s="378"/>
      <c r="G12" s="378"/>
      <c r="H12" s="378"/>
      <c r="I12" s="378"/>
      <c r="J12" s="378"/>
      <c r="K12" s="251">
        <f>+N56/2</f>
        <v>8009370.8303874787</v>
      </c>
      <c r="L12" s="251">
        <f>+K12*2</f>
        <v>16018741.660774957</v>
      </c>
      <c r="M12" s="251">
        <f>+L12</f>
        <v>16018741.660774957</v>
      </c>
      <c r="N12" s="251">
        <f>+M12</f>
        <v>16018741.660774957</v>
      </c>
      <c r="O12" s="382">
        <f>+R56</f>
        <v>16018741.660774957</v>
      </c>
      <c r="Q12" s="278" t="s">
        <v>233</v>
      </c>
      <c r="R12" s="264">
        <f>+O19</f>
        <v>51619214.758125916</v>
      </c>
      <c r="S12" s="338">
        <f>+R12*'Rate Class Energy Model'!$F$25</f>
        <v>54127908.595370837</v>
      </c>
    </row>
    <row r="13" spans="1:19" x14ac:dyDescent="0.3">
      <c r="E13" s="377">
        <v>2016</v>
      </c>
      <c r="F13" s="378"/>
      <c r="G13" s="378"/>
      <c r="H13" s="378"/>
      <c r="I13" s="378"/>
      <c r="J13" s="378"/>
      <c r="K13" s="251"/>
      <c r="L13" s="251">
        <f>+O57/2</f>
        <v>4393950.9800401656</v>
      </c>
      <c r="M13" s="251">
        <f>+L13*2</f>
        <v>8787901.9600803312</v>
      </c>
      <c r="N13" s="251">
        <f>+M13</f>
        <v>8787901.9600803312</v>
      </c>
      <c r="O13" s="382">
        <f>+R57</f>
        <v>8787901.9600803312</v>
      </c>
    </row>
    <row r="14" spans="1:19" x14ac:dyDescent="0.3">
      <c r="E14" s="377">
        <v>2017</v>
      </c>
      <c r="F14" s="378"/>
      <c r="G14" s="378"/>
      <c r="H14" s="378"/>
      <c r="I14" s="378"/>
      <c r="J14" s="378"/>
      <c r="K14" s="251"/>
      <c r="L14" s="251"/>
      <c r="M14" s="251">
        <f>+P58/2</f>
        <v>3276975.4559605257</v>
      </c>
      <c r="N14" s="251">
        <f>+M14*2</f>
        <v>6553950.9119210513</v>
      </c>
      <c r="O14" s="382">
        <f>+R58</f>
        <v>6553950.9119210513</v>
      </c>
    </row>
    <row r="15" spans="1:19" x14ac:dyDescent="0.3">
      <c r="E15" s="377">
        <v>2018</v>
      </c>
      <c r="F15" s="378"/>
      <c r="G15" s="378"/>
      <c r="H15" s="378"/>
      <c r="I15" s="378"/>
      <c r="J15" s="378"/>
      <c r="K15" s="251"/>
      <c r="L15" s="251"/>
      <c r="M15" s="251"/>
      <c r="N15" s="251">
        <f>+Q59/2</f>
        <v>7039666.0605270267</v>
      </c>
      <c r="O15" s="382">
        <f>+R59</f>
        <v>14079332.121054053</v>
      </c>
    </row>
    <row r="16" spans="1:19" ht="12.9" thickBot="1" x14ac:dyDescent="0.35">
      <c r="E16" s="379">
        <v>2019</v>
      </c>
      <c r="F16" s="380"/>
      <c r="G16" s="380"/>
      <c r="H16" s="380"/>
      <c r="I16" s="380"/>
      <c r="J16" s="380"/>
      <c r="K16" s="291"/>
      <c r="L16" s="291"/>
      <c r="M16" s="291"/>
      <c r="N16" s="291"/>
      <c r="O16" s="383">
        <f>+R60/2</f>
        <v>7044225.6042955248</v>
      </c>
    </row>
    <row r="17" spans="1:20" ht="12.9" thickBot="1" x14ac:dyDescent="0.35">
      <c r="E17" s="381" t="s">
        <v>276</v>
      </c>
      <c r="F17" s="384">
        <f>SUM(F7:F16)</f>
        <v>23940408.65980842</v>
      </c>
      <c r="G17" s="384">
        <f>SUM(G7:G16)</f>
        <v>24031420.388500731</v>
      </c>
      <c r="H17" s="384">
        <f>SUM(H7:H16)</f>
        <v>26941455.038343191</v>
      </c>
      <c r="I17" s="384">
        <f>SUM(I7:I16)</f>
        <v>31398966.957313739</v>
      </c>
      <c r="J17" s="384">
        <f t="shared" ref="J17:O17" si="4">SUM(J11:J16)</f>
        <v>3713000</v>
      </c>
      <c r="K17" s="385">
        <f t="shared" si="4"/>
        <v>11722370.830387479</v>
      </c>
      <c r="L17" s="385">
        <f t="shared" si="4"/>
        <v>24125692.640815124</v>
      </c>
      <c r="M17" s="385">
        <f t="shared" si="4"/>
        <v>31796619.076815814</v>
      </c>
      <c r="N17" s="385">
        <f t="shared" si="4"/>
        <v>42113260.593303367</v>
      </c>
      <c r="O17" s="387">
        <f t="shared" si="4"/>
        <v>56197152.258125916</v>
      </c>
    </row>
    <row r="18" spans="1:20" ht="12.9" thickBot="1" x14ac:dyDescent="0.35">
      <c r="E18" s="381" t="s">
        <v>277</v>
      </c>
      <c r="F18" s="378"/>
      <c r="G18" s="378"/>
      <c r="H18" s="378"/>
      <c r="I18" s="378"/>
      <c r="J18" s="378"/>
      <c r="K18" s="251">
        <f>+LED!G46</f>
        <v>667133.85228640214</v>
      </c>
      <c r="L18" s="251">
        <f>+LED!G60</f>
        <v>4100036.0822803853</v>
      </c>
      <c r="M18" s="251">
        <f>+LED!G74</f>
        <v>4577937.5</v>
      </c>
      <c r="N18" s="251">
        <f>+M18</f>
        <v>4577937.5</v>
      </c>
      <c r="O18" s="382">
        <f>+N18</f>
        <v>4577937.5</v>
      </c>
    </row>
    <row r="19" spans="1:20" ht="12.9" thickBot="1" x14ac:dyDescent="0.35">
      <c r="E19" s="381" t="s">
        <v>278</v>
      </c>
      <c r="F19" s="386">
        <f t="shared" ref="F19:O19" si="5">+F17-F18</f>
        <v>23940408.65980842</v>
      </c>
      <c r="G19" s="386">
        <f t="shared" si="5"/>
        <v>24031420.388500731</v>
      </c>
      <c r="H19" s="386">
        <f t="shared" si="5"/>
        <v>26941455.038343191</v>
      </c>
      <c r="I19" s="386">
        <f t="shared" si="5"/>
        <v>31398966.957313739</v>
      </c>
      <c r="J19" s="386">
        <f t="shared" si="5"/>
        <v>3713000</v>
      </c>
      <c r="K19" s="264">
        <f t="shared" si="5"/>
        <v>11055236.978101077</v>
      </c>
      <c r="L19" s="264">
        <f t="shared" si="5"/>
        <v>20025656.558534738</v>
      </c>
      <c r="M19" s="264">
        <f t="shared" si="5"/>
        <v>27218681.576815814</v>
      </c>
      <c r="N19" s="264">
        <f t="shared" si="5"/>
        <v>37535323.093303367</v>
      </c>
      <c r="O19" s="388">
        <f t="shared" si="5"/>
        <v>51619214.758125916</v>
      </c>
    </row>
    <row r="23" spans="1:20" ht="15.9" thickBot="1" x14ac:dyDescent="0.35">
      <c r="A23" s="73" t="s">
        <v>84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</row>
    <row r="24" spans="1:20" ht="24.9" x14ac:dyDescent="0.3">
      <c r="A24" s="347" t="s">
        <v>85</v>
      </c>
      <c r="B24" s="348" t="s">
        <v>86</v>
      </c>
      <c r="C24" s="348" t="s">
        <v>87</v>
      </c>
      <c r="D24" s="349"/>
      <c r="E24" s="350">
        <v>2006</v>
      </c>
      <c r="F24" s="350">
        <f>E24+1</f>
        <v>2007</v>
      </c>
      <c r="G24" s="350">
        <f t="shared" ref="G24:T24" si="6">F24+1</f>
        <v>2008</v>
      </c>
      <c r="H24" s="350">
        <f t="shared" si="6"/>
        <v>2009</v>
      </c>
      <c r="I24" s="350">
        <f t="shared" si="6"/>
        <v>2010</v>
      </c>
      <c r="J24" s="350">
        <f t="shared" si="6"/>
        <v>2011</v>
      </c>
      <c r="K24" s="350">
        <f t="shared" si="6"/>
        <v>2012</v>
      </c>
      <c r="L24" s="350">
        <f t="shared" si="6"/>
        <v>2013</v>
      </c>
      <c r="M24" s="350">
        <f t="shared" si="6"/>
        <v>2014</v>
      </c>
      <c r="N24" s="350">
        <f t="shared" si="6"/>
        <v>2015</v>
      </c>
      <c r="O24" s="350">
        <f t="shared" si="6"/>
        <v>2016</v>
      </c>
      <c r="P24" s="350">
        <f t="shared" si="6"/>
        <v>2017</v>
      </c>
      <c r="Q24" s="350">
        <f t="shared" si="6"/>
        <v>2018</v>
      </c>
      <c r="R24" s="350">
        <f t="shared" si="6"/>
        <v>2019</v>
      </c>
      <c r="S24" s="350">
        <f t="shared" si="6"/>
        <v>2020</v>
      </c>
      <c r="T24" s="351">
        <f t="shared" si="6"/>
        <v>2021</v>
      </c>
    </row>
    <row r="25" spans="1:20" x14ac:dyDescent="0.3">
      <c r="A25" s="359"/>
      <c r="B25" s="75"/>
      <c r="C25" s="75"/>
      <c r="D25" s="75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360"/>
    </row>
    <row r="26" spans="1:20" x14ac:dyDescent="0.3">
      <c r="A26" s="352">
        <v>1</v>
      </c>
      <c r="B26" s="76" t="s">
        <v>88</v>
      </c>
      <c r="C26" s="77" t="s">
        <v>89</v>
      </c>
      <c r="D26" s="75"/>
      <c r="E26" s="78">
        <v>4361.6262111155238</v>
      </c>
      <c r="F26" s="79">
        <v>4361.6262111155238</v>
      </c>
      <c r="G26" s="79">
        <v>4361.6262111155238</v>
      </c>
      <c r="H26" s="79">
        <v>4361.6262111155238</v>
      </c>
      <c r="I26" s="79">
        <v>757.51789534210593</v>
      </c>
      <c r="J26" s="79">
        <v>757.51789534210593</v>
      </c>
      <c r="K26" s="79">
        <v>692.92263556019986</v>
      </c>
      <c r="L26" s="79">
        <v>692.92263556019986</v>
      </c>
      <c r="M26" s="79">
        <v>651.10757751410972</v>
      </c>
      <c r="N26" s="79">
        <v>651.10757751410972</v>
      </c>
      <c r="O26" s="79">
        <v>615.15304069904016</v>
      </c>
      <c r="P26" s="79">
        <v>615.15304069904016</v>
      </c>
      <c r="Q26" s="79">
        <v>615.15304069904016</v>
      </c>
      <c r="R26" s="79">
        <v>615.15304069904016</v>
      </c>
      <c r="S26" s="79">
        <v>556.82900059720487</v>
      </c>
      <c r="T26" s="361">
        <v>484.00425723934239</v>
      </c>
    </row>
    <row r="27" spans="1:20" x14ac:dyDescent="0.3">
      <c r="A27" s="354">
        <f>A26+1</f>
        <v>2</v>
      </c>
      <c r="B27" s="80" t="s">
        <v>90</v>
      </c>
      <c r="C27" s="81" t="s">
        <v>89</v>
      </c>
      <c r="D27" s="75"/>
      <c r="E27" s="82">
        <v>0</v>
      </c>
      <c r="F27" s="83">
        <v>2127.1429349556674</v>
      </c>
      <c r="G27" s="83">
        <v>2107.866777260087</v>
      </c>
      <c r="H27" s="83">
        <v>2107.866777260087</v>
      </c>
      <c r="I27" s="83">
        <v>2107.866777260087</v>
      </c>
      <c r="J27" s="83">
        <v>2107.7115059523994</v>
      </c>
      <c r="K27" s="83">
        <v>2041.9241361636698</v>
      </c>
      <c r="L27" s="83">
        <v>2041.9241361636698</v>
      </c>
      <c r="M27" s="83">
        <v>2041.9241361636698</v>
      </c>
      <c r="N27" s="83">
        <v>623.74141071566078</v>
      </c>
      <c r="O27" s="83">
        <v>515.84576550932638</v>
      </c>
      <c r="P27" s="83">
        <v>273.48108927619552</v>
      </c>
      <c r="Q27" s="83">
        <v>273.48108927619552</v>
      </c>
      <c r="R27" s="83">
        <v>273.48108927619552</v>
      </c>
      <c r="S27" s="83">
        <v>273.48108927619552</v>
      </c>
      <c r="T27" s="362">
        <v>273.48108927619552</v>
      </c>
    </row>
    <row r="28" spans="1:20" x14ac:dyDescent="0.3">
      <c r="A28" s="356">
        <f>A27+1</f>
        <v>3</v>
      </c>
      <c r="B28" s="84" t="s">
        <v>91</v>
      </c>
      <c r="C28" s="85" t="s">
        <v>89</v>
      </c>
      <c r="D28" s="75"/>
      <c r="E28" s="86">
        <v>0</v>
      </c>
      <c r="F28" s="87">
        <v>0</v>
      </c>
      <c r="G28" s="87">
        <v>12530.058480092956</v>
      </c>
      <c r="H28" s="87">
        <v>11855.51168622548</v>
      </c>
      <c r="I28" s="87">
        <v>11843.974199225479</v>
      </c>
      <c r="J28" s="87">
        <v>11843.974199225479</v>
      </c>
      <c r="K28" s="87">
        <v>11626.537302265524</v>
      </c>
      <c r="L28" s="87">
        <v>11626.076322265524</v>
      </c>
      <c r="M28" s="87">
        <v>11400.133673868217</v>
      </c>
      <c r="N28" s="87">
        <v>11231.335382708021</v>
      </c>
      <c r="O28" s="87">
        <v>10617.989690133236</v>
      </c>
      <c r="P28" s="87">
        <v>10371.387888842775</v>
      </c>
      <c r="Q28" s="87">
        <v>10228.972576730534</v>
      </c>
      <c r="R28" s="87">
        <v>10228.972576730534</v>
      </c>
      <c r="S28" s="87">
        <v>10207.341549654349</v>
      </c>
      <c r="T28" s="363">
        <v>10186.812614035698</v>
      </c>
    </row>
    <row r="29" spans="1:20" x14ac:dyDescent="0.3">
      <c r="A29" s="163">
        <f>A28+1</f>
        <v>4</v>
      </c>
      <c r="B29" s="88" t="s">
        <v>92</v>
      </c>
      <c r="C29" s="89" t="s">
        <v>89</v>
      </c>
      <c r="D29" s="75"/>
      <c r="E29" s="90">
        <v>0</v>
      </c>
      <c r="F29" s="91">
        <v>0</v>
      </c>
      <c r="G29" s="91">
        <v>0</v>
      </c>
      <c r="H29" s="91">
        <v>6169.1855876229893</v>
      </c>
      <c r="I29" s="91">
        <v>5473.3517879807496</v>
      </c>
      <c r="J29" s="91">
        <v>5473.3517879807496</v>
      </c>
      <c r="K29" s="91">
        <v>5470.4215471606612</v>
      </c>
      <c r="L29" s="91">
        <v>5399.6062799003594</v>
      </c>
      <c r="M29" s="91">
        <v>5174.7152525331849</v>
      </c>
      <c r="N29" s="91">
        <v>5058.830027611778</v>
      </c>
      <c r="O29" s="91">
        <v>5056.3014951693413</v>
      </c>
      <c r="P29" s="91">
        <v>3659.9294549050305</v>
      </c>
      <c r="Q29" s="91">
        <v>2068.522701753719</v>
      </c>
      <c r="R29" s="91">
        <v>1723.728895764556</v>
      </c>
      <c r="S29" s="91">
        <v>625.4707410176112</v>
      </c>
      <c r="T29" s="364">
        <v>563.13381735360963</v>
      </c>
    </row>
    <row r="30" spans="1:20" ht="12.9" thickBot="1" x14ac:dyDescent="0.35">
      <c r="A30" s="166" t="s">
        <v>9</v>
      </c>
      <c r="B30" s="167"/>
      <c r="C30" s="168"/>
      <c r="D30" s="169"/>
      <c r="E30" s="170">
        <f t="shared" ref="E30:T30" si="7">SUM(E26:E29)</f>
        <v>4361.6262111155238</v>
      </c>
      <c r="F30" s="170">
        <f t="shared" si="7"/>
        <v>6488.7691460711912</v>
      </c>
      <c r="G30" s="170">
        <f t="shared" si="7"/>
        <v>18999.551468468566</v>
      </c>
      <c r="H30" s="170">
        <f t="shared" si="7"/>
        <v>24494.190262224081</v>
      </c>
      <c r="I30" s="170">
        <f t="shared" si="7"/>
        <v>20182.710659808421</v>
      </c>
      <c r="J30" s="170">
        <f t="shared" si="7"/>
        <v>20182.555388500732</v>
      </c>
      <c r="K30" s="170">
        <f t="shared" si="7"/>
        <v>19831.805621150055</v>
      </c>
      <c r="L30" s="170">
        <f t="shared" si="7"/>
        <v>19760.529373889753</v>
      </c>
      <c r="M30" s="170">
        <f t="shared" si="7"/>
        <v>19267.88064007918</v>
      </c>
      <c r="N30" s="170">
        <f t="shared" si="7"/>
        <v>17565.014398549571</v>
      </c>
      <c r="O30" s="170">
        <f t="shared" si="7"/>
        <v>16805.289991510945</v>
      </c>
      <c r="P30" s="170">
        <f t="shared" si="7"/>
        <v>14919.95147372304</v>
      </c>
      <c r="Q30" s="170">
        <f t="shared" si="7"/>
        <v>13186.129408459488</v>
      </c>
      <c r="R30" s="170">
        <f t="shared" si="7"/>
        <v>12841.335602470326</v>
      </c>
      <c r="S30" s="170">
        <f t="shared" si="7"/>
        <v>11663.122380545361</v>
      </c>
      <c r="T30" s="171">
        <f t="shared" si="7"/>
        <v>11507.431777904845</v>
      </c>
    </row>
    <row r="33" spans="1:20" ht="15.9" thickBot="1" x14ac:dyDescent="0.35">
      <c r="A33" s="73" t="s">
        <v>93</v>
      </c>
    </row>
    <row r="34" spans="1:20" ht="24.9" x14ac:dyDescent="0.3">
      <c r="A34" s="347" t="s">
        <v>85</v>
      </c>
      <c r="B34" s="348" t="s">
        <v>86</v>
      </c>
      <c r="C34" s="348" t="s">
        <v>87</v>
      </c>
      <c r="D34" s="349"/>
      <c r="E34" s="350">
        <v>2006</v>
      </c>
      <c r="F34" s="350">
        <f>E34+1</f>
        <v>2007</v>
      </c>
      <c r="G34" s="350">
        <f t="shared" ref="G34:T34" si="8">F34+1</f>
        <v>2008</v>
      </c>
      <c r="H34" s="350">
        <f t="shared" si="8"/>
        <v>2009</v>
      </c>
      <c r="I34" s="350">
        <f t="shared" si="8"/>
        <v>2010</v>
      </c>
      <c r="J34" s="350">
        <f t="shared" si="8"/>
        <v>2011</v>
      </c>
      <c r="K34" s="350">
        <f t="shared" si="8"/>
        <v>2012</v>
      </c>
      <c r="L34" s="350">
        <f t="shared" si="8"/>
        <v>2013</v>
      </c>
      <c r="M34" s="350">
        <f t="shared" si="8"/>
        <v>2014</v>
      </c>
      <c r="N34" s="350">
        <f t="shared" si="8"/>
        <v>2015</v>
      </c>
      <c r="O34" s="350">
        <f t="shared" si="8"/>
        <v>2016</v>
      </c>
      <c r="P34" s="350">
        <f t="shared" si="8"/>
        <v>2017</v>
      </c>
      <c r="Q34" s="350">
        <f t="shared" si="8"/>
        <v>2018</v>
      </c>
      <c r="R34" s="350">
        <f t="shared" si="8"/>
        <v>2019</v>
      </c>
      <c r="S34" s="350">
        <f t="shared" si="8"/>
        <v>2020</v>
      </c>
      <c r="T34" s="351">
        <f t="shared" si="8"/>
        <v>2021</v>
      </c>
    </row>
    <row r="35" spans="1:20" x14ac:dyDescent="0.3">
      <c r="A35" s="352">
        <v>1</v>
      </c>
      <c r="B35" s="76" t="s">
        <v>88</v>
      </c>
      <c r="C35" s="77" t="s">
        <v>89</v>
      </c>
      <c r="D35" s="164"/>
      <c r="E35" s="78">
        <f>+E26*1000</f>
        <v>4361626.2111155242</v>
      </c>
      <c r="F35" s="78">
        <f t="shared" ref="F35:T38" si="9">+F26*1000</f>
        <v>4361626.2111155242</v>
      </c>
      <c r="G35" s="78">
        <f t="shared" si="9"/>
        <v>4361626.2111155242</v>
      </c>
      <c r="H35" s="78">
        <f t="shared" si="9"/>
        <v>4361626.2111155242</v>
      </c>
      <c r="I35" s="78">
        <f t="shared" si="9"/>
        <v>757517.89534210588</v>
      </c>
      <c r="J35" s="78">
        <f t="shared" si="9"/>
        <v>757517.89534210588</v>
      </c>
      <c r="K35" s="78">
        <f t="shared" si="9"/>
        <v>692922.63556019985</v>
      </c>
      <c r="L35" s="78">
        <f t="shared" si="9"/>
        <v>692922.63556019985</v>
      </c>
      <c r="M35" s="78">
        <f t="shared" si="9"/>
        <v>651107.57751410967</v>
      </c>
      <c r="N35" s="78">
        <f t="shared" si="9"/>
        <v>651107.57751410967</v>
      </c>
      <c r="O35" s="78">
        <f t="shared" si="9"/>
        <v>615153.04069904017</v>
      </c>
      <c r="P35" s="78">
        <f t="shared" si="9"/>
        <v>615153.04069904017</v>
      </c>
      <c r="Q35" s="78">
        <f t="shared" si="9"/>
        <v>615153.04069904017</v>
      </c>
      <c r="R35" s="78">
        <f t="shared" si="9"/>
        <v>615153.04069904017</v>
      </c>
      <c r="S35" s="78">
        <f t="shared" si="9"/>
        <v>556829.0005972049</v>
      </c>
      <c r="T35" s="353">
        <f t="shared" si="9"/>
        <v>484004.25723934238</v>
      </c>
    </row>
    <row r="36" spans="1:20" x14ac:dyDescent="0.3">
      <c r="A36" s="354">
        <f>A35+1</f>
        <v>2</v>
      </c>
      <c r="B36" s="80" t="s">
        <v>90</v>
      </c>
      <c r="C36" s="81" t="s">
        <v>89</v>
      </c>
      <c r="D36" s="164"/>
      <c r="E36" s="82">
        <f>+E27*1000</f>
        <v>0</v>
      </c>
      <c r="F36" s="82">
        <f t="shared" si="9"/>
        <v>2127142.9349556672</v>
      </c>
      <c r="G36" s="82">
        <f t="shared" si="9"/>
        <v>2107866.777260087</v>
      </c>
      <c r="H36" s="82">
        <f t="shared" si="9"/>
        <v>2107866.777260087</v>
      </c>
      <c r="I36" s="82">
        <f t="shared" si="9"/>
        <v>2107866.777260087</v>
      </c>
      <c r="J36" s="82">
        <f t="shared" si="9"/>
        <v>2107711.5059523992</v>
      </c>
      <c r="K36" s="82">
        <f t="shared" si="9"/>
        <v>2041924.1361636699</v>
      </c>
      <c r="L36" s="82">
        <f t="shared" si="9"/>
        <v>2041924.1361636699</v>
      </c>
      <c r="M36" s="82">
        <f t="shared" si="9"/>
        <v>2041924.1361636699</v>
      </c>
      <c r="N36" s="82">
        <f t="shared" si="9"/>
        <v>623741.41071566078</v>
      </c>
      <c r="O36" s="82">
        <f t="shared" si="9"/>
        <v>515845.76550932636</v>
      </c>
      <c r="P36" s="82">
        <f t="shared" si="9"/>
        <v>273481.0892761955</v>
      </c>
      <c r="Q36" s="82">
        <f t="shared" si="9"/>
        <v>273481.0892761955</v>
      </c>
      <c r="R36" s="82">
        <f t="shared" si="9"/>
        <v>273481.0892761955</v>
      </c>
      <c r="S36" s="82">
        <f t="shared" si="9"/>
        <v>273481.0892761955</v>
      </c>
      <c r="T36" s="355">
        <f t="shared" si="9"/>
        <v>273481.0892761955</v>
      </c>
    </row>
    <row r="37" spans="1:20" x14ac:dyDescent="0.3">
      <c r="A37" s="356">
        <f>A36+1</f>
        <v>3</v>
      </c>
      <c r="B37" s="84" t="s">
        <v>91</v>
      </c>
      <c r="C37" s="85" t="s">
        <v>89</v>
      </c>
      <c r="D37" s="164"/>
      <c r="E37" s="86">
        <f>+E28*1000</f>
        <v>0</v>
      </c>
      <c r="F37" s="86">
        <f t="shared" si="9"/>
        <v>0</v>
      </c>
      <c r="G37" s="86">
        <f t="shared" si="9"/>
        <v>12530058.480092956</v>
      </c>
      <c r="H37" s="86">
        <f t="shared" si="9"/>
        <v>11855511.686225479</v>
      </c>
      <c r="I37" s="86">
        <f t="shared" si="9"/>
        <v>11843974.199225478</v>
      </c>
      <c r="J37" s="86">
        <f t="shared" si="9"/>
        <v>11843974.199225478</v>
      </c>
      <c r="K37" s="86">
        <f t="shared" si="9"/>
        <v>11626537.302265525</v>
      </c>
      <c r="L37" s="86">
        <f t="shared" si="9"/>
        <v>11626076.322265524</v>
      </c>
      <c r="M37" s="86">
        <f t="shared" si="9"/>
        <v>11400133.673868217</v>
      </c>
      <c r="N37" s="86">
        <f t="shared" si="9"/>
        <v>11231335.382708021</v>
      </c>
      <c r="O37" s="86">
        <f t="shared" si="9"/>
        <v>10617989.690133236</v>
      </c>
      <c r="P37" s="86">
        <f t="shared" si="9"/>
        <v>10371387.888842775</v>
      </c>
      <c r="Q37" s="86">
        <f t="shared" si="9"/>
        <v>10228972.576730534</v>
      </c>
      <c r="R37" s="86">
        <f t="shared" si="9"/>
        <v>10228972.576730534</v>
      </c>
      <c r="S37" s="86">
        <f t="shared" si="9"/>
        <v>10207341.54965435</v>
      </c>
      <c r="T37" s="357">
        <f t="shared" si="9"/>
        <v>10186812.614035698</v>
      </c>
    </row>
    <row r="38" spans="1:20" x14ac:dyDescent="0.3">
      <c r="A38" s="163">
        <f>A37+1</f>
        <v>4</v>
      </c>
      <c r="B38" s="88" t="s">
        <v>92</v>
      </c>
      <c r="C38" s="89" t="s">
        <v>89</v>
      </c>
      <c r="D38" s="164"/>
      <c r="E38" s="90">
        <f>+E29*1000</f>
        <v>0</v>
      </c>
      <c r="F38" s="90">
        <f t="shared" si="9"/>
        <v>0</v>
      </c>
      <c r="G38" s="90">
        <f t="shared" si="9"/>
        <v>0</v>
      </c>
      <c r="H38" s="90">
        <f t="shared" si="9"/>
        <v>6169185.587622989</v>
      </c>
      <c r="I38" s="90">
        <f t="shared" si="9"/>
        <v>5473351.7879807493</v>
      </c>
      <c r="J38" s="90">
        <f t="shared" si="9"/>
        <v>5473351.7879807493</v>
      </c>
      <c r="K38" s="90">
        <f t="shared" si="9"/>
        <v>5470421.5471606608</v>
      </c>
      <c r="L38" s="90">
        <f t="shared" si="9"/>
        <v>5399606.279900359</v>
      </c>
      <c r="M38" s="90">
        <f t="shared" si="9"/>
        <v>5174715.2525331853</v>
      </c>
      <c r="N38" s="90">
        <f t="shared" si="9"/>
        <v>5058830.0276117781</v>
      </c>
      <c r="O38" s="90">
        <f t="shared" si="9"/>
        <v>5056301.4951693416</v>
      </c>
      <c r="P38" s="90">
        <f t="shared" si="9"/>
        <v>3659929.4549050303</v>
      </c>
      <c r="Q38" s="90">
        <f t="shared" si="9"/>
        <v>2068522.701753719</v>
      </c>
      <c r="R38" s="90">
        <f t="shared" si="9"/>
        <v>1723728.895764556</v>
      </c>
      <c r="S38" s="90">
        <f t="shared" si="9"/>
        <v>625470.74101761123</v>
      </c>
      <c r="T38" s="358">
        <f t="shared" si="9"/>
        <v>563133.8173536096</v>
      </c>
    </row>
    <row r="39" spans="1:20" x14ac:dyDescent="0.3">
      <c r="A39" s="163">
        <f>A38+1</f>
        <v>5</v>
      </c>
      <c r="B39" s="88" t="s">
        <v>94</v>
      </c>
      <c r="C39" s="89" t="s">
        <v>89</v>
      </c>
      <c r="D39" s="164"/>
      <c r="E39" s="90">
        <v>0</v>
      </c>
      <c r="F39" s="90">
        <v>0</v>
      </c>
      <c r="G39" s="90">
        <v>0</v>
      </c>
      <c r="H39" s="90">
        <v>0</v>
      </c>
      <c r="I39" s="90">
        <v>3757698</v>
      </c>
      <c r="J39" s="90">
        <v>2556865</v>
      </c>
      <c r="K39" s="90">
        <v>2550000</v>
      </c>
      <c r="L39" s="90">
        <v>2549000</v>
      </c>
      <c r="M39" s="90">
        <v>2480000</v>
      </c>
      <c r="N39" s="90">
        <v>2165000</v>
      </c>
      <c r="O39" s="90">
        <v>2141000</v>
      </c>
      <c r="P39" s="90">
        <v>1829000</v>
      </c>
      <c r="Q39" s="90">
        <v>1180000</v>
      </c>
      <c r="R39" s="90">
        <v>785000</v>
      </c>
      <c r="S39" s="90">
        <f t="shared" ref="S39:T39" si="10">+R39</f>
        <v>785000</v>
      </c>
      <c r="T39" s="358">
        <f t="shared" si="10"/>
        <v>785000</v>
      </c>
    </row>
    <row r="40" spans="1:20" ht="12.9" thickBot="1" x14ac:dyDescent="0.35">
      <c r="A40" s="166" t="s">
        <v>9</v>
      </c>
      <c r="B40" s="167"/>
      <c r="C40" s="168"/>
      <c r="D40" s="169"/>
      <c r="E40" s="170">
        <f>SUM(E35:E39)</f>
        <v>4361626.2111155242</v>
      </c>
      <c r="F40" s="170">
        <f t="shared" ref="F40:T40" si="11">SUM(F35:F39)</f>
        <v>6488769.1460711919</v>
      </c>
      <c r="G40" s="170">
        <f t="shared" si="11"/>
        <v>18999551.468468569</v>
      </c>
      <c r="H40" s="170">
        <f t="shared" si="11"/>
        <v>24494190.262224082</v>
      </c>
      <c r="I40" s="170">
        <f t="shared" si="11"/>
        <v>23940408.65980842</v>
      </c>
      <c r="J40" s="170">
        <f t="shared" si="11"/>
        <v>22739420.388500731</v>
      </c>
      <c r="K40" s="170">
        <f t="shared" si="11"/>
        <v>22381805.621150054</v>
      </c>
      <c r="L40" s="170">
        <f t="shared" si="11"/>
        <v>22309529.373889752</v>
      </c>
      <c r="M40" s="170">
        <f t="shared" si="11"/>
        <v>21747880.640079182</v>
      </c>
      <c r="N40" s="170">
        <f t="shared" si="11"/>
        <v>19730014.398549568</v>
      </c>
      <c r="O40" s="170">
        <f t="shared" si="11"/>
        <v>18946289.991510943</v>
      </c>
      <c r="P40" s="170">
        <f t="shared" si="11"/>
        <v>16748951.473723039</v>
      </c>
      <c r="Q40" s="170">
        <f t="shared" si="11"/>
        <v>14366129.408459488</v>
      </c>
      <c r="R40" s="170">
        <f t="shared" si="11"/>
        <v>13626335.602470325</v>
      </c>
      <c r="S40" s="170">
        <f t="shared" si="11"/>
        <v>12448122.380545361</v>
      </c>
      <c r="T40" s="171">
        <f t="shared" si="11"/>
        <v>12292431.777904846</v>
      </c>
    </row>
    <row r="43" spans="1:20" ht="15.9" thickBot="1" x14ac:dyDescent="0.45">
      <c r="A43" s="367" t="s">
        <v>96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9"/>
      <c r="O43" s="368"/>
      <c r="P43" s="368"/>
      <c r="Q43" s="368"/>
      <c r="R43" s="368"/>
      <c r="S43" s="368"/>
    </row>
    <row r="44" spans="1:20" ht="24.9" x14ac:dyDescent="0.3">
      <c r="A44" s="347" t="s">
        <v>85</v>
      </c>
      <c r="B44" s="348" t="s">
        <v>86</v>
      </c>
      <c r="C44" s="348" t="s">
        <v>87</v>
      </c>
      <c r="D44" s="349"/>
      <c r="E44" s="350">
        <v>2006</v>
      </c>
      <c r="F44" s="350">
        <f>E44+1</f>
        <v>2007</v>
      </c>
      <c r="G44" s="350">
        <f t="shared" ref="G44:N44" si="12">F44+1</f>
        <v>2008</v>
      </c>
      <c r="H44" s="350">
        <f t="shared" si="12"/>
        <v>2009</v>
      </c>
      <c r="I44" s="350">
        <f t="shared" si="12"/>
        <v>2010</v>
      </c>
      <c r="J44" s="365">
        <f t="shared" si="12"/>
        <v>2011</v>
      </c>
      <c r="K44" s="365">
        <f t="shared" si="12"/>
        <v>2012</v>
      </c>
      <c r="L44" s="365">
        <f t="shared" si="12"/>
        <v>2013</v>
      </c>
      <c r="M44" s="365">
        <f t="shared" si="12"/>
        <v>2014</v>
      </c>
      <c r="N44" s="365">
        <f t="shared" si="12"/>
        <v>2015</v>
      </c>
      <c r="O44" s="350">
        <f t="shared" ref="O44" si="13">N44+1</f>
        <v>2016</v>
      </c>
      <c r="P44" s="350">
        <f t="shared" ref="P44" si="14">O44+1</f>
        <v>2017</v>
      </c>
      <c r="Q44" s="350">
        <f t="shared" ref="Q44" si="15">P44+1</f>
        <v>2018</v>
      </c>
      <c r="R44" s="350">
        <f t="shared" ref="R44" si="16">Q44+1</f>
        <v>2019</v>
      </c>
      <c r="S44" s="351" t="s">
        <v>9</v>
      </c>
    </row>
    <row r="45" spans="1:20" x14ac:dyDescent="0.3">
      <c r="A45" s="163">
        <v>1</v>
      </c>
      <c r="B45" s="92" t="s">
        <v>98</v>
      </c>
      <c r="C45" s="341" t="s">
        <v>220</v>
      </c>
      <c r="D45" s="164"/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342">
        <v>2584000</v>
      </c>
      <c r="K45" s="342">
        <f t="shared" ref="K45:R45" si="17">J45*K63</f>
        <v>2562149.417193138</v>
      </c>
      <c r="L45" s="342">
        <f t="shared" si="17"/>
        <v>2540483.6052721115</v>
      </c>
      <c r="M45" s="342">
        <f t="shared" si="17"/>
        <v>2516049.896933347</v>
      </c>
      <c r="N45" s="342">
        <f t="shared" si="17"/>
        <v>2393864.7538477653</v>
      </c>
      <c r="O45" s="342">
        <f t="shared" si="17"/>
        <v>2114650.3082580441</v>
      </c>
      <c r="P45" s="342">
        <f t="shared" si="17"/>
        <v>1775179.4012030358</v>
      </c>
      <c r="Q45" s="342">
        <f t="shared" si="17"/>
        <v>1488993.519085088</v>
      </c>
      <c r="R45" s="342">
        <f t="shared" si="17"/>
        <v>1235307.4208164066</v>
      </c>
      <c r="S45" s="366">
        <f>SUM(E45:R45)</f>
        <v>19210678.322608937</v>
      </c>
    </row>
    <row r="46" spans="1:20" x14ac:dyDescent="0.3">
      <c r="A46" s="163">
        <f t="shared" ref="A46:A49" si="18">A45+1</f>
        <v>2</v>
      </c>
      <c r="B46" s="92" t="s">
        <v>99</v>
      </c>
      <c r="C46" s="341" t="s">
        <v>220</v>
      </c>
      <c r="D46" s="164"/>
      <c r="E46" s="94">
        <v>0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342">
        <v>3995000</v>
      </c>
      <c r="L46" s="342">
        <f>K46*L64</f>
        <v>3924953.9781518746</v>
      </c>
      <c r="M46" s="342">
        <f t="shared" ref="M46:R46" si="19">L46*M64</f>
        <v>3800044.6055374094</v>
      </c>
      <c r="N46" s="342">
        <f t="shared" si="19"/>
        <v>3543479.4329183633</v>
      </c>
      <c r="O46" s="342">
        <f t="shared" si="19"/>
        <v>3154511.5859724586</v>
      </c>
      <c r="P46" s="342">
        <f t="shared" si="19"/>
        <v>2522270.488040776</v>
      </c>
      <c r="Q46" s="342">
        <f t="shared" si="19"/>
        <v>1949487.9976426857</v>
      </c>
      <c r="R46" s="342">
        <f t="shared" si="19"/>
        <v>1505780.8760472187</v>
      </c>
      <c r="S46" s="366">
        <f t="shared" ref="S46:S49" si="20">SUM(E46:R46)</f>
        <v>24395528.964310784</v>
      </c>
    </row>
    <row r="47" spans="1:20" x14ac:dyDescent="0.3">
      <c r="A47" s="163">
        <f t="shared" si="18"/>
        <v>3</v>
      </c>
      <c r="B47" s="92" t="s">
        <v>100</v>
      </c>
      <c r="C47" s="341" t="s">
        <v>273</v>
      </c>
      <c r="D47" s="164"/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342">
        <v>5248000</v>
      </c>
      <c r="M47" s="342">
        <f>L47*M65</f>
        <v>5163469.1902769916</v>
      </c>
      <c r="N47" s="342">
        <f t="shared" ref="N47:R47" si="21">M47*N65</f>
        <v>5015308.0573407756</v>
      </c>
      <c r="O47" s="342">
        <f t="shared" si="21"/>
        <v>4634806.6485508932</v>
      </c>
      <c r="P47" s="342">
        <f t="shared" si="21"/>
        <v>3741778.3900143262</v>
      </c>
      <c r="Q47" s="342">
        <f t="shared" si="21"/>
        <v>2719565.5009593228</v>
      </c>
      <c r="R47" s="342">
        <f t="shared" si="21"/>
        <v>1975180.853132403</v>
      </c>
      <c r="S47" s="366">
        <f t="shared" si="20"/>
        <v>28498108.640274711</v>
      </c>
    </row>
    <row r="48" spans="1:20" x14ac:dyDescent="0.3">
      <c r="A48" s="163">
        <f t="shared" si="18"/>
        <v>4</v>
      </c>
      <c r="B48" s="92" t="s">
        <v>101</v>
      </c>
      <c r="C48" s="93" t="s">
        <v>97</v>
      </c>
      <c r="D48" s="164"/>
      <c r="E48" s="94">
        <v>0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342">
        <v>7426000</v>
      </c>
      <c r="N48" s="342">
        <f>+M48</f>
        <v>7426000</v>
      </c>
      <c r="O48" s="342">
        <f t="shared" ref="O48:O49" si="22">N48</f>
        <v>7426000</v>
      </c>
      <c r="P48" s="342">
        <f t="shared" ref="P48:P49" si="23">O48</f>
        <v>7426000</v>
      </c>
      <c r="Q48" s="342">
        <f t="shared" ref="Q48:Q49" si="24">P48</f>
        <v>7426000</v>
      </c>
      <c r="R48" s="342">
        <f t="shared" ref="R48:R49" si="25">Q48</f>
        <v>7426000</v>
      </c>
      <c r="S48" s="366">
        <f t="shared" si="20"/>
        <v>44556000</v>
      </c>
    </row>
    <row r="49" spans="1:19" x14ac:dyDescent="0.3">
      <c r="A49" s="163">
        <f t="shared" si="18"/>
        <v>5</v>
      </c>
      <c r="B49" s="92" t="s">
        <v>102</v>
      </c>
      <c r="C49" s="341" t="s">
        <v>97</v>
      </c>
      <c r="D49" s="164"/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342">
        <f>+N69</f>
        <v>16018741.660774957</v>
      </c>
      <c r="O49" s="342">
        <f t="shared" si="22"/>
        <v>16018741.660774957</v>
      </c>
      <c r="P49" s="342">
        <f t="shared" si="23"/>
        <v>16018741.660774957</v>
      </c>
      <c r="Q49" s="342">
        <f t="shared" si="24"/>
        <v>16018741.660774957</v>
      </c>
      <c r="R49" s="342">
        <f t="shared" si="25"/>
        <v>16018741.660774957</v>
      </c>
      <c r="S49" s="366">
        <f t="shared" si="20"/>
        <v>80093708.303874791</v>
      </c>
    </row>
    <row r="50" spans="1:19" ht="12.9" thickBot="1" x14ac:dyDescent="0.35">
      <c r="A50" s="166" t="s">
        <v>9</v>
      </c>
      <c r="B50" s="167"/>
      <c r="C50" s="168"/>
      <c r="D50" s="169"/>
      <c r="E50" s="170">
        <f t="shared" ref="E50:S50" si="26">SUM(E45:E49)</f>
        <v>0</v>
      </c>
      <c r="F50" s="170">
        <f t="shared" si="26"/>
        <v>0</v>
      </c>
      <c r="G50" s="170">
        <f t="shared" si="26"/>
        <v>0</v>
      </c>
      <c r="H50" s="170">
        <f t="shared" si="26"/>
        <v>0</v>
      </c>
      <c r="I50" s="170">
        <f t="shared" si="26"/>
        <v>0</v>
      </c>
      <c r="J50" s="170">
        <f t="shared" si="26"/>
        <v>2584000</v>
      </c>
      <c r="K50" s="170">
        <f t="shared" si="26"/>
        <v>6557149.417193138</v>
      </c>
      <c r="L50" s="170">
        <f t="shared" si="26"/>
        <v>11713437.583423987</v>
      </c>
      <c r="M50" s="170">
        <f t="shared" si="26"/>
        <v>18905563.692747749</v>
      </c>
      <c r="N50" s="170">
        <f>SUM(N45:N49)</f>
        <v>34397393.904881865</v>
      </c>
      <c r="O50" s="170">
        <f t="shared" si="26"/>
        <v>33348710.203556355</v>
      </c>
      <c r="P50" s="170">
        <f t="shared" si="26"/>
        <v>31483969.940033093</v>
      </c>
      <c r="Q50" s="170">
        <f t="shared" si="26"/>
        <v>29602788.678462055</v>
      </c>
      <c r="R50" s="170">
        <f t="shared" si="26"/>
        <v>28161010.810770985</v>
      </c>
      <c r="S50" s="171">
        <f t="shared" si="26"/>
        <v>196754024.23106921</v>
      </c>
    </row>
    <row r="51" spans="1:19" ht="14.6" x14ac:dyDescent="0.4">
      <c r="K51" s="343" t="s">
        <v>312</v>
      </c>
    </row>
    <row r="53" spans="1:19" ht="15.9" thickBot="1" x14ac:dyDescent="0.45">
      <c r="A53" s="236" t="s">
        <v>96</v>
      </c>
      <c r="B53" s="368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9"/>
      <c r="O53" s="368"/>
      <c r="P53" s="368"/>
      <c r="Q53" s="368"/>
      <c r="R53" s="368"/>
      <c r="S53" s="368"/>
    </row>
    <row r="54" spans="1:19" ht="24.9" x14ac:dyDescent="0.3">
      <c r="A54" s="347" t="s">
        <v>85</v>
      </c>
      <c r="B54" s="348" t="s">
        <v>86</v>
      </c>
      <c r="C54" s="348" t="s">
        <v>87</v>
      </c>
      <c r="D54" s="349"/>
      <c r="E54" s="350">
        <v>2006</v>
      </c>
      <c r="F54" s="350">
        <f>E54+1</f>
        <v>2007</v>
      </c>
      <c r="G54" s="350">
        <f t="shared" ref="G54:R54" si="27">F54+1</f>
        <v>2008</v>
      </c>
      <c r="H54" s="350">
        <f t="shared" si="27"/>
        <v>2009</v>
      </c>
      <c r="I54" s="350">
        <f t="shared" si="27"/>
        <v>2010</v>
      </c>
      <c r="J54" s="365">
        <f t="shared" si="27"/>
        <v>2011</v>
      </c>
      <c r="K54" s="365">
        <f t="shared" si="27"/>
        <v>2012</v>
      </c>
      <c r="L54" s="365">
        <f t="shared" si="27"/>
        <v>2013</v>
      </c>
      <c r="M54" s="365">
        <f>L54+1</f>
        <v>2014</v>
      </c>
      <c r="N54" s="365">
        <f t="shared" si="27"/>
        <v>2015</v>
      </c>
      <c r="O54" s="365">
        <f t="shared" si="27"/>
        <v>2016</v>
      </c>
      <c r="P54" s="365">
        <f t="shared" si="27"/>
        <v>2017</v>
      </c>
      <c r="Q54" s="365">
        <f t="shared" si="27"/>
        <v>2018</v>
      </c>
      <c r="R54" s="365">
        <f t="shared" si="27"/>
        <v>2019</v>
      </c>
      <c r="S54" s="376" t="s">
        <v>9</v>
      </c>
    </row>
    <row r="55" spans="1:19" x14ac:dyDescent="0.3">
      <c r="A55" s="163">
        <v>1</v>
      </c>
      <c r="B55" s="92" t="s">
        <v>101</v>
      </c>
      <c r="C55" s="93" t="s">
        <v>97</v>
      </c>
      <c r="D55" s="164"/>
      <c r="E55" s="94">
        <v>0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>
        <v>0</v>
      </c>
      <c r="M55" s="342">
        <f>+M48</f>
        <v>7426000</v>
      </c>
      <c r="N55" s="342">
        <f>+M55</f>
        <v>7426000</v>
      </c>
      <c r="O55" s="342">
        <f t="shared" ref="O55:R56" si="28">+N55</f>
        <v>7426000</v>
      </c>
      <c r="P55" s="342">
        <f t="shared" si="28"/>
        <v>7426000</v>
      </c>
      <c r="Q55" s="342">
        <f t="shared" si="28"/>
        <v>7426000</v>
      </c>
      <c r="R55" s="342">
        <f t="shared" si="28"/>
        <v>7426000</v>
      </c>
      <c r="S55" s="165">
        <f>SUM(E55:R55)</f>
        <v>44556000</v>
      </c>
    </row>
    <row r="56" spans="1:19" x14ac:dyDescent="0.3">
      <c r="A56" s="163">
        <f t="shared" ref="A56:A60" si="29">A55+1</f>
        <v>2</v>
      </c>
      <c r="B56" s="92" t="s">
        <v>102</v>
      </c>
      <c r="C56" s="93" t="s">
        <v>97</v>
      </c>
      <c r="D56" s="164"/>
      <c r="E56" s="94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342">
        <f>+N49</f>
        <v>16018741.660774957</v>
      </c>
      <c r="O56" s="342">
        <f>+N56</f>
        <v>16018741.660774957</v>
      </c>
      <c r="P56" s="342">
        <f t="shared" si="28"/>
        <v>16018741.660774957</v>
      </c>
      <c r="Q56" s="342">
        <f t="shared" si="28"/>
        <v>16018741.660774957</v>
      </c>
      <c r="R56" s="342">
        <f t="shared" si="28"/>
        <v>16018741.660774957</v>
      </c>
      <c r="S56" s="165">
        <f t="shared" ref="S56:S60" si="30">SUM(E56:R56)</f>
        <v>80093708.303874791</v>
      </c>
    </row>
    <row r="57" spans="1:19" x14ac:dyDescent="0.3">
      <c r="A57" s="163">
        <f>A56+1</f>
        <v>3</v>
      </c>
      <c r="B57" s="92" t="s">
        <v>219</v>
      </c>
      <c r="C57" s="93" t="s">
        <v>97</v>
      </c>
      <c r="D57" s="164"/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342">
        <f>+O69</f>
        <v>8787901.9600803312</v>
      </c>
      <c r="P57" s="342">
        <f>O57</f>
        <v>8787901.9600803312</v>
      </c>
      <c r="Q57" s="342">
        <f t="shared" ref="Q57:R57" si="31">P57</f>
        <v>8787901.9600803312</v>
      </c>
      <c r="R57" s="342">
        <f t="shared" si="31"/>
        <v>8787901.9600803312</v>
      </c>
      <c r="S57" s="165">
        <f t="shared" si="30"/>
        <v>35151607.840321325</v>
      </c>
    </row>
    <row r="58" spans="1:19" x14ac:dyDescent="0.3">
      <c r="A58" s="163">
        <f t="shared" si="29"/>
        <v>4</v>
      </c>
      <c r="B58" s="92" t="s">
        <v>221</v>
      </c>
      <c r="C58" s="93" t="s">
        <v>97</v>
      </c>
      <c r="D58" s="164"/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342">
        <f>+P69</f>
        <v>6553950.9119210513</v>
      </c>
      <c r="Q58" s="342">
        <f>P58</f>
        <v>6553950.9119210513</v>
      </c>
      <c r="R58" s="342">
        <f>Q58</f>
        <v>6553950.9119210513</v>
      </c>
      <c r="S58" s="165">
        <f t="shared" si="30"/>
        <v>19661852.735763155</v>
      </c>
    </row>
    <row r="59" spans="1:19" x14ac:dyDescent="0.3">
      <c r="A59" s="163">
        <f t="shared" si="29"/>
        <v>5</v>
      </c>
      <c r="B59" s="92" t="s">
        <v>222</v>
      </c>
      <c r="C59" s="93" t="s">
        <v>97</v>
      </c>
      <c r="D59" s="164"/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94">
        <v>0</v>
      </c>
      <c r="P59" s="94">
        <v>0</v>
      </c>
      <c r="Q59" s="342">
        <f>+Q69</f>
        <v>14079332.121054053</v>
      </c>
      <c r="R59" s="342">
        <f>Q59</f>
        <v>14079332.121054053</v>
      </c>
      <c r="S59" s="165">
        <f t="shared" si="30"/>
        <v>28158664.242108107</v>
      </c>
    </row>
    <row r="60" spans="1:19" ht="12.9" thickBot="1" x14ac:dyDescent="0.35">
      <c r="A60" s="370">
        <f t="shared" si="29"/>
        <v>6</v>
      </c>
      <c r="B60" s="371" t="s">
        <v>223</v>
      </c>
      <c r="C60" s="372" t="s">
        <v>97</v>
      </c>
      <c r="D60" s="368"/>
      <c r="E60" s="373">
        <v>0</v>
      </c>
      <c r="F60" s="373">
        <v>0</v>
      </c>
      <c r="G60" s="373">
        <v>0</v>
      </c>
      <c r="H60" s="373">
        <v>0</v>
      </c>
      <c r="I60" s="373">
        <v>0</v>
      </c>
      <c r="J60" s="373">
        <v>0</v>
      </c>
      <c r="K60" s="373">
        <v>0</v>
      </c>
      <c r="L60" s="373">
        <v>0</v>
      </c>
      <c r="M60" s="373">
        <v>0</v>
      </c>
      <c r="N60" s="373">
        <v>0</v>
      </c>
      <c r="O60" s="373">
        <v>0</v>
      </c>
      <c r="P60" s="373">
        <v>0</v>
      </c>
      <c r="Q60" s="373">
        <v>0</v>
      </c>
      <c r="R60" s="374">
        <f>+R69</f>
        <v>14088451.20859105</v>
      </c>
      <c r="S60" s="375">
        <f t="shared" si="30"/>
        <v>14088451.20859105</v>
      </c>
    </row>
    <row r="61" spans="1:19" ht="12.9" thickBot="1" x14ac:dyDescent="0.35"/>
    <row r="62" spans="1:19" x14ac:dyDescent="0.3">
      <c r="J62" s="434" t="s">
        <v>306</v>
      </c>
      <c r="K62" s="365">
        <v>2012</v>
      </c>
      <c r="L62" s="365">
        <v>2013</v>
      </c>
      <c r="M62" s="365">
        <v>2014</v>
      </c>
      <c r="N62" s="365">
        <v>2015</v>
      </c>
      <c r="O62" s="365">
        <v>2016</v>
      </c>
      <c r="P62" s="365">
        <v>2017</v>
      </c>
      <c r="Q62" s="365">
        <v>2018</v>
      </c>
      <c r="R62" s="376">
        <v>2019</v>
      </c>
    </row>
    <row r="63" spans="1:19" x14ac:dyDescent="0.3">
      <c r="J63" s="435" t="s">
        <v>98</v>
      </c>
      <c r="K63" s="436">
        <v>0.99154389210260752</v>
      </c>
      <c r="L63" s="436">
        <v>0.99154389210260752</v>
      </c>
      <c r="M63" s="436">
        <v>0.9903822609647791</v>
      </c>
      <c r="N63" s="436">
        <v>0.95143771066126093</v>
      </c>
      <c r="O63" s="436">
        <v>0.8833624810503905</v>
      </c>
      <c r="P63" s="436">
        <v>0.83946711863927548</v>
      </c>
      <c r="Q63" s="436">
        <v>0.83878481131315508</v>
      </c>
      <c r="R63" s="439">
        <v>0.82962578747518068</v>
      </c>
    </row>
    <row r="64" spans="1:19" x14ac:dyDescent="0.3">
      <c r="J64" s="435" t="s">
        <v>99</v>
      </c>
      <c r="K64" s="436"/>
      <c r="L64" s="436">
        <v>0.98246657776016888</v>
      </c>
      <c r="M64" s="436">
        <v>0.96817558287058425</v>
      </c>
      <c r="N64" s="436">
        <v>0.93248364183799826</v>
      </c>
      <c r="O64" s="436">
        <v>0.89022996907151353</v>
      </c>
      <c r="P64" s="436">
        <v>0.79957559809158907</v>
      </c>
      <c r="Q64" s="436">
        <v>0.77290996619358987</v>
      </c>
      <c r="R64" s="439">
        <v>0.7723981260043683</v>
      </c>
    </row>
    <row r="65" spans="10:18" ht="12.9" thickBot="1" x14ac:dyDescent="0.35">
      <c r="J65" s="437" t="s">
        <v>100</v>
      </c>
      <c r="K65" s="438"/>
      <c r="L65" s="438"/>
      <c r="M65" s="438">
        <v>0.98389275729363412</v>
      </c>
      <c r="N65" s="438">
        <v>0.97130589387166122</v>
      </c>
      <c r="O65" s="438">
        <v>0.9241319965913255</v>
      </c>
      <c r="P65" s="438">
        <v>0.80732135636860303</v>
      </c>
      <c r="Q65" s="438">
        <v>0.72681094856312711</v>
      </c>
      <c r="R65" s="440">
        <v>0.72628544980279419</v>
      </c>
    </row>
    <row r="66" spans="10:18" ht="12.9" thickBot="1" x14ac:dyDescent="0.35"/>
    <row r="67" spans="10:18" x14ac:dyDescent="0.3">
      <c r="J67" s="441" t="s">
        <v>313</v>
      </c>
      <c r="K67" s="442"/>
      <c r="L67" s="443"/>
      <c r="M67" s="443"/>
      <c r="N67" s="365">
        <v>2015</v>
      </c>
      <c r="O67" s="365">
        <v>2016</v>
      </c>
      <c r="P67" s="365">
        <v>2017</v>
      </c>
      <c r="Q67" s="365">
        <v>2018</v>
      </c>
      <c r="R67" s="376">
        <v>2019</v>
      </c>
    </row>
    <row r="68" spans="10:18" x14ac:dyDescent="0.3">
      <c r="J68" s="515" t="s">
        <v>314</v>
      </c>
      <c r="K68" s="516"/>
      <c r="L68" s="283"/>
      <c r="M68" s="283"/>
      <c r="N68" s="444">
        <v>16018.741660774958</v>
      </c>
      <c r="O68" s="444">
        <v>8787.9019600803313</v>
      </c>
      <c r="P68" s="444">
        <v>6553.9509119210516</v>
      </c>
      <c r="Q68" s="444">
        <v>14079.332121054053</v>
      </c>
      <c r="R68" s="445">
        <v>14088.45120859105</v>
      </c>
    </row>
    <row r="69" spans="10:18" x14ac:dyDescent="0.3">
      <c r="J69" s="515" t="s">
        <v>315</v>
      </c>
      <c r="K69" s="516"/>
      <c r="L69" s="283"/>
      <c r="M69" s="283"/>
      <c r="N69" s="444">
        <f>+N68*1000</f>
        <v>16018741.660774957</v>
      </c>
      <c r="O69" s="444">
        <f t="shared" ref="O69:R69" si="32">+O68*1000</f>
        <v>8787901.9600803312</v>
      </c>
      <c r="P69" s="444">
        <f t="shared" si="32"/>
        <v>6553950.9119210513</v>
      </c>
      <c r="Q69" s="444">
        <f t="shared" si="32"/>
        <v>14079332.121054053</v>
      </c>
      <c r="R69" s="445">
        <f t="shared" si="32"/>
        <v>14088451.20859105</v>
      </c>
    </row>
    <row r="70" spans="10:18" ht="12.9" thickBot="1" x14ac:dyDescent="0.35">
      <c r="J70" s="517" t="s">
        <v>316</v>
      </c>
      <c r="K70" s="518"/>
      <c r="L70" s="446"/>
      <c r="M70" s="446"/>
      <c r="N70" s="447"/>
      <c r="O70" s="447">
        <f>+O69+N69</f>
        <v>24806643.620855287</v>
      </c>
      <c r="P70" s="447">
        <f>+P69+O70</f>
        <v>31360594.532776337</v>
      </c>
      <c r="Q70" s="447">
        <f>+Q69+P70</f>
        <v>45439926.653830394</v>
      </c>
      <c r="R70" s="448">
        <f>+R69+Q70</f>
        <v>59528377.862421446</v>
      </c>
    </row>
  </sheetData>
  <mergeCells count="5">
    <mergeCell ref="E5:E6"/>
    <mergeCell ref="F5:O5"/>
    <mergeCell ref="J68:K68"/>
    <mergeCell ref="J69:K69"/>
    <mergeCell ref="J70:K70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workbookViewId="0">
      <pane xSplit="1" ySplit="4" topLeftCell="B38" activePane="bottomRight" state="frozen"/>
      <selection pane="topRight"/>
      <selection pane="bottomLeft"/>
      <selection pane="bottomRight" activeCell="F45" sqref="F45"/>
    </sheetView>
  </sheetViews>
  <sheetFormatPr defaultRowHeight="12.45" x14ac:dyDescent="0.3"/>
  <cols>
    <col min="1" max="1" width="32.69140625" customWidth="1"/>
    <col min="2" max="2" width="13.3828125" style="1" bestFit="1" customWidth="1"/>
    <col min="3" max="3" width="12.69140625" style="1" bestFit="1" customWidth="1"/>
    <col min="4" max="4" width="13.53515625" style="1" customWidth="1"/>
    <col min="5" max="5" width="12.69140625" style="1" customWidth="1"/>
    <col min="6" max="6" width="13" style="1" customWidth="1"/>
    <col min="7" max="7" width="12.69140625" style="1" bestFit="1" customWidth="1"/>
    <col min="8" max="9" width="12.84375" style="1" customWidth="1"/>
    <col min="10" max="16" width="12.84375" style="182" customWidth="1"/>
    <col min="17" max="17" width="13.3828125" style="23" bestFit="1" customWidth="1"/>
    <col min="18" max="18" width="14.15234375" style="1" bestFit="1" customWidth="1"/>
    <col min="19" max="19" width="2.3828125" customWidth="1"/>
    <col min="20" max="20" width="3" customWidth="1"/>
    <col min="21" max="21" width="32.69140625" customWidth="1"/>
    <col min="22" max="22" width="13" style="4" customWidth="1"/>
    <col min="23" max="23" width="12.69140625" style="4" bestFit="1" customWidth="1"/>
    <col min="24" max="25" width="12.84375" style="4" customWidth="1"/>
    <col min="26" max="26" width="13.3828125" style="133" bestFit="1" customWidth="1"/>
    <col min="27" max="27" width="14.15234375" style="4" bestFit="1" customWidth="1"/>
  </cols>
  <sheetData>
    <row r="1" spans="1:27" ht="15.45" x14ac:dyDescent="0.4">
      <c r="A1" s="40" t="s">
        <v>217</v>
      </c>
      <c r="U1" s="40" t="s">
        <v>113</v>
      </c>
    </row>
    <row r="2" spans="1:27" ht="12.9" thickBot="1" x14ac:dyDescent="0.35"/>
    <row r="3" spans="1:27" x14ac:dyDescent="0.3">
      <c r="A3" s="227"/>
      <c r="B3" s="494" t="s">
        <v>206</v>
      </c>
      <c r="C3" s="492"/>
      <c r="D3" s="492"/>
      <c r="E3" s="492"/>
      <c r="F3" s="492"/>
      <c r="G3" s="492"/>
      <c r="H3" s="492"/>
      <c r="I3" s="492"/>
      <c r="J3" s="492"/>
      <c r="K3" s="492"/>
      <c r="L3" s="493"/>
      <c r="M3" s="494" t="s">
        <v>207</v>
      </c>
      <c r="N3" s="492"/>
      <c r="O3" s="492"/>
      <c r="P3" s="492"/>
      <c r="Q3" s="492"/>
      <c r="R3" s="495"/>
    </row>
    <row r="4" spans="1:27" ht="24.9" x14ac:dyDescent="0.3">
      <c r="A4" s="228" t="s">
        <v>112</v>
      </c>
      <c r="B4" s="205">
        <v>2003</v>
      </c>
      <c r="C4" s="206">
        <v>2004</v>
      </c>
      <c r="D4" s="206">
        <v>2005</v>
      </c>
      <c r="E4" s="206">
        <v>2006</v>
      </c>
      <c r="F4" s="206">
        <v>2007</v>
      </c>
      <c r="G4" s="206">
        <v>2008</v>
      </c>
      <c r="H4" s="206">
        <v>2009</v>
      </c>
      <c r="I4" s="206">
        <v>2010</v>
      </c>
      <c r="J4" s="206">
        <v>2011</v>
      </c>
      <c r="K4" s="206">
        <v>2012</v>
      </c>
      <c r="L4" s="207">
        <v>2013</v>
      </c>
      <c r="M4" s="205">
        <v>2014</v>
      </c>
      <c r="N4" s="206">
        <v>2015</v>
      </c>
      <c r="O4" s="206">
        <v>2016</v>
      </c>
      <c r="P4" s="206">
        <v>2017</v>
      </c>
      <c r="Q4" s="206">
        <v>2018</v>
      </c>
      <c r="R4" s="229">
        <v>2019</v>
      </c>
      <c r="U4" s="160" t="s">
        <v>112</v>
      </c>
      <c r="V4" s="161" t="s">
        <v>114</v>
      </c>
      <c r="W4" s="161" t="s">
        <v>58</v>
      </c>
      <c r="X4" s="161" t="s">
        <v>61</v>
      </c>
      <c r="Y4" s="161" t="s">
        <v>67</v>
      </c>
      <c r="Z4" s="161" t="s">
        <v>62</v>
      </c>
      <c r="AA4" s="161" t="s">
        <v>68</v>
      </c>
    </row>
    <row r="5" spans="1:27" x14ac:dyDescent="0.3">
      <c r="A5" s="230" t="s">
        <v>52</v>
      </c>
      <c r="B5" s="214">
        <f>+'Chart III'!B5</f>
        <v>1232724170</v>
      </c>
      <c r="C5" s="214">
        <f>+'Chart III'!C5</f>
        <v>1178441190</v>
      </c>
      <c r="D5" s="214">
        <f>+'Chart III'!D5</f>
        <v>1174501350</v>
      </c>
      <c r="E5" s="214">
        <f>+'Chart III'!E5</f>
        <v>1151360440</v>
      </c>
      <c r="F5" s="214">
        <f>+'Chart III'!F5</f>
        <v>1191153590</v>
      </c>
      <c r="G5" s="214">
        <f>+'Chart III'!G5</f>
        <v>1158881926</v>
      </c>
      <c r="H5" s="214">
        <f>+'Chart III'!H5</f>
        <v>1128390784.5107694</v>
      </c>
      <c r="I5" s="214">
        <f>+'Chart III'!I5</f>
        <v>1148489331.8146157</v>
      </c>
      <c r="J5" s="214">
        <f>+'Chart III'!J5</f>
        <v>1148632387.3953846</v>
      </c>
      <c r="K5" s="214">
        <f>+'Chart III'!K5</f>
        <v>1136211952.670979</v>
      </c>
      <c r="L5" s="214">
        <f>+'Chart III'!L5</f>
        <v>1130407041.6666667</v>
      </c>
      <c r="M5" s="211"/>
      <c r="N5" s="212"/>
      <c r="O5" s="212"/>
      <c r="P5" s="212"/>
      <c r="Q5" s="212"/>
      <c r="R5" s="231"/>
      <c r="U5" s="141" t="s">
        <v>52</v>
      </c>
      <c r="V5" s="142">
        <v>1192455603</v>
      </c>
      <c r="W5" s="142">
        <f t="shared" ref="W5:Y7" si="0">G5</f>
        <v>1158881926</v>
      </c>
      <c r="X5" s="142">
        <f t="shared" si="0"/>
        <v>1128390784.5107694</v>
      </c>
      <c r="Y5" s="142">
        <f t="shared" si="0"/>
        <v>1148489331.8146157</v>
      </c>
      <c r="Z5" s="143"/>
      <c r="AA5" s="144"/>
    </row>
    <row r="6" spans="1:27" x14ac:dyDescent="0.3">
      <c r="A6" s="230" t="s">
        <v>53</v>
      </c>
      <c r="B6" s="214">
        <f>+'Chart III'!B6</f>
        <v>1206627694.1608171</v>
      </c>
      <c r="C6" s="214">
        <f>+'Chart III'!C6</f>
        <v>1193979451.6981936</v>
      </c>
      <c r="D6" s="214">
        <f>+'Chart III'!D6</f>
        <v>1203979720.1338103</v>
      </c>
      <c r="E6" s="214">
        <f>+'Chart III'!E6</f>
        <v>1167569771.1626649</v>
      </c>
      <c r="F6" s="214">
        <f>+'Chart III'!F6</f>
        <v>1143276288.5600548</v>
      </c>
      <c r="G6" s="214">
        <f>+'Chart III'!G6</f>
        <v>1104122225.6612682</v>
      </c>
      <c r="H6" s="214">
        <f>+'Chart III'!H6</f>
        <v>1123059224.0894532</v>
      </c>
      <c r="I6" s="214">
        <f>+'Chart III'!I6</f>
        <v>1129587697.9506867</v>
      </c>
      <c r="J6" s="214">
        <f>+'Chart III'!J6</f>
        <v>1161830633.4946833</v>
      </c>
      <c r="K6" s="214">
        <f>+'Chart III'!K6</f>
        <v>1150989222.1932878</v>
      </c>
      <c r="L6" s="214">
        <f ca="1">+'Chart III'!L6</f>
        <v>1157767974.9881625</v>
      </c>
      <c r="M6" s="213">
        <f>+'Chart III'!M6</f>
        <v>1171374402.7386408</v>
      </c>
      <c r="N6" s="214">
        <f ca="1">+'Chart III'!N6</f>
        <v>1155695984.2165191</v>
      </c>
      <c r="O6" s="214">
        <f ca="1">+'Chart III'!O6</f>
        <v>1159527660.9021561</v>
      </c>
      <c r="P6" s="214">
        <f ca="1">+'Chart III'!P6</f>
        <v>1161962823.0962443</v>
      </c>
      <c r="Q6" s="214">
        <f ca="1">+'Chart III'!Q6</f>
        <v>1165591120.8811669</v>
      </c>
      <c r="R6" s="232">
        <f ca="1">+'Chart III'!R6</f>
        <v>1170084152.9105246</v>
      </c>
      <c r="U6" s="141" t="s">
        <v>53</v>
      </c>
      <c r="V6" s="142">
        <v>1119320117</v>
      </c>
      <c r="W6" s="142">
        <f t="shared" si="0"/>
        <v>1104122225.6612682</v>
      </c>
      <c r="X6" s="142">
        <f t="shared" si="0"/>
        <v>1123059224.0894532</v>
      </c>
      <c r="Y6" s="142">
        <f t="shared" si="0"/>
        <v>1129587697.9506867</v>
      </c>
      <c r="Z6" s="143">
        <f ca="1">Q6</f>
        <v>1165591120.8811669</v>
      </c>
      <c r="AA6" s="142">
        <f ca="1">R6</f>
        <v>1170084152.9105246</v>
      </c>
    </row>
    <row r="7" spans="1:27" x14ac:dyDescent="0.3">
      <c r="A7" s="230" t="s">
        <v>8</v>
      </c>
      <c r="B7" s="216">
        <f t="shared" ref="B7:I7" si="1">(B6-B5)/B5</f>
        <v>-2.1169760822636302E-2</v>
      </c>
      <c r="C7" s="216">
        <f t="shared" si="1"/>
        <v>1.3185436685383977E-2</v>
      </c>
      <c r="D7" s="216">
        <f t="shared" si="1"/>
        <v>2.5098626011634879E-2</v>
      </c>
      <c r="E7" s="216">
        <f t="shared" si="1"/>
        <v>1.4078415932603078E-2</v>
      </c>
      <c r="F7" s="216">
        <f t="shared" si="1"/>
        <v>-4.0194062161156917E-2</v>
      </c>
      <c r="G7" s="216">
        <f t="shared" si="1"/>
        <v>-4.7252182565087106E-2</v>
      </c>
      <c r="H7" s="216">
        <f t="shared" si="1"/>
        <v>-4.7249237538108078E-3</v>
      </c>
      <c r="I7" s="216">
        <f t="shared" si="1"/>
        <v>-1.645782275928015E-2</v>
      </c>
      <c r="J7" s="216">
        <f t="shared" ref="J7:L7" si="2">(J6-J5)/J5</f>
        <v>1.1490400448507977E-2</v>
      </c>
      <c r="K7" s="216">
        <f t="shared" si="2"/>
        <v>1.3005733206353608E-2</v>
      </c>
      <c r="L7" s="216">
        <f t="shared" ca="1" si="2"/>
        <v>2.4204496533527377E-2</v>
      </c>
      <c r="M7" s="215"/>
      <c r="N7" s="216"/>
      <c r="O7" s="216"/>
      <c r="P7" s="216"/>
      <c r="Q7" s="216"/>
      <c r="R7" s="233"/>
      <c r="S7" s="48"/>
      <c r="T7" s="31"/>
      <c r="U7" s="141" t="s">
        <v>8</v>
      </c>
      <c r="V7" s="145">
        <f t="shared" ref="V7" si="3">(V6-V5)/V5</f>
        <v>-6.1331831404040964E-2</v>
      </c>
      <c r="W7" s="145">
        <f t="shared" si="0"/>
        <v>-4.7252182565087106E-2</v>
      </c>
      <c r="X7" s="145">
        <f t="shared" si="0"/>
        <v>-4.7249237538108078E-3</v>
      </c>
      <c r="Y7" s="145">
        <f t="shared" si="0"/>
        <v>-1.645782275928015E-2</v>
      </c>
      <c r="Z7" s="146"/>
      <c r="AA7" s="147"/>
    </row>
    <row r="8" spans="1:27" x14ac:dyDescent="0.3">
      <c r="A8" s="230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7"/>
      <c r="N8" s="218"/>
      <c r="O8" s="218"/>
      <c r="P8" s="218"/>
      <c r="Q8" s="218"/>
      <c r="R8" s="234"/>
      <c r="U8" s="141"/>
      <c r="V8" s="148"/>
      <c r="W8" s="142"/>
      <c r="X8" s="142"/>
      <c r="Y8" s="142"/>
      <c r="Z8" s="143"/>
      <c r="AA8" s="144"/>
    </row>
    <row r="9" spans="1:27" x14ac:dyDescent="0.3">
      <c r="A9" s="230" t="s">
        <v>55</v>
      </c>
      <c r="B9" s="214">
        <f>+'Chart III'!B9</f>
        <v>1136840307.5</v>
      </c>
      <c r="C9" s="214">
        <f>+'Chart III'!C9</f>
        <v>1128300513.0634735</v>
      </c>
      <c r="D9" s="214">
        <f>+'Chart III'!D9</f>
        <v>1125931170</v>
      </c>
      <c r="E9" s="214">
        <f>+'Chart III'!E9</f>
        <v>1110963247</v>
      </c>
      <c r="F9" s="214">
        <f>+'Chart III'!F9</f>
        <v>1143760516</v>
      </c>
      <c r="G9" s="214">
        <f>+'Chart III'!G9</f>
        <v>1117251257</v>
      </c>
      <c r="H9" s="214">
        <f>+'Chart III'!H9</f>
        <v>1082664508</v>
      </c>
      <c r="I9" s="214">
        <f>+'Chart III'!I9</f>
        <v>1090938483</v>
      </c>
      <c r="J9" s="214">
        <f>+'Chart III'!J9</f>
        <v>1110518847</v>
      </c>
      <c r="K9" s="214">
        <f>+'Chart III'!K9</f>
        <v>1073783871</v>
      </c>
      <c r="L9" s="214">
        <f>+'Chart III'!L9</f>
        <v>1078161209</v>
      </c>
      <c r="M9" s="213">
        <f>+'Chart III'!M9</f>
        <v>1091642390</v>
      </c>
      <c r="N9" s="214">
        <f ca="1">+'Chart III'!N9</f>
        <v>1102042241.3540516</v>
      </c>
      <c r="O9" s="214">
        <f ca="1">+'Chart III'!O9</f>
        <v>1105604445.0975072</v>
      </c>
      <c r="P9" s="214">
        <f ca="1">+'Chart III'!P9</f>
        <v>1107833050.7016122</v>
      </c>
      <c r="Q9" s="214">
        <f ca="1">+'Chart III'!Q9</f>
        <v>1111201027.7711666</v>
      </c>
      <c r="R9" s="232">
        <f ca="1">+'Chart III'!R9</f>
        <v>1115391817.0133681</v>
      </c>
      <c r="U9" s="141" t="s">
        <v>55</v>
      </c>
      <c r="V9" s="142">
        <v>1141200155</v>
      </c>
      <c r="W9" s="142">
        <f>G9</f>
        <v>1117251257</v>
      </c>
      <c r="X9" s="142">
        <f>H9</f>
        <v>1082664508</v>
      </c>
      <c r="Y9" s="142">
        <f>I9</f>
        <v>1090938483</v>
      </c>
      <c r="Z9" s="143">
        <f ca="1">Q9</f>
        <v>1111201027.7711666</v>
      </c>
      <c r="AA9" s="142">
        <f ca="1">R9</f>
        <v>1115391817.0133681</v>
      </c>
    </row>
    <row r="10" spans="1:27" x14ac:dyDescent="0.3">
      <c r="A10" s="230" t="s">
        <v>262</v>
      </c>
      <c r="B10" s="214">
        <f>+'Chart III'!B10</f>
        <v>1376310.4427777778</v>
      </c>
      <c r="C10" s="214">
        <f>+'Chart III'!C10</f>
        <v>1359503.3072222222</v>
      </c>
      <c r="D10" s="214">
        <f>+'Chart III'!D10</f>
        <v>1235025.9316666666</v>
      </c>
      <c r="E10" s="214">
        <f>+'Chart III'!E10</f>
        <v>1231537.3194444445</v>
      </c>
      <c r="F10" s="214">
        <f>+'Chart III'!F10</f>
        <v>1262855.0222222223</v>
      </c>
      <c r="G10" s="214">
        <f>+'Chart III'!G10</f>
        <v>1231679.9805555556</v>
      </c>
      <c r="H10" s="214">
        <f>+'Chart III'!H10</f>
        <v>1167952.2</v>
      </c>
      <c r="I10" s="214">
        <f>+'Chart III'!I10</f>
        <v>1165174.4777777777</v>
      </c>
      <c r="J10" s="214">
        <f>+'Chart III'!J10</f>
        <v>1171404</v>
      </c>
      <c r="K10" s="214">
        <f>+'Chart III'!K10</f>
        <v>1146022</v>
      </c>
      <c r="L10" s="214">
        <f>+'Chart III'!L10</f>
        <v>1145530</v>
      </c>
      <c r="M10" s="213">
        <f>+'Chart III'!M10</f>
        <v>1137326</v>
      </c>
      <c r="N10" s="214">
        <f ca="1">+'Chart III'!N10</f>
        <v>1167749.3739043719</v>
      </c>
      <c r="O10" s="214">
        <f ca="1">+'Chart III'!O10</f>
        <v>1166261.4222089821</v>
      </c>
      <c r="P10" s="214">
        <f ca="1">+'Chart III'!P10</f>
        <v>1169156.6144512808</v>
      </c>
      <c r="Q10" s="214">
        <f ca="1">+'Chart III'!Q10</f>
        <v>1173433.9082862486</v>
      </c>
      <c r="R10" s="232">
        <f ca="1">+'Chart III'!R10</f>
        <v>1178527.9124127266</v>
      </c>
      <c r="U10" s="141"/>
      <c r="V10" s="142"/>
      <c r="W10" s="142"/>
      <c r="X10" s="142"/>
      <c r="Y10" s="142"/>
      <c r="Z10" s="143"/>
      <c r="AA10" s="142"/>
    </row>
    <row r="11" spans="1:27" x14ac:dyDescent="0.3">
      <c r="A11" s="230"/>
      <c r="B11" s="218"/>
      <c r="C11" s="218"/>
      <c r="D11" s="218"/>
      <c r="E11" s="218"/>
      <c r="F11" s="218"/>
      <c r="G11" s="222"/>
      <c r="H11" s="220"/>
      <c r="I11" s="220"/>
      <c r="J11" s="220"/>
      <c r="K11" s="220"/>
      <c r="L11" s="220"/>
      <c r="M11" s="219"/>
      <c r="N11" s="220"/>
      <c r="O11" s="220"/>
      <c r="P11" s="220"/>
      <c r="Q11" s="220"/>
      <c r="R11" s="235"/>
      <c r="U11" s="141"/>
      <c r="V11" s="148"/>
      <c r="W11" s="144"/>
      <c r="X11" s="149"/>
      <c r="Y11" s="149"/>
      <c r="Z11" s="149"/>
      <c r="AA11" s="144"/>
    </row>
    <row r="12" spans="1:27" ht="15.45" x14ac:dyDescent="0.4">
      <c r="A12" s="236" t="s">
        <v>54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1"/>
      <c r="N12" s="222"/>
      <c r="O12" s="222"/>
      <c r="P12" s="222"/>
      <c r="Q12" s="222"/>
      <c r="R12" s="237"/>
      <c r="U12" s="150" t="s">
        <v>54</v>
      </c>
      <c r="V12" s="151"/>
      <c r="W12" s="144"/>
      <c r="X12" s="144"/>
      <c r="Y12" s="144"/>
      <c r="Z12" s="149"/>
      <c r="AA12" s="144"/>
    </row>
    <row r="13" spans="1:27" x14ac:dyDescent="0.3">
      <c r="A13" s="238" t="str">
        <f>'Rate Class Energy Model'!H2</f>
        <v>Residential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1"/>
      <c r="N13" s="222"/>
      <c r="O13" s="222"/>
      <c r="P13" s="222"/>
      <c r="Q13" s="222"/>
      <c r="R13" s="237"/>
      <c r="U13" s="152" t="s">
        <v>71</v>
      </c>
      <c r="V13" s="151"/>
      <c r="W13" s="144"/>
      <c r="X13" s="144"/>
      <c r="Y13" s="144"/>
      <c r="Z13" s="149"/>
      <c r="AA13" s="144"/>
    </row>
    <row r="14" spans="1:27" x14ac:dyDescent="0.3">
      <c r="A14" s="239" t="s">
        <v>47</v>
      </c>
      <c r="B14" s="224">
        <f>+'Chart III'!B14</f>
        <v>43319.5</v>
      </c>
      <c r="C14" s="224">
        <f>+'Chart III'!C14</f>
        <v>43979.5</v>
      </c>
      <c r="D14" s="224">
        <f>+'Chart III'!D14</f>
        <v>44598.5</v>
      </c>
      <c r="E14" s="224">
        <f>+'Chart III'!E14</f>
        <v>45439</v>
      </c>
      <c r="F14" s="224">
        <f>+'Chart III'!F14</f>
        <v>46320</v>
      </c>
      <c r="G14" s="224">
        <f>+'Chart III'!G14</f>
        <v>47057.5</v>
      </c>
      <c r="H14" s="224">
        <f>+'Chart III'!H14</f>
        <v>47602.5</v>
      </c>
      <c r="I14" s="224">
        <f>+'Chart III'!I14</f>
        <v>48114.5</v>
      </c>
      <c r="J14" s="224">
        <f>+'Chart III'!J14</f>
        <v>48650.5</v>
      </c>
      <c r="K14" s="224">
        <f>+'Chart III'!K14</f>
        <v>49021</v>
      </c>
      <c r="L14" s="224">
        <f>+'Chart III'!L14</f>
        <v>49516</v>
      </c>
      <c r="M14" s="223">
        <f>+'Chart III'!M14</f>
        <v>50202.5</v>
      </c>
      <c r="N14" s="224">
        <f>+'Chart III'!N14</f>
        <v>50977.327408831858</v>
      </c>
      <c r="O14" s="224">
        <f>+'Chart III'!O14</f>
        <v>51741.998652925271</v>
      </c>
      <c r="P14" s="224">
        <f>+'Chart III'!P14</f>
        <v>52518.137136473488</v>
      </c>
      <c r="Q14" s="224">
        <f>+'Chart III'!Q14</f>
        <v>53515.967929119157</v>
      </c>
      <c r="R14" s="240">
        <f>+'Chart III'!R14</f>
        <v>54533.01778843104</v>
      </c>
      <c r="U14" s="153" t="s">
        <v>47</v>
      </c>
      <c r="V14" s="144">
        <v>47243</v>
      </c>
      <c r="W14" s="144">
        <f t="shared" ref="W14:Y15" si="4">G14</f>
        <v>47057.5</v>
      </c>
      <c r="X14" s="144">
        <f t="shared" si="4"/>
        <v>47602.5</v>
      </c>
      <c r="Y14" s="144">
        <f t="shared" si="4"/>
        <v>48114.5</v>
      </c>
      <c r="Z14" s="149">
        <f t="shared" ref="Z14:AA15" si="5">Q14</f>
        <v>53515.967929119157</v>
      </c>
      <c r="AA14" s="144">
        <f t="shared" si="5"/>
        <v>54533.01778843104</v>
      </c>
    </row>
    <row r="15" spans="1:27" x14ac:dyDescent="0.3">
      <c r="A15" s="239" t="s">
        <v>48</v>
      </c>
      <c r="B15" s="224">
        <f>+'Chart III'!B15</f>
        <v>457616904</v>
      </c>
      <c r="C15" s="224">
        <f>+'Chart III'!C15</f>
        <v>448138859</v>
      </c>
      <c r="D15" s="224">
        <f>+'Chart III'!D15</f>
        <v>485961504</v>
      </c>
      <c r="E15" s="224">
        <f>+'Chart III'!E15</f>
        <v>466401366</v>
      </c>
      <c r="F15" s="224">
        <f>+'Chart III'!F15</f>
        <v>473023155</v>
      </c>
      <c r="G15" s="224">
        <f>+'Chart III'!G15</f>
        <v>470718851</v>
      </c>
      <c r="H15" s="224">
        <f>+'Chart III'!H15</f>
        <v>467977819</v>
      </c>
      <c r="I15" s="224">
        <f>+'Chart III'!I15</f>
        <v>476941035</v>
      </c>
      <c r="J15" s="224">
        <f>+'Chart III'!J15</f>
        <v>484582022</v>
      </c>
      <c r="K15" s="224">
        <f>+'Chart III'!K15</f>
        <v>473288468</v>
      </c>
      <c r="L15" s="224">
        <f>+'Chart III'!L15</f>
        <v>475282449</v>
      </c>
      <c r="M15" s="223">
        <f>+'Chart III'!M15</f>
        <v>485503507</v>
      </c>
      <c r="N15" s="224">
        <f ca="1">+'Chart III'!N15</f>
        <v>488310441.84458584</v>
      </c>
      <c r="O15" s="224">
        <f ca="1">+'Chart III'!O15</f>
        <v>491380160.90018409</v>
      </c>
      <c r="P15" s="224">
        <f ca="1">+'Chart III'!P15</f>
        <v>492297000.53160763</v>
      </c>
      <c r="Q15" s="224">
        <f ca="1">+'Chart III'!Q15</f>
        <v>493730171.21752775</v>
      </c>
      <c r="R15" s="240">
        <f ca="1">+'Chart III'!R15</f>
        <v>495549475.53843433</v>
      </c>
      <c r="U15" s="153" t="s">
        <v>48</v>
      </c>
      <c r="V15" s="144">
        <v>487192399</v>
      </c>
      <c r="W15" s="144">
        <f t="shared" si="4"/>
        <v>470718851</v>
      </c>
      <c r="X15" s="144">
        <f t="shared" si="4"/>
        <v>467977819</v>
      </c>
      <c r="Y15" s="144">
        <f t="shared" si="4"/>
        <v>476941035</v>
      </c>
      <c r="Z15" s="149">
        <f t="shared" ca="1" si="5"/>
        <v>493730171.21752775</v>
      </c>
      <c r="AA15" s="144">
        <f t="shared" ca="1" si="5"/>
        <v>495549475.53843433</v>
      </c>
    </row>
    <row r="16" spans="1:27" x14ac:dyDescent="0.3">
      <c r="A16" s="239"/>
      <c r="B16" s="222"/>
      <c r="C16" s="222"/>
      <c r="D16" s="222"/>
      <c r="E16" s="222"/>
      <c r="F16" s="222"/>
      <c r="G16" s="241"/>
      <c r="H16" s="220"/>
      <c r="I16" s="220"/>
      <c r="J16" s="220"/>
      <c r="K16" s="220"/>
      <c r="L16" s="220"/>
      <c r="M16" s="219"/>
      <c r="N16" s="220"/>
      <c r="O16" s="220"/>
      <c r="P16" s="220"/>
      <c r="Q16" s="220"/>
      <c r="R16" s="235"/>
      <c r="U16" s="153"/>
      <c r="V16" s="151"/>
      <c r="W16" s="149"/>
      <c r="X16" s="149"/>
      <c r="Y16" s="149"/>
      <c r="Z16" s="149"/>
      <c r="AA16" s="154"/>
    </row>
    <row r="17" spans="1:27" x14ac:dyDescent="0.3">
      <c r="A17" s="238" t="str">
        <f>'Rate Class Energy Model'!I2</f>
        <v>GS&lt;50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1"/>
      <c r="N17" s="222"/>
      <c r="O17" s="222"/>
      <c r="P17" s="222"/>
      <c r="Q17" s="222"/>
      <c r="R17" s="237"/>
      <c r="U17" s="152" t="s">
        <v>72</v>
      </c>
      <c r="V17" s="151"/>
      <c r="W17" s="144"/>
      <c r="X17" s="144"/>
      <c r="Y17" s="144"/>
      <c r="Z17" s="149"/>
      <c r="AA17" s="144"/>
    </row>
    <row r="18" spans="1:27" x14ac:dyDescent="0.3">
      <c r="A18" s="239" t="s">
        <v>47</v>
      </c>
      <c r="B18" s="224">
        <f>+'Chart III'!B18</f>
        <v>3689</v>
      </c>
      <c r="C18" s="224">
        <f>+'Chart III'!C18</f>
        <v>3626.5</v>
      </c>
      <c r="D18" s="224">
        <f>+'Chart III'!D18</f>
        <v>3662</v>
      </c>
      <c r="E18" s="224">
        <f>+'Chart III'!E18</f>
        <v>3740.5</v>
      </c>
      <c r="F18" s="224">
        <f>+'Chart III'!F18</f>
        <v>3749</v>
      </c>
      <c r="G18" s="224">
        <f>+'Chart III'!G18</f>
        <v>3793.5</v>
      </c>
      <c r="H18" s="224">
        <f>+'Chart III'!H18</f>
        <v>3859.5</v>
      </c>
      <c r="I18" s="224">
        <f>+'Chart III'!I18</f>
        <v>3929</v>
      </c>
      <c r="J18" s="224">
        <f>+'Chart III'!J18</f>
        <v>3888.5</v>
      </c>
      <c r="K18" s="224">
        <f>+'Chart III'!K18</f>
        <v>3850.5</v>
      </c>
      <c r="L18" s="224">
        <f>+'Chart III'!L18</f>
        <v>3904.5</v>
      </c>
      <c r="M18" s="223">
        <f>+'Chart III'!M18</f>
        <v>3952.5</v>
      </c>
      <c r="N18" s="224">
        <f>+'Chart III'!N18</f>
        <v>4002.4682995893245</v>
      </c>
      <c r="O18" s="224">
        <f>+'Chart III'!O18</f>
        <v>4062.4930652948956</v>
      </c>
      <c r="P18" s="224">
        <f>+'Chart III'!P18</f>
        <v>4123.3752815686439</v>
      </c>
      <c r="Q18" s="224">
        <f>+'Chart III'!Q18</f>
        <v>4202.0159390564631</v>
      </c>
      <c r="R18" s="240">
        <f>+'Chart III'!R18</f>
        <v>4282.0160346371858</v>
      </c>
      <c r="U18" s="153" t="s">
        <v>47</v>
      </c>
      <c r="V18" s="144">
        <v>3845</v>
      </c>
      <c r="W18" s="144">
        <f t="shared" ref="W18:Y19" si="6">G18</f>
        <v>3793.5</v>
      </c>
      <c r="X18" s="144">
        <f t="shared" si="6"/>
        <v>3859.5</v>
      </c>
      <c r="Y18" s="144">
        <f t="shared" si="6"/>
        <v>3929</v>
      </c>
      <c r="Z18" s="149">
        <f t="shared" ref="Z18:AA19" si="7">Q18</f>
        <v>4202.0159390564631</v>
      </c>
      <c r="AA18" s="144">
        <f t="shared" si="7"/>
        <v>4282.0160346371858</v>
      </c>
    </row>
    <row r="19" spans="1:27" x14ac:dyDescent="0.3">
      <c r="A19" s="239" t="s">
        <v>48</v>
      </c>
      <c r="B19" s="224">
        <f>+'Chart III'!B19</f>
        <v>121224653</v>
      </c>
      <c r="C19" s="224">
        <f>+'Chart III'!C19</f>
        <v>129998490</v>
      </c>
      <c r="D19" s="224">
        <f>+'Chart III'!D19</f>
        <v>135909028</v>
      </c>
      <c r="E19" s="224">
        <f>+'Chart III'!E19</f>
        <v>134155770</v>
      </c>
      <c r="F19" s="224">
        <f>+'Chart III'!F19</f>
        <v>132346004</v>
      </c>
      <c r="G19" s="224">
        <f>+'Chart III'!G19</f>
        <v>131868017</v>
      </c>
      <c r="H19" s="224">
        <f>+'Chart III'!H19</f>
        <v>128019505</v>
      </c>
      <c r="I19" s="224">
        <f>+'Chart III'!I19</f>
        <v>131282103</v>
      </c>
      <c r="J19" s="224">
        <f>+'Chart III'!J19</f>
        <v>135695878</v>
      </c>
      <c r="K19" s="224">
        <f>+'Chart III'!K19</f>
        <v>131590801</v>
      </c>
      <c r="L19" s="224">
        <f>+'Chart III'!L19</f>
        <v>132382128</v>
      </c>
      <c r="M19" s="223">
        <f>+'Chart III'!M19</f>
        <v>133729082</v>
      </c>
      <c r="N19" s="224">
        <f ca="1">+'Chart III'!N19</f>
        <v>134064266.11914393</v>
      </c>
      <c r="O19" s="224">
        <f ca="1">+'Chart III'!O19</f>
        <v>134854491.64774501</v>
      </c>
      <c r="P19" s="224">
        <f ca="1">+'Chart III'!P19</f>
        <v>135063742.04659477</v>
      </c>
      <c r="Q19" s="224">
        <f ca="1">+'Chart III'!Q19</f>
        <v>135448704.96557888</v>
      </c>
      <c r="R19" s="240">
        <f ca="1">+'Chart III'!R19</f>
        <v>135967584.36597273</v>
      </c>
      <c r="U19" s="153" t="s">
        <v>48</v>
      </c>
      <c r="V19" s="144">
        <v>140097188</v>
      </c>
      <c r="W19" s="144">
        <f t="shared" si="6"/>
        <v>131868017</v>
      </c>
      <c r="X19" s="144">
        <f t="shared" si="6"/>
        <v>128019505</v>
      </c>
      <c r="Y19" s="144">
        <f t="shared" si="6"/>
        <v>131282103</v>
      </c>
      <c r="Z19" s="144">
        <f t="shared" ca="1" si="7"/>
        <v>135448704.96557888</v>
      </c>
      <c r="AA19" s="144">
        <f t="shared" ca="1" si="7"/>
        <v>135967584.36597273</v>
      </c>
    </row>
    <row r="20" spans="1:27" x14ac:dyDescent="0.3">
      <c r="A20" s="239"/>
      <c r="B20" s="222"/>
      <c r="C20" s="222"/>
      <c r="D20" s="222"/>
      <c r="E20" s="222"/>
      <c r="F20" s="222"/>
      <c r="G20" s="241"/>
      <c r="H20" s="220"/>
      <c r="I20" s="220"/>
      <c r="J20" s="220"/>
      <c r="K20" s="220"/>
      <c r="L20" s="220"/>
      <c r="M20" s="219"/>
      <c r="N20" s="220"/>
      <c r="O20" s="220"/>
      <c r="P20" s="220"/>
      <c r="Q20" s="220"/>
      <c r="R20" s="235"/>
      <c r="U20" s="153"/>
      <c r="V20" s="151"/>
      <c r="W20" s="149"/>
      <c r="X20" s="149"/>
      <c r="Y20" s="149"/>
      <c r="Z20" s="149"/>
      <c r="AA20" s="154"/>
    </row>
    <row r="21" spans="1:27" x14ac:dyDescent="0.3">
      <c r="A21" s="238" t="str">
        <f>'Rate Class Energy Model'!J2</f>
        <v>GS&gt;50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1"/>
      <c r="N21" s="222"/>
      <c r="O21" s="222"/>
      <c r="P21" s="222"/>
      <c r="Q21" s="222"/>
      <c r="R21" s="237"/>
      <c r="U21" s="152" t="s">
        <v>73</v>
      </c>
      <c r="V21" s="151"/>
      <c r="W21" s="144"/>
      <c r="X21" s="144"/>
      <c r="Y21" s="144"/>
      <c r="Z21" s="149"/>
      <c r="AA21" s="144"/>
    </row>
    <row r="22" spans="1:27" x14ac:dyDescent="0.3">
      <c r="A22" s="239" t="s">
        <v>47</v>
      </c>
      <c r="B22" s="224">
        <f>+'Chart III'!B22</f>
        <v>559</v>
      </c>
      <c r="C22" s="224">
        <f>+'Chart III'!C22</f>
        <v>530</v>
      </c>
      <c r="D22" s="224">
        <f>+'Chart III'!D22</f>
        <v>521.5</v>
      </c>
      <c r="E22" s="224">
        <f>+'Chart III'!E22</f>
        <v>525</v>
      </c>
      <c r="F22" s="224">
        <f>+'Chart III'!F22</f>
        <v>523</v>
      </c>
      <c r="G22" s="224">
        <f>+'Chart III'!G22</f>
        <v>533.5</v>
      </c>
      <c r="H22" s="224">
        <f>+'Chart III'!H22</f>
        <v>525</v>
      </c>
      <c r="I22" s="224">
        <f>+'Chart III'!I22</f>
        <v>512.5</v>
      </c>
      <c r="J22" s="224">
        <f>+'Chart III'!J22</f>
        <v>520.5</v>
      </c>
      <c r="K22" s="224">
        <f>+'Chart III'!K22</f>
        <v>511.5</v>
      </c>
      <c r="L22" s="224">
        <f>+'Chart III'!L22</f>
        <v>500</v>
      </c>
      <c r="M22" s="223">
        <f>+'Chart III'!M22</f>
        <v>502.5</v>
      </c>
      <c r="N22" s="224">
        <f>+'Chart III'!N22</f>
        <v>507</v>
      </c>
      <c r="O22" s="224">
        <f>+'Chart III'!O22</f>
        <v>514.6</v>
      </c>
      <c r="P22" s="224">
        <f>+'Chart III'!P22</f>
        <v>522.29999999999995</v>
      </c>
      <c r="Q22" s="224">
        <f>+'Chart III'!Q22</f>
        <v>532</v>
      </c>
      <c r="R22" s="240">
        <f>+'Chart III'!R22</f>
        <v>542</v>
      </c>
      <c r="U22" s="153" t="s">
        <v>47</v>
      </c>
      <c r="V22" s="144">
        <v>522</v>
      </c>
      <c r="W22" s="144">
        <f t="shared" ref="W22:Y24" si="8">G22</f>
        <v>533.5</v>
      </c>
      <c r="X22" s="144">
        <f t="shared" si="8"/>
        <v>525</v>
      </c>
      <c r="Y22" s="144">
        <f t="shared" si="8"/>
        <v>512.5</v>
      </c>
      <c r="Z22" s="149">
        <f t="shared" ref="Z22:AA24" si="9">Q22</f>
        <v>532</v>
      </c>
      <c r="AA22" s="144">
        <f t="shared" si="9"/>
        <v>542</v>
      </c>
    </row>
    <row r="23" spans="1:27" x14ac:dyDescent="0.3">
      <c r="A23" s="239" t="s">
        <v>48</v>
      </c>
      <c r="B23" s="224">
        <f>+'Chart III'!B23</f>
        <v>281244125.5</v>
      </c>
      <c r="C23" s="224">
        <f>+'Chart III'!C23</f>
        <v>360631980</v>
      </c>
      <c r="D23" s="224">
        <f>+'Chart III'!D23</f>
        <v>361962669</v>
      </c>
      <c r="E23" s="224">
        <f>+'Chart III'!E23</f>
        <v>357086593</v>
      </c>
      <c r="F23" s="224">
        <f>+'Chart III'!F23</f>
        <v>359144720</v>
      </c>
      <c r="G23" s="224">
        <f>+'Chart III'!G23</f>
        <v>352632150</v>
      </c>
      <c r="H23" s="224">
        <f>+'Chart III'!H23</f>
        <v>349784301</v>
      </c>
      <c r="I23" s="224">
        <f>+'Chart III'!I23</f>
        <v>355234224</v>
      </c>
      <c r="J23" s="224">
        <f>+'Chart III'!J23</f>
        <v>359534375</v>
      </c>
      <c r="K23" s="224">
        <f>+'Chart III'!K23</f>
        <v>338342507</v>
      </c>
      <c r="L23" s="224">
        <f>+'Chart III'!L23</f>
        <v>337123668</v>
      </c>
      <c r="M23" s="223">
        <f>+'Chart III'!M23</f>
        <v>336406114</v>
      </c>
      <c r="N23" s="224">
        <f ca="1">+'Chart III'!N23</f>
        <v>337307808.8671304</v>
      </c>
      <c r="O23" s="224">
        <f ca="1">+'Chart III'!O23</f>
        <v>340651147.74867117</v>
      </c>
      <c r="P23" s="224">
        <f ca="1">+'Chart III'!P23</f>
        <v>342688526.37423319</v>
      </c>
      <c r="Q23" s="224">
        <f ca="1">+'Chart III'!Q23</f>
        <v>345067783.67905658</v>
      </c>
      <c r="R23" s="240">
        <f ca="1">+'Chart III'!R23</f>
        <v>347872365.19595963</v>
      </c>
      <c r="U23" s="153" t="s">
        <v>48</v>
      </c>
      <c r="V23" s="144">
        <v>358858375</v>
      </c>
      <c r="W23" s="144">
        <f t="shared" si="8"/>
        <v>352632150</v>
      </c>
      <c r="X23" s="144">
        <f t="shared" si="8"/>
        <v>349784301</v>
      </c>
      <c r="Y23" s="144">
        <f t="shared" si="8"/>
        <v>355234224</v>
      </c>
      <c r="Z23" s="144">
        <f t="shared" ca="1" si="9"/>
        <v>345067783.67905658</v>
      </c>
      <c r="AA23" s="144">
        <f t="shared" ca="1" si="9"/>
        <v>347872365.19595963</v>
      </c>
    </row>
    <row r="24" spans="1:27" x14ac:dyDescent="0.3">
      <c r="A24" s="239" t="s">
        <v>49</v>
      </c>
      <c r="B24" s="224">
        <f>+'Chart III'!B24</f>
        <v>806199.49000000011</v>
      </c>
      <c r="C24" s="224">
        <f>+'Chart III'!C24</f>
        <v>957450.82</v>
      </c>
      <c r="D24" s="224">
        <f>+'Chart III'!D24</f>
        <v>913899.12999999989</v>
      </c>
      <c r="E24" s="224">
        <f>+'Chart III'!E24</f>
        <v>893943</v>
      </c>
      <c r="F24" s="224">
        <f>+'Chart III'!F24</f>
        <v>887017</v>
      </c>
      <c r="G24" s="224">
        <f>+'Chart III'!G24</f>
        <v>876464</v>
      </c>
      <c r="H24" s="224">
        <f>+'Chart III'!H24</f>
        <v>861503</v>
      </c>
      <c r="I24" s="226">
        <f>+'Chart III'!I24</f>
        <v>871715</v>
      </c>
      <c r="J24" s="226">
        <f>+'Chart III'!J24</f>
        <v>867070</v>
      </c>
      <c r="K24" s="226">
        <f>+'Chart III'!K24</f>
        <v>846459</v>
      </c>
      <c r="L24" s="226">
        <f>+'Chart III'!L24</f>
        <v>843160</v>
      </c>
      <c r="M24" s="225">
        <f>+'Chart III'!M24</f>
        <v>831789</v>
      </c>
      <c r="N24" s="226">
        <f ca="1">+'Chart III'!N24</f>
        <v>851954.05092458322</v>
      </c>
      <c r="O24" s="226">
        <f ca="1">+'Chart III'!O24</f>
        <v>860398.47773257422</v>
      </c>
      <c r="P24" s="226">
        <f ca="1">+'Chart III'!P24</f>
        <v>865544.379866131</v>
      </c>
      <c r="Q24" s="226">
        <f ca="1">+'Chart III'!Q24</f>
        <v>871553.78091096319</v>
      </c>
      <c r="R24" s="242">
        <f ca="1">+'Chart III'!R24</f>
        <v>878637.44313775434</v>
      </c>
      <c r="U24" s="153" t="s">
        <v>49</v>
      </c>
      <c r="V24" s="144"/>
      <c r="W24" s="144">
        <f t="shared" si="8"/>
        <v>876464</v>
      </c>
      <c r="X24" s="144">
        <f t="shared" si="8"/>
        <v>861503</v>
      </c>
      <c r="Y24" s="149">
        <f t="shared" si="8"/>
        <v>871715</v>
      </c>
      <c r="Z24" s="144">
        <f t="shared" ca="1" si="9"/>
        <v>871553.78091096319</v>
      </c>
      <c r="AA24" s="144">
        <f t="shared" ca="1" si="9"/>
        <v>878637.44313775434</v>
      </c>
    </row>
    <row r="25" spans="1:27" x14ac:dyDescent="0.3">
      <c r="A25" s="239"/>
      <c r="B25" s="222"/>
      <c r="C25" s="222"/>
      <c r="D25" s="222"/>
      <c r="E25" s="222"/>
      <c r="F25" s="222"/>
      <c r="G25" s="241"/>
      <c r="H25" s="220"/>
      <c r="I25" s="220"/>
      <c r="J25" s="220"/>
      <c r="K25" s="220"/>
      <c r="L25" s="220"/>
      <c r="M25" s="219"/>
      <c r="N25" s="220"/>
      <c r="O25" s="220"/>
      <c r="P25" s="220"/>
      <c r="Q25" s="220"/>
      <c r="R25" s="235"/>
      <c r="S25" s="23"/>
      <c r="U25" s="153"/>
      <c r="V25" s="151"/>
      <c r="W25" s="149"/>
      <c r="X25" s="149"/>
      <c r="Y25" s="149"/>
      <c r="Z25" s="149"/>
      <c r="AA25" s="149"/>
    </row>
    <row r="26" spans="1:27" x14ac:dyDescent="0.3">
      <c r="A26" s="238" t="str">
        <f>'Rate Class Energy Model'!K2</f>
        <v>Large User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1"/>
      <c r="N26" s="222"/>
      <c r="O26" s="222"/>
      <c r="P26" s="222"/>
      <c r="Q26" s="222"/>
      <c r="R26" s="237"/>
      <c r="U26" s="152" t="s">
        <v>74</v>
      </c>
      <c r="V26" s="151"/>
      <c r="W26" s="144"/>
      <c r="X26" s="144"/>
      <c r="Y26" s="144"/>
      <c r="Z26" s="149"/>
      <c r="AA26" s="144"/>
    </row>
    <row r="27" spans="1:27" x14ac:dyDescent="0.3">
      <c r="A27" s="239" t="s">
        <v>47</v>
      </c>
      <c r="B27" s="224">
        <f>+'Chart III'!B27</f>
        <v>2.5</v>
      </c>
      <c r="C27" s="224">
        <f>+'Chart III'!C27</f>
        <v>2.5</v>
      </c>
      <c r="D27" s="224">
        <f>+'Chart III'!D27</f>
        <v>2</v>
      </c>
      <c r="E27" s="224">
        <f>+'Chart III'!E27</f>
        <v>2</v>
      </c>
      <c r="F27" s="224">
        <f>+'Chart III'!F27</f>
        <v>2</v>
      </c>
      <c r="G27" s="224">
        <f>+'Chart III'!G27</f>
        <v>2.5</v>
      </c>
      <c r="H27" s="224">
        <f>+'Chart III'!H27</f>
        <v>2</v>
      </c>
      <c r="I27" s="226">
        <f>+'Chart III'!I27</f>
        <v>1</v>
      </c>
      <c r="J27" s="224">
        <f>+'Chart III'!J27</f>
        <v>1</v>
      </c>
      <c r="K27" s="224">
        <f>+'Chart III'!K27</f>
        <v>1</v>
      </c>
      <c r="L27" s="224">
        <f>+'Chart III'!L27</f>
        <v>1</v>
      </c>
      <c r="M27" s="223">
        <f>+'Chart III'!M27</f>
        <v>1</v>
      </c>
      <c r="N27" s="224">
        <f>+'Chart III'!N27</f>
        <v>1</v>
      </c>
      <c r="O27" s="224">
        <f>+'Chart III'!O27</f>
        <v>1</v>
      </c>
      <c r="P27" s="224">
        <f>+'Chart III'!P27</f>
        <v>1</v>
      </c>
      <c r="Q27" s="224">
        <f>+'Chart III'!Q27</f>
        <v>1</v>
      </c>
      <c r="R27" s="240">
        <f>+'Chart III'!R27</f>
        <v>1</v>
      </c>
      <c r="U27" s="153" t="s">
        <v>47</v>
      </c>
      <c r="V27" s="144">
        <v>2</v>
      </c>
      <c r="W27" s="144">
        <f t="shared" ref="W27:Y29" si="10">G27</f>
        <v>2.5</v>
      </c>
      <c r="X27" s="144">
        <f t="shared" si="10"/>
        <v>2</v>
      </c>
      <c r="Y27" s="149">
        <f t="shared" si="10"/>
        <v>1</v>
      </c>
      <c r="Z27" s="149">
        <f t="shared" ref="Z27:AA29" si="11">Q27</f>
        <v>1</v>
      </c>
      <c r="AA27" s="149">
        <f t="shared" si="11"/>
        <v>1</v>
      </c>
    </row>
    <row r="28" spans="1:27" x14ac:dyDescent="0.3">
      <c r="A28" s="239" t="s">
        <v>48</v>
      </c>
      <c r="B28" s="224">
        <f>+'Chart III'!B28</f>
        <v>169257212.5</v>
      </c>
      <c r="C28" s="224">
        <f>+'Chart III'!C28</f>
        <v>112144196</v>
      </c>
      <c r="D28" s="224">
        <f>+'Chart III'!D28</f>
        <v>62904833</v>
      </c>
      <c r="E28" s="224">
        <f>+'Chart III'!E28</f>
        <v>59654446</v>
      </c>
      <c r="F28" s="224">
        <f>+'Chart III'!F28</f>
        <v>61811846</v>
      </c>
      <c r="G28" s="224">
        <f>+'Chart III'!G28</f>
        <v>46461021</v>
      </c>
      <c r="H28" s="224">
        <f>+'Chart III'!H28</f>
        <v>36580289</v>
      </c>
      <c r="I28" s="224">
        <f>+'Chart III'!I28</f>
        <v>33402763</v>
      </c>
      <c r="J28" s="224">
        <f>+'Chart III'!J28</f>
        <v>37740699</v>
      </c>
      <c r="K28" s="224">
        <f>+'Chart III'!K28</f>
        <v>40812737</v>
      </c>
      <c r="L28" s="224">
        <f>+'Chart III'!L28</f>
        <v>42326219</v>
      </c>
      <c r="M28" s="223">
        <f>+'Chart III'!M28</f>
        <v>42700435</v>
      </c>
      <c r="N28" s="224">
        <f ca="1">+'Chart III'!N28</f>
        <v>42639586.096446052</v>
      </c>
      <c r="O28" s="224">
        <f ca="1">+'Chart III'!O28</f>
        <v>42660606.445226006</v>
      </c>
      <c r="P28" s="224">
        <f ca="1">+'Chart III'!P28</f>
        <v>42752494.396360196</v>
      </c>
      <c r="Q28" s="224">
        <f ca="1">+'Chart III'!Q28</f>
        <v>42718996.835031144</v>
      </c>
      <c r="R28" s="240">
        <f ca="1">+'Chart III'!R28</f>
        <v>42532142.041214556</v>
      </c>
      <c r="U28" s="153" t="s">
        <v>48</v>
      </c>
      <c r="V28" s="144">
        <v>60139982</v>
      </c>
      <c r="W28" s="144">
        <f t="shared" si="10"/>
        <v>46461021</v>
      </c>
      <c r="X28" s="144">
        <f t="shared" si="10"/>
        <v>36580289</v>
      </c>
      <c r="Y28" s="144">
        <f t="shared" si="10"/>
        <v>33402763</v>
      </c>
      <c r="Z28" s="144">
        <f t="shared" ca="1" si="11"/>
        <v>42718996.835031144</v>
      </c>
      <c r="AA28" s="155">
        <f t="shared" ca="1" si="11"/>
        <v>42532142.041214556</v>
      </c>
    </row>
    <row r="29" spans="1:27" x14ac:dyDescent="0.3">
      <c r="A29" s="239" t="s">
        <v>49</v>
      </c>
      <c r="B29" s="224">
        <f>+'Chart III'!B29</f>
        <v>349045.15</v>
      </c>
      <c r="C29" s="224">
        <f>+'Chart III'!C29</f>
        <v>243130.85</v>
      </c>
      <c r="D29" s="224">
        <f>+'Chart III'!D29</f>
        <v>154705.01</v>
      </c>
      <c r="E29" s="224">
        <f>+'Chart III'!E29</f>
        <v>134252</v>
      </c>
      <c r="F29" s="224">
        <f>+'Chart III'!F29</f>
        <v>135954</v>
      </c>
      <c r="G29" s="224">
        <f>+'Chart III'!G29</f>
        <v>124131</v>
      </c>
      <c r="H29" s="224">
        <f>+'Chart III'!H29</f>
        <v>89007</v>
      </c>
      <c r="I29" s="226">
        <f>+'Chart III'!I29</f>
        <v>70585</v>
      </c>
      <c r="J29" s="226">
        <f>+'Chart III'!J29</f>
        <v>83704</v>
      </c>
      <c r="K29" s="226">
        <f>+'Chart III'!K29</f>
        <v>89554</v>
      </c>
      <c r="L29" s="226">
        <f>+'Chart III'!L29</f>
        <v>92753</v>
      </c>
      <c r="M29" s="225">
        <f>+'Chart III'!M29</f>
        <v>93203</v>
      </c>
      <c r="N29" s="226">
        <f ca="1">+'Chart III'!N29</f>
        <v>96450.280123117438</v>
      </c>
      <c r="O29" s="226">
        <f ca="1">+'Chart III'!O29</f>
        <v>96497.827923500081</v>
      </c>
      <c r="P29" s="226">
        <f ca="1">+'Chart III'!P29</f>
        <v>96705.677469853224</v>
      </c>
      <c r="Q29" s="226">
        <f ca="1">+'Chart III'!Q29</f>
        <v>96629.906350351259</v>
      </c>
      <c r="R29" s="242">
        <f ca="1">+'Chart III'!R29</f>
        <v>96207.242838440201</v>
      </c>
      <c r="U29" s="153" t="s">
        <v>49</v>
      </c>
      <c r="V29" s="144"/>
      <c r="W29" s="144">
        <f t="shared" si="10"/>
        <v>124131</v>
      </c>
      <c r="X29" s="144">
        <f t="shared" si="10"/>
        <v>89007</v>
      </c>
      <c r="Y29" s="149">
        <f t="shared" si="10"/>
        <v>70585</v>
      </c>
      <c r="Z29" s="144">
        <f t="shared" ca="1" si="11"/>
        <v>96629.906350351259</v>
      </c>
      <c r="AA29" s="144">
        <f t="shared" ca="1" si="11"/>
        <v>96207.242838440201</v>
      </c>
    </row>
    <row r="30" spans="1:27" x14ac:dyDescent="0.3">
      <c r="A30" s="239"/>
      <c r="B30" s="222"/>
      <c r="C30" s="222"/>
      <c r="D30" s="222"/>
      <c r="E30" s="222"/>
      <c r="F30" s="222"/>
      <c r="G30" s="241"/>
      <c r="H30" s="220"/>
      <c r="I30" s="220"/>
      <c r="J30" s="220"/>
      <c r="K30" s="220"/>
      <c r="L30" s="220"/>
      <c r="M30" s="219"/>
      <c r="N30" s="220"/>
      <c r="O30" s="220"/>
      <c r="P30" s="220"/>
      <c r="Q30" s="220"/>
      <c r="R30" s="235"/>
      <c r="U30" s="153"/>
      <c r="V30" s="151"/>
      <c r="W30" s="149"/>
      <c r="X30" s="149"/>
      <c r="Y30" s="149"/>
      <c r="Z30" s="149"/>
      <c r="AA30" s="154"/>
    </row>
    <row r="31" spans="1:27" x14ac:dyDescent="0.3">
      <c r="A31" s="238" t="str">
        <f>'Rate Class Energy Model'!L2</f>
        <v>I2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1"/>
      <c r="N31" s="222"/>
      <c r="O31" s="222"/>
      <c r="P31" s="222"/>
      <c r="Q31" s="222"/>
      <c r="R31" s="237"/>
      <c r="U31" s="152" t="s">
        <v>77</v>
      </c>
      <c r="V31" s="151"/>
      <c r="W31" s="144"/>
      <c r="X31" s="144"/>
      <c r="Y31" s="144"/>
      <c r="Z31" s="149"/>
      <c r="AA31" s="144"/>
    </row>
    <row r="32" spans="1:27" x14ac:dyDescent="0.3">
      <c r="A32" s="243" t="s">
        <v>47</v>
      </c>
      <c r="B32" s="224">
        <f>+'Chart III'!B32</f>
        <v>5</v>
      </c>
      <c r="C32" s="224">
        <f>+'Chart III'!C32</f>
        <v>6</v>
      </c>
      <c r="D32" s="224">
        <f>+'Chart III'!D32</f>
        <v>7.5</v>
      </c>
      <c r="E32" s="224">
        <f>+'Chart III'!E32</f>
        <v>8.5</v>
      </c>
      <c r="F32" s="224">
        <f>+'Chart III'!F32</f>
        <v>9</v>
      </c>
      <c r="G32" s="224">
        <f>+'Chart III'!G32</f>
        <v>9</v>
      </c>
      <c r="H32" s="224">
        <f>+'Chart III'!H32</f>
        <v>9.5</v>
      </c>
      <c r="I32" s="226">
        <f>+'Chart III'!I32</f>
        <v>10</v>
      </c>
      <c r="J32" s="224">
        <f>+'Chart III'!J32</f>
        <v>10</v>
      </c>
      <c r="K32" s="224">
        <f>+'Chart III'!K32</f>
        <v>10.5</v>
      </c>
      <c r="L32" s="224">
        <f>+'Chart III'!L32</f>
        <v>11</v>
      </c>
      <c r="M32" s="223">
        <f>+'Chart III'!M32</f>
        <v>11</v>
      </c>
      <c r="N32" s="224">
        <f>+'Chart III'!N32</f>
        <v>12</v>
      </c>
      <c r="O32" s="224">
        <f>+'Chart III'!O32</f>
        <v>12</v>
      </c>
      <c r="P32" s="224">
        <f>+'Chart III'!P32</f>
        <v>12</v>
      </c>
      <c r="Q32" s="224">
        <f>+'Chart III'!Q32</f>
        <v>12</v>
      </c>
      <c r="R32" s="240">
        <f>+'Chart III'!R32</f>
        <v>12</v>
      </c>
      <c r="U32" s="156" t="s">
        <v>47</v>
      </c>
      <c r="V32" s="144">
        <v>9</v>
      </c>
      <c r="W32" s="144">
        <f t="shared" ref="W32:Y34" si="12">G32</f>
        <v>9</v>
      </c>
      <c r="X32" s="144">
        <f t="shared" si="12"/>
        <v>9.5</v>
      </c>
      <c r="Y32" s="149">
        <f t="shared" si="12"/>
        <v>10</v>
      </c>
      <c r="Z32" s="149">
        <f t="shared" ref="Z32:AA34" si="13">Q32</f>
        <v>12</v>
      </c>
      <c r="AA32" s="149">
        <f t="shared" si="13"/>
        <v>12</v>
      </c>
    </row>
    <row r="33" spans="1:27" x14ac:dyDescent="0.3">
      <c r="A33" s="239" t="s">
        <v>48</v>
      </c>
      <c r="B33" s="224">
        <f>+'Chart III'!B33</f>
        <v>96172091</v>
      </c>
      <c r="C33" s="224">
        <f>+'Chart III'!C33</f>
        <v>65676068</v>
      </c>
      <c r="D33" s="224">
        <f>+'Chart III'!D33</f>
        <v>67016961</v>
      </c>
      <c r="E33" s="224">
        <f>+'Chart III'!E33</f>
        <v>80518764</v>
      </c>
      <c r="F33" s="224">
        <f>+'Chart III'!F33</f>
        <v>103869997</v>
      </c>
      <c r="G33" s="224">
        <f>+'Chart III'!G33</f>
        <v>102433272</v>
      </c>
      <c r="H33" s="224">
        <f>+'Chart III'!H33</f>
        <v>87237589</v>
      </c>
      <c r="I33" s="224">
        <f>+'Chart III'!I33</f>
        <v>80783141</v>
      </c>
      <c r="J33" s="224">
        <f>+'Chart III'!J33</f>
        <v>79908016</v>
      </c>
      <c r="K33" s="224">
        <f>+'Chart III'!K33</f>
        <v>76828137</v>
      </c>
      <c r="L33" s="224">
        <f>+'Chart III'!L33</f>
        <v>79176233</v>
      </c>
      <c r="M33" s="223">
        <f>+'Chart III'!M33</f>
        <v>81400346</v>
      </c>
      <c r="N33" s="224">
        <f ca="1">+'Chart III'!N33</f>
        <v>88420452.222880453</v>
      </c>
      <c r="O33" s="224">
        <f ca="1">+'Chart III'!O33</f>
        <v>88120101.619900286</v>
      </c>
      <c r="P33" s="224">
        <f ca="1">+'Chart III'!P33</f>
        <v>87493646.788693547</v>
      </c>
      <c r="Q33" s="224">
        <f ca="1">+'Chart III'!Q33</f>
        <v>86629348.525226727</v>
      </c>
      <c r="R33" s="240">
        <f ca="1">+'Chart III'!R33</f>
        <v>85803231.019400969</v>
      </c>
      <c r="U33" s="153" t="s">
        <v>48</v>
      </c>
      <c r="V33" s="144">
        <v>80956601</v>
      </c>
      <c r="W33" s="144">
        <f t="shared" si="12"/>
        <v>102433272</v>
      </c>
      <c r="X33" s="144">
        <f t="shared" si="12"/>
        <v>87237589</v>
      </c>
      <c r="Y33" s="144">
        <f t="shared" si="12"/>
        <v>80783141</v>
      </c>
      <c r="Z33" s="144">
        <f t="shared" ca="1" si="13"/>
        <v>86629348.525226727</v>
      </c>
      <c r="AA33" s="155">
        <f t="shared" ca="1" si="13"/>
        <v>85803231.019400969</v>
      </c>
    </row>
    <row r="34" spans="1:27" x14ac:dyDescent="0.3">
      <c r="A34" s="239" t="s">
        <v>49</v>
      </c>
      <c r="B34" s="224">
        <f>+'Chart III'!B34</f>
        <v>197712.36</v>
      </c>
      <c r="C34" s="224">
        <f>+'Chart III'!C34</f>
        <v>135213.89000000001</v>
      </c>
      <c r="D34" s="224">
        <f>+'Chart III'!D34</f>
        <v>142187.47</v>
      </c>
      <c r="E34" s="224">
        <f>+'Chart III'!E34</f>
        <v>178422</v>
      </c>
      <c r="F34" s="224">
        <f>+'Chart III'!F34</f>
        <v>214029</v>
      </c>
      <c r="G34" s="224">
        <f>+'Chart III'!G34</f>
        <v>204487</v>
      </c>
      <c r="H34" s="224">
        <f>+'Chart III'!H34</f>
        <v>190299</v>
      </c>
      <c r="I34" s="226">
        <f>+'Chart III'!I34</f>
        <v>195141</v>
      </c>
      <c r="J34" s="226">
        <f>+'Chart III'!J34</f>
        <v>192700</v>
      </c>
      <c r="K34" s="226">
        <f>+'Chart III'!K34</f>
        <v>182189</v>
      </c>
      <c r="L34" s="226">
        <f>+'Chart III'!L34</f>
        <v>184241</v>
      </c>
      <c r="M34" s="225">
        <f>+'Chart III'!M34</f>
        <v>186714</v>
      </c>
      <c r="N34" s="226">
        <f ca="1">+'Chart III'!N34</f>
        <v>195333.21024632914</v>
      </c>
      <c r="O34" s="226">
        <f ca="1">+'Chart III'!O34</f>
        <v>194669.69353718983</v>
      </c>
      <c r="P34" s="226">
        <f ca="1">+'Chart III'!P34</f>
        <v>193285.76673996553</v>
      </c>
      <c r="Q34" s="226">
        <f ca="1">+'Chart III'!Q34</f>
        <v>191376.4103617857</v>
      </c>
      <c r="R34" s="242">
        <f ca="1">+'Chart III'!R34</f>
        <v>189551.40064517764</v>
      </c>
      <c r="U34" s="153" t="s">
        <v>49</v>
      </c>
      <c r="V34" s="144"/>
      <c r="W34" s="144">
        <f t="shared" si="12"/>
        <v>204487</v>
      </c>
      <c r="X34" s="144">
        <f t="shared" si="12"/>
        <v>190299</v>
      </c>
      <c r="Y34" s="149">
        <f t="shared" si="12"/>
        <v>195141</v>
      </c>
      <c r="Z34" s="144">
        <f t="shared" ca="1" si="13"/>
        <v>191376.4103617857</v>
      </c>
      <c r="AA34" s="144">
        <f t="shared" ca="1" si="13"/>
        <v>189551.40064517764</v>
      </c>
    </row>
    <row r="35" spans="1:27" x14ac:dyDescent="0.3">
      <c r="A35" s="239"/>
      <c r="B35" s="224"/>
      <c r="C35" s="224"/>
      <c r="D35" s="224"/>
      <c r="E35" s="224"/>
      <c r="F35" s="224"/>
      <c r="G35" s="224"/>
      <c r="H35" s="224"/>
      <c r="I35" s="220"/>
      <c r="J35" s="220"/>
      <c r="K35" s="220"/>
      <c r="L35" s="220"/>
      <c r="M35" s="219"/>
      <c r="N35" s="220"/>
      <c r="O35" s="220"/>
      <c r="P35" s="220"/>
      <c r="Q35" s="220"/>
      <c r="R35" s="235"/>
      <c r="S35" s="23"/>
      <c r="U35" s="153"/>
      <c r="V35" s="144"/>
      <c r="W35" s="144"/>
      <c r="X35" s="144"/>
      <c r="Y35" s="149"/>
      <c r="Z35" s="149"/>
      <c r="AA35" s="149"/>
    </row>
    <row r="36" spans="1:27" x14ac:dyDescent="0.3">
      <c r="A36" s="238" t="str">
        <f>'Rate Class Energy Model'!M2</f>
        <v>Streetlights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1"/>
      <c r="N36" s="222"/>
      <c r="O36" s="222"/>
      <c r="P36" s="222"/>
      <c r="Q36" s="222"/>
      <c r="R36" s="237"/>
      <c r="U36" s="152" t="s">
        <v>75</v>
      </c>
      <c r="V36" s="151"/>
      <c r="W36" s="144"/>
      <c r="X36" s="144"/>
      <c r="Y36" s="144"/>
      <c r="Z36" s="149"/>
      <c r="AA36" s="144"/>
    </row>
    <row r="37" spans="1:27" x14ac:dyDescent="0.3">
      <c r="A37" s="239" t="s">
        <v>63</v>
      </c>
      <c r="B37" s="224">
        <f>+'Chart III'!B37</f>
        <v>10059</v>
      </c>
      <c r="C37" s="224">
        <f>+'Chart III'!C37</f>
        <v>10262</v>
      </c>
      <c r="D37" s="224">
        <f>+'Chart III'!D37</f>
        <v>10498.5</v>
      </c>
      <c r="E37" s="224">
        <f>+'Chart III'!E37</f>
        <v>10831</v>
      </c>
      <c r="F37" s="224">
        <f>+'Chart III'!F37</f>
        <v>11280.5</v>
      </c>
      <c r="G37" s="224">
        <f>+'Chart III'!G37</f>
        <v>11621.5</v>
      </c>
      <c r="H37" s="224">
        <f>+'Chart III'!H37</f>
        <v>11801</v>
      </c>
      <c r="I37" s="226">
        <f>+'Chart III'!I37</f>
        <v>11995.5</v>
      </c>
      <c r="J37" s="224">
        <f>+'Chart III'!J37</f>
        <v>12127.5</v>
      </c>
      <c r="K37" s="224">
        <f>+'Chart III'!K37</f>
        <v>12213</v>
      </c>
      <c r="L37" s="224">
        <f>+'Chart III'!L37</f>
        <v>12332.5</v>
      </c>
      <c r="M37" s="223">
        <f>+'Chart III'!M37</f>
        <v>12464.5</v>
      </c>
      <c r="N37" s="224">
        <f>+'Chart III'!N37</f>
        <v>12709.846964330369</v>
      </c>
      <c r="O37" s="224">
        <f>+'Chart III'!O37</f>
        <v>12960.023254578835</v>
      </c>
      <c r="P37" s="224">
        <f>+'Chart III'!P37</f>
        <v>13215.123929548703</v>
      </c>
      <c r="Q37" s="224">
        <f>+'Chart III'!Q37</f>
        <v>13466.045919148317</v>
      </c>
      <c r="R37" s="240">
        <f>+'Chart III'!R37</f>
        <v>13721.988061221264</v>
      </c>
      <c r="U37" s="153" t="s">
        <v>63</v>
      </c>
      <c r="V37" s="144">
        <v>11650</v>
      </c>
      <c r="W37" s="144">
        <f t="shared" ref="W37:Y39" si="14">G37</f>
        <v>11621.5</v>
      </c>
      <c r="X37" s="144">
        <f t="shared" si="14"/>
        <v>11801</v>
      </c>
      <c r="Y37" s="149">
        <f t="shared" si="14"/>
        <v>11995.5</v>
      </c>
      <c r="Z37" s="144">
        <f t="shared" ref="Z37:AA39" si="15">Q37</f>
        <v>13466.045919148317</v>
      </c>
      <c r="AA37" s="144">
        <f t="shared" si="15"/>
        <v>13721.988061221264</v>
      </c>
    </row>
    <row r="38" spans="1:27" x14ac:dyDescent="0.3">
      <c r="A38" s="239" t="s">
        <v>48</v>
      </c>
      <c r="B38" s="224">
        <f>+'Chart III'!B38</f>
        <v>8359780.5</v>
      </c>
      <c r="C38" s="224">
        <f>+'Chart III'!C38</f>
        <v>8743099.0634733941</v>
      </c>
      <c r="D38" s="224">
        <f>+'Chart III'!D38</f>
        <v>9182978</v>
      </c>
      <c r="E38" s="224">
        <f>+'Chart III'!E38</f>
        <v>9398525</v>
      </c>
      <c r="F38" s="224">
        <f>+'Chart III'!F38</f>
        <v>9704521</v>
      </c>
      <c r="G38" s="224">
        <f>+'Chart III'!G38</f>
        <v>9725840</v>
      </c>
      <c r="H38" s="224">
        <f>+'Chart III'!H38</f>
        <v>10202758</v>
      </c>
      <c r="I38" s="224">
        <f>+'Chart III'!I38</f>
        <v>10427904</v>
      </c>
      <c r="J38" s="224">
        <f>+'Chart III'!J38</f>
        <v>10253017</v>
      </c>
      <c r="K38" s="224">
        <f>+'Chart III'!K38</f>
        <v>10139708</v>
      </c>
      <c r="L38" s="224">
        <f>+'Chart III'!L38</f>
        <v>9082284</v>
      </c>
      <c r="M38" s="223">
        <f>+'Chart III'!M38</f>
        <v>9155875</v>
      </c>
      <c r="N38" s="224">
        <f>+'Chart III'!N38</f>
        <v>8578851.707184026</v>
      </c>
      <c r="O38" s="224">
        <f>+'Chart III'!O38</f>
        <v>5237833.7421617098</v>
      </c>
      <c r="P38" s="224">
        <f>+'Chart III'!P38</f>
        <v>4853625.207928787</v>
      </c>
      <c r="Q38" s="224">
        <f>+'Chart III'!Q38</f>
        <v>4945783.3519187327</v>
      </c>
      <c r="R38" s="240">
        <f>+'Chart III'!R38</f>
        <v>5039785.2878187746</v>
      </c>
      <c r="U38" s="153" t="s">
        <v>48</v>
      </c>
      <c r="V38" s="144">
        <v>10072853</v>
      </c>
      <c r="W38" s="144">
        <f t="shared" si="14"/>
        <v>9725840</v>
      </c>
      <c r="X38" s="144">
        <f t="shared" si="14"/>
        <v>10202758</v>
      </c>
      <c r="Y38" s="144">
        <f t="shared" si="14"/>
        <v>10427904</v>
      </c>
      <c r="Z38" s="144">
        <f t="shared" si="15"/>
        <v>4945783.3519187327</v>
      </c>
      <c r="AA38" s="157">
        <f t="shared" si="15"/>
        <v>5039785.2878187746</v>
      </c>
    </row>
    <row r="39" spans="1:27" x14ac:dyDescent="0.3">
      <c r="A39" s="239" t="s">
        <v>49</v>
      </c>
      <c r="B39" s="224">
        <f>+'Chart III'!B39</f>
        <v>23226.94</v>
      </c>
      <c r="C39" s="224">
        <f>+'Chart III'!C39</f>
        <v>23584.5</v>
      </c>
      <c r="D39" s="224">
        <f>+'Chart III'!D39</f>
        <v>24114.33</v>
      </c>
      <c r="E39" s="224">
        <f>+'Chart III'!E39</f>
        <v>24802</v>
      </c>
      <c r="F39" s="224">
        <f>+'Chart III'!F39</f>
        <v>25740</v>
      </c>
      <c r="G39" s="224">
        <f>+'Chart III'!G39</f>
        <v>26489</v>
      </c>
      <c r="H39" s="224">
        <f>+'Chart III'!H39</f>
        <v>27041</v>
      </c>
      <c r="I39" s="226">
        <f>+'Chart III'!I39</f>
        <v>27634</v>
      </c>
      <c r="J39" s="226">
        <f>+'Chart III'!J39</f>
        <v>27830</v>
      </c>
      <c r="K39" s="226">
        <f>+'Chart III'!K39</f>
        <v>27720</v>
      </c>
      <c r="L39" s="226">
        <f>+'Chart III'!L39</f>
        <v>25276</v>
      </c>
      <c r="M39" s="225">
        <f>+'Chart III'!M39</f>
        <v>25520</v>
      </c>
      <c r="N39" s="226">
        <f>+'Chart III'!N39</f>
        <v>23911.673714127413</v>
      </c>
      <c r="O39" s="226">
        <f>+'Chart III'!O39</f>
        <v>14599.316515348542</v>
      </c>
      <c r="P39" s="226">
        <f>+'Chart III'!P39</f>
        <v>13528.419217862043</v>
      </c>
      <c r="Q39" s="226">
        <f>+'Chart III'!Q39</f>
        <v>13785.289897575716</v>
      </c>
      <c r="R39" s="242">
        <f>+'Chart III'!R39</f>
        <v>14047.299744168102</v>
      </c>
      <c r="U39" s="153" t="s">
        <v>49</v>
      </c>
      <c r="V39" s="144"/>
      <c r="W39" s="144">
        <f t="shared" si="14"/>
        <v>26489</v>
      </c>
      <c r="X39" s="144">
        <f t="shared" si="14"/>
        <v>27041</v>
      </c>
      <c r="Y39" s="149">
        <f t="shared" si="14"/>
        <v>27634</v>
      </c>
      <c r="Z39" s="144">
        <f t="shared" si="15"/>
        <v>13785.289897575716</v>
      </c>
      <c r="AA39" s="144">
        <f t="shared" si="15"/>
        <v>14047.299744168102</v>
      </c>
    </row>
    <row r="40" spans="1:27" x14ac:dyDescent="0.3">
      <c r="A40" s="239"/>
      <c r="B40" s="224"/>
      <c r="C40" s="224"/>
      <c r="D40" s="224"/>
      <c r="E40" s="224"/>
      <c r="F40" s="224"/>
      <c r="G40" s="224"/>
      <c r="H40" s="224"/>
      <c r="I40" s="226"/>
      <c r="J40" s="226"/>
      <c r="K40" s="226"/>
      <c r="L40" s="226"/>
      <c r="M40" s="225"/>
      <c r="N40" s="226"/>
      <c r="O40" s="226"/>
      <c r="P40" s="226"/>
      <c r="Q40" s="226"/>
      <c r="R40" s="242"/>
      <c r="U40" s="153"/>
      <c r="V40" s="144"/>
      <c r="W40" s="144"/>
      <c r="X40" s="144"/>
      <c r="Y40" s="149"/>
      <c r="Z40" s="144"/>
      <c r="AA40" s="144"/>
    </row>
    <row r="41" spans="1:27" x14ac:dyDescent="0.3">
      <c r="A41" s="238" t="str">
        <f>'Rate Class Energy Model'!N2</f>
        <v>Sentinels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1"/>
      <c r="N41" s="222"/>
      <c r="O41" s="222"/>
      <c r="P41" s="222"/>
      <c r="Q41" s="222"/>
      <c r="R41" s="237"/>
      <c r="U41" s="152" t="s">
        <v>78</v>
      </c>
      <c r="V41" s="151"/>
      <c r="W41" s="144"/>
      <c r="X41" s="144"/>
      <c r="Y41" s="144"/>
      <c r="Z41" s="149"/>
      <c r="AA41" s="144"/>
    </row>
    <row r="42" spans="1:27" x14ac:dyDescent="0.3">
      <c r="A42" s="239" t="s">
        <v>63</v>
      </c>
      <c r="B42" s="224">
        <f>+'Chart III'!B42</f>
        <v>34.5</v>
      </c>
      <c r="C42" s="224">
        <f>+'Chart III'!C42</f>
        <v>30</v>
      </c>
      <c r="D42" s="224">
        <f>+'Chart III'!D42</f>
        <v>29.5</v>
      </c>
      <c r="E42" s="224">
        <f>+'Chart III'!E42</f>
        <v>28.5</v>
      </c>
      <c r="F42" s="224">
        <f>+'Chart III'!F42</f>
        <v>26.5</v>
      </c>
      <c r="G42" s="224">
        <f>+'Chart III'!G42</f>
        <v>26</v>
      </c>
      <c r="H42" s="224">
        <f>+'Chart III'!H42</f>
        <v>26</v>
      </c>
      <c r="I42" s="224">
        <f>+'Chart III'!I42</f>
        <v>25</v>
      </c>
      <c r="J42" s="224">
        <f>+'Chart III'!J42</f>
        <v>24</v>
      </c>
      <c r="K42" s="224">
        <f>+'Chart III'!K42</f>
        <v>24</v>
      </c>
      <c r="L42" s="224">
        <f>+'Chart III'!L42</f>
        <v>24</v>
      </c>
      <c r="M42" s="223">
        <f>+'Chart III'!M42</f>
        <v>24</v>
      </c>
      <c r="N42" s="224">
        <f>+'Chart III'!N42</f>
        <v>23.221124933174856</v>
      </c>
      <c r="O42" s="224">
        <f>+'Chart III'!O42</f>
        <v>22.46752679842146</v>
      </c>
      <c r="P42" s="224">
        <f>+'Chart III'!P42</f>
        <v>21.738385280233285</v>
      </c>
      <c r="Q42" s="224">
        <f>+'Chart III'!Q42</f>
        <v>21.032906684907768</v>
      </c>
      <c r="R42" s="240">
        <f>+'Chart III'!R42</f>
        <v>20.350323076585497</v>
      </c>
      <c r="U42" s="153" t="s">
        <v>63</v>
      </c>
      <c r="V42" s="144">
        <v>77</v>
      </c>
      <c r="W42" s="144">
        <f t="shared" ref="W42:Y44" si="16">G42</f>
        <v>26</v>
      </c>
      <c r="X42" s="144">
        <f t="shared" si="16"/>
        <v>26</v>
      </c>
      <c r="Y42" s="144">
        <f t="shared" si="16"/>
        <v>25</v>
      </c>
      <c r="Z42" s="144">
        <f t="shared" ref="Z42:AA44" si="17">Q42</f>
        <v>21.032906684907768</v>
      </c>
      <c r="AA42" s="144">
        <f t="shared" si="17"/>
        <v>20.350323076585497</v>
      </c>
    </row>
    <row r="43" spans="1:27" x14ac:dyDescent="0.3">
      <c r="A43" s="239" t="s">
        <v>48</v>
      </c>
      <c r="B43" s="224">
        <f>+'Chart III'!B43</f>
        <v>45541</v>
      </c>
      <c r="C43" s="224">
        <f>+'Chart III'!C43</f>
        <v>27821</v>
      </c>
      <c r="D43" s="224">
        <f>+'Chart III'!D43</f>
        <v>43197</v>
      </c>
      <c r="E43" s="224">
        <f>+'Chart III'!E43</f>
        <v>42595</v>
      </c>
      <c r="F43" s="224">
        <f>+'Chart III'!F43</f>
        <v>41408</v>
      </c>
      <c r="G43" s="224">
        <f>+'Chart III'!G43</f>
        <v>39233</v>
      </c>
      <c r="H43" s="224">
        <f>+'Chart III'!H43</f>
        <v>36792</v>
      </c>
      <c r="I43" s="224">
        <f>+'Chart III'!I43</f>
        <v>35812</v>
      </c>
      <c r="J43" s="224">
        <f>+'Chart III'!J43</f>
        <v>35812</v>
      </c>
      <c r="K43" s="224">
        <f>+'Chart III'!K43</f>
        <v>35812</v>
      </c>
      <c r="L43" s="224">
        <f>+'Chart III'!L43</f>
        <v>35812</v>
      </c>
      <c r="M43" s="223">
        <f>+'Chart III'!M43</f>
        <v>35812</v>
      </c>
      <c r="N43" s="224">
        <f ca="1">+'Chart III'!N43</f>
        <v>34297.182591568067</v>
      </c>
      <c r="O43" s="224">
        <f ca="1">+'Chart III'!O43</f>
        <v>32909.529916775595</v>
      </c>
      <c r="P43" s="224">
        <f ca="1">+'Chart III'!P43</f>
        <v>31630.444959402575</v>
      </c>
      <c r="Q43" s="224">
        <f ca="1">+'Chart III'!Q43</f>
        <v>30311.964036453326</v>
      </c>
      <c r="R43" s="240">
        <f ca="1">+'Chart III'!R43</f>
        <v>28944.061722496452</v>
      </c>
      <c r="U43" s="153" t="s">
        <v>48</v>
      </c>
      <c r="V43" s="144">
        <v>40813</v>
      </c>
      <c r="W43" s="144">
        <f t="shared" si="16"/>
        <v>39233</v>
      </c>
      <c r="X43" s="144">
        <f t="shared" si="16"/>
        <v>36792</v>
      </c>
      <c r="Y43" s="144">
        <f t="shared" si="16"/>
        <v>35812</v>
      </c>
      <c r="Z43" s="144">
        <f t="shared" ca="1" si="17"/>
        <v>30311.964036453326</v>
      </c>
      <c r="AA43" s="157">
        <f t="shared" ca="1" si="17"/>
        <v>28944.061722496452</v>
      </c>
    </row>
    <row r="44" spans="1:27" x14ac:dyDescent="0.3">
      <c r="A44" s="239" t="s">
        <v>49</v>
      </c>
      <c r="B44" s="224">
        <f>+'Chart III'!B44</f>
        <v>126.50277777777779</v>
      </c>
      <c r="C44" s="224">
        <f>+'Chart III'!C44</f>
        <v>123.24722222222222</v>
      </c>
      <c r="D44" s="224">
        <f>+'Chart III'!D44</f>
        <v>119.99166666666666</v>
      </c>
      <c r="E44" s="224">
        <f>+'Chart III'!E44</f>
        <v>118.31944444444447</v>
      </c>
      <c r="F44" s="224">
        <f>+'Chart III'!F44</f>
        <v>115.0222222222222</v>
      </c>
      <c r="G44" s="224">
        <f>+'Chart III'!G44</f>
        <v>108.9805555555556</v>
      </c>
      <c r="H44" s="224">
        <f>+'Chart III'!H44</f>
        <v>102.2</v>
      </c>
      <c r="I44" s="226">
        <f>+'Chart III'!I44</f>
        <v>99.477777777777803</v>
      </c>
      <c r="J44" s="226">
        <f>+'Chart III'!J44</f>
        <v>100</v>
      </c>
      <c r="K44" s="226">
        <f>+'Chart III'!K44</f>
        <v>100</v>
      </c>
      <c r="L44" s="226">
        <f>+'Chart III'!L44</f>
        <v>100</v>
      </c>
      <c r="M44" s="225">
        <f>+'Chart III'!M44</f>
        <v>100</v>
      </c>
      <c r="N44" s="226">
        <f ca="1">+'Chart III'!N44</f>
        <v>100.15889621450508</v>
      </c>
      <c r="O44" s="226">
        <f ca="1">+'Chart III'!O44</f>
        <v>96.106500369299738</v>
      </c>
      <c r="P44" s="226">
        <f ca="1">+'Chart III'!P44</f>
        <v>92.371157468960305</v>
      </c>
      <c r="Q44" s="226">
        <f ca="1">+'Chart III'!Q44</f>
        <v>88.520765572485843</v>
      </c>
      <c r="R44" s="242">
        <f ca="1">+'Chart III'!R44</f>
        <v>84.526047186233583</v>
      </c>
      <c r="U44" s="153" t="s">
        <v>49</v>
      </c>
      <c r="V44" s="144"/>
      <c r="W44" s="144">
        <f t="shared" si="16"/>
        <v>108.9805555555556</v>
      </c>
      <c r="X44" s="144">
        <f t="shared" si="16"/>
        <v>102.2</v>
      </c>
      <c r="Y44" s="149">
        <f t="shared" si="16"/>
        <v>99.477777777777803</v>
      </c>
      <c r="Z44" s="144">
        <f t="shared" ca="1" si="17"/>
        <v>88.520765572485843</v>
      </c>
      <c r="AA44" s="144">
        <f t="shared" ca="1" si="17"/>
        <v>84.526047186233583</v>
      </c>
    </row>
    <row r="45" spans="1:27" x14ac:dyDescent="0.3">
      <c r="A45" s="239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1"/>
      <c r="N45" s="222"/>
      <c r="O45" s="222"/>
      <c r="P45" s="222"/>
      <c r="Q45" s="222"/>
      <c r="R45" s="237"/>
      <c r="U45" s="153"/>
      <c r="V45" s="151"/>
      <c r="W45" s="144"/>
      <c r="X45" s="144"/>
      <c r="Y45" s="144"/>
      <c r="Z45" s="149"/>
      <c r="AA45" s="144"/>
    </row>
    <row r="46" spans="1:27" x14ac:dyDescent="0.3">
      <c r="A46" s="238" t="str">
        <f>'Rate Class Energy Model'!O2</f>
        <v>USL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1"/>
      <c r="N46" s="222"/>
      <c r="O46" s="222"/>
      <c r="P46" s="222"/>
      <c r="Q46" s="222"/>
      <c r="R46" s="237"/>
      <c r="U46" s="152" t="s">
        <v>76</v>
      </c>
      <c r="V46" s="151"/>
      <c r="W46" s="144"/>
      <c r="X46" s="144"/>
      <c r="Y46" s="144"/>
      <c r="Z46" s="149"/>
      <c r="AA46" s="144"/>
    </row>
    <row r="47" spans="1:27" x14ac:dyDescent="0.3">
      <c r="A47" s="239" t="s">
        <v>63</v>
      </c>
      <c r="B47" s="224">
        <f>+'Chart III'!B47</f>
        <v>292</v>
      </c>
      <c r="C47" s="224">
        <f>+'Chart III'!C47</f>
        <v>294</v>
      </c>
      <c r="D47" s="224">
        <f>+'Chart III'!D47</f>
        <v>295</v>
      </c>
      <c r="E47" s="224">
        <f>+'Chart III'!E47</f>
        <v>298</v>
      </c>
      <c r="F47" s="224">
        <f>+'Chart III'!F47</f>
        <v>301</v>
      </c>
      <c r="G47" s="224">
        <f>+'Chart III'!G47</f>
        <v>301</v>
      </c>
      <c r="H47" s="224">
        <f>+'Chart III'!H47</f>
        <v>302.5</v>
      </c>
      <c r="I47" s="226">
        <f>+'Chart III'!I47</f>
        <v>306.5</v>
      </c>
      <c r="J47" s="224">
        <f>+'Chart III'!J47</f>
        <v>302.5</v>
      </c>
      <c r="K47" s="224">
        <f>+'Chart III'!K47</f>
        <v>295.5</v>
      </c>
      <c r="L47" s="224">
        <f>+'Chart III'!L47</f>
        <v>295</v>
      </c>
      <c r="M47" s="223">
        <f>+'Chart III'!M47</f>
        <v>295.5</v>
      </c>
      <c r="N47" s="224">
        <f>+'Chart III'!N47</f>
        <v>295.82025457231583</v>
      </c>
      <c r="O47" s="224">
        <f>+'Chart III'!O47</f>
        <v>296.14085622751179</v>
      </c>
      <c r="P47" s="224">
        <f>+'Chart III'!P47</f>
        <v>296.46180534174658</v>
      </c>
      <c r="Q47" s="224">
        <f>+'Chart III'!Q47</f>
        <v>296.78310229158649</v>
      </c>
      <c r="R47" s="240">
        <f>+'Chart III'!R47</f>
        <v>297.10474745400597</v>
      </c>
      <c r="U47" s="153" t="s">
        <v>63</v>
      </c>
      <c r="V47" s="144">
        <v>305</v>
      </c>
      <c r="W47" s="144">
        <f t="shared" ref="W47:Y48" si="18">G47</f>
        <v>301</v>
      </c>
      <c r="X47" s="144">
        <f t="shared" si="18"/>
        <v>302.5</v>
      </c>
      <c r="Y47" s="149">
        <f t="shared" si="18"/>
        <v>306.5</v>
      </c>
      <c r="Z47" s="144">
        <f t="shared" ref="Z47:AA48" si="19">Q47</f>
        <v>296.78310229158649</v>
      </c>
      <c r="AA47" s="144">
        <f t="shared" si="19"/>
        <v>297.10474745400597</v>
      </c>
    </row>
    <row r="48" spans="1:27" x14ac:dyDescent="0.3">
      <c r="A48" s="239" t="s">
        <v>48</v>
      </c>
      <c r="B48" s="224">
        <f>+'Chart III'!B48</f>
        <v>2920000</v>
      </c>
      <c r="C48" s="224">
        <f>+'Chart III'!C48</f>
        <v>2940000</v>
      </c>
      <c r="D48" s="224">
        <f>+'Chart III'!D48</f>
        <v>2950000</v>
      </c>
      <c r="E48" s="224">
        <f>+'Chart III'!E48</f>
        <v>3705188</v>
      </c>
      <c r="F48" s="224">
        <f>+'Chart III'!F48</f>
        <v>3818865</v>
      </c>
      <c r="G48" s="224">
        <f>+'Chart III'!G48</f>
        <v>3372873</v>
      </c>
      <c r="H48" s="224">
        <f>+'Chart III'!H48</f>
        <v>2825455</v>
      </c>
      <c r="I48" s="224">
        <f>+'Chart III'!I48</f>
        <v>2831501</v>
      </c>
      <c r="J48" s="224">
        <f>+'Chart III'!J48</f>
        <v>2769028</v>
      </c>
      <c r="K48" s="224">
        <f>+'Chart III'!K48</f>
        <v>2745701</v>
      </c>
      <c r="L48" s="224">
        <f>+'Chart III'!L48</f>
        <v>2752416</v>
      </c>
      <c r="M48" s="223">
        <f>+'Chart III'!M48</f>
        <v>2711219</v>
      </c>
      <c r="N48" s="224">
        <f ca="1">+'Chart III'!N48</f>
        <v>2686537.3140891874</v>
      </c>
      <c r="O48" s="224">
        <f ca="1">+'Chart III'!O48</f>
        <v>2667193.4637021297</v>
      </c>
      <c r="P48" s="224">
        <f ca="1">+'Chart III'!P48</f>
        <v>2652384.9112346303</v>
      </c>
      <c r="Q48" s="224">
        <f ca="1">+'Chart III'!Q48</f>
        <v>2629927.232790201</v>
      </c>
      <c r="R48" s="240">
        <f ca="1">+'Chart III'!R48</f>
        <v>2598289.5028448366</v>
      </c>
      <c r="U48" s="153" t="s">
        <v>48</v>
      </c>
      <c r="V48" s="144">
        <v>3841944</v>
      </c>
      <c r="W48" s="144">
        <f t="shared" si="18"/>
        <v>3372873</v>
      </c>
      <c r="X48" s="144">
        <f t="shared" si="18"/>
        <v>2825455</v>
      </c>
      <c r="Y48" s="144">
        <f t="shared" si="18"/>
        <v>2831501</v>
      </c>
      <c r="Z48" s="144">
        <f t="shared" ca="1" si="19"/>
        <v>2629927.232790201</v>
      </c>
      <c r="AA48" s="144">
        <f t="shared" ca="1" si="19"/>
        <v>2598289.5028448366</v>
      </c>
    </row>
    <row r="49" spans="1:29" x14ac:dyDescent="0.3">
      <c r="A49" s="239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1"/>
      <c r="N49" s="222"/>
      <c r="O49" s="222"/>
      <c r="P49" s="222"/>
      <c r="Q49" s="222"/>
      <c r="R49" s="237"/>
      <c r="U49" s="153"/>
      <c r="V49" s="151"/>
      <c r="W49" s="144"/>
      <c r="X49" s="144"/>
      <c r="Y49" s="144"/>
      <c r="Z49" s="149"/>
      <c r="AA49" s="144"/>
    </row>
    <row r="50" spans="1:29" x14ac:dyDescent="0.3">
      <c r="A50" s="238" t="s">
        <v>64</v>
      </c>
      <c r="B50" s="224"/>
      <c r="C50" s="224"/>
      <c r="D50" s="224"/>
      <c r="E50" s="224"/>
      <c r="F50" s="222"/>
      <c r="G50" s="224"/>
      <c r="H50" s="224"/>
      <c r="I50" s="224"/>
      <c r="J50" s="224"/>
      <c r="K50" s="224"/>
      <c r="L50" s="224"/>
      <c r="M50" s="223"/>
      <c r="N50" s="224"/>
      <c r="O50" s="224"/>
      <c r="P50" s="224"/>
      <c r="Q50" s="224"/>
      <c r="R50" s="240"/>
      <c r="U50" s="152" t="s">
        <v>64</v>
      </c>
      <c r="V50" s="151"/>
      <c r="W50" s="144"/>
      <c r="X50" s="144"/>
      <c r="Y50" s="144"/>
      <c r="Z50" s="149"/>
      <c r="AA50" s="144"/>
    </row>
    <row r="51" spans="1:29" x14ac:dyDescent="0.3">
      <c r="A51" s="239" t="s">
        <v>51</v>
      </c>
      <c r="B51" s="224">
        <f>B14+B18+B22+B27+B32+B37+B47+B42</f>
        <v>57960.5</v>
      </c>
      <c r="C51" s="224">
        <f t="shared" ref="C51:I51" si="20">C14+C18+C22+C27+C32+C37+C47+C42</f>
        <v>58730.5</v>
      </c>
      <c r="D51" s="224">
        <f t="shared" si="20"/>
        <v>59614.5</v>
      </c>
      <c r="E51" s="224">
        <f t="shared" si="20"/>
        <v>60872.5</v>
      </c>
      <c r="F51" s="224">
        <f t="shared" si="20"/>
        <v>62211</v>
      </c>
      <c r="G51" s="224">
        <f t="shared" si="20"/>
        <v>63344.5</v>
      </c>
      <c r="H51" s="224">
        <f t="shared" si="20"/>
        <v>64128</v>
      </c>
      <c r="I51" s="224">
        <f t="shared" si="20"/>
        <v>64894</v>
      </c>
      <c r="J51" s="224">
        <f t="shared" ref="J51:Q51" si="21">J14+J18+J22+J27+J32+J37+J47+J42</f>
        <v>65524.5</v>
      </c>
      <c r="K51" s="224">
        <f t="shared" si="21"/>
        <v>65927</v>
      </c>
      <c r="L51" s="224">
        <f t="shared" si="21"/>
        <v>66584</v>
      </c>
      <c r="M51" s="223">
        <f t="shared" si="21"/>
        <v>67453.5</v>
      </c>
      <c r="N51" s="224">
        <f t="shared" si="21"/>
        <v>68528.684052257042</v>
      </c>
      <c r="O51" s="224">
        <f t="shared" si="21"/>
        <v>69610.723355824943</v>
      </c>
      <c r="P51" s="224">
        <f t="shared" si="21"/>
        <v>70710.136538212828</v>
      </c>
      <c r="Q51" s="224">
        <f t="shared" si="21"/>
        <v>72046.845796300433</v>
      </c>
      <c r="R51" s="240">
        <f>R14+R18+R22+R27+R32+R37+R47+R42</f>
        <v>73409.476954820086</v>
      </c>
      <c r="U51" s="153" t="s">
        <v>51</v>
      </c>
      <c r="V51" s="144">
        <f t="shared" ref="V51" si="22">V14+V18+V22+V27+V32+V37+V47+V42</f>
        <v>63653</v>
      </c>
      <c r="W51" s="144">
        <f t="shared" ref="W51:Y53" si="23">G51</f>
        <v>63344.5</v>
      </c>
      <c r="X51" s="144">
        <f t="shared" si="23"/>
        <v>64128</v>
      </c>
      <c r="Y51" s="144">
        <f t="shared" si="23"/>
        <v>64894</v>
      </c>
      <c r="Z51" s="144">
        <f t="shared" ref="Z51:AA53" si="24">Q51</f>
        <v>72046.845796300433</v>
      </c>
      <c r="AA51" s="144">
        <f t="shared" si="24"/>
        <v>73409.476954820086</v>
      </c>
    </row>
    <row r="52" spans="1:29" x14ac:dyDescent="0.3">
      <c r="A52" s="239" t="s">
        <v>48</v>
      </c>
      <c r="B52" s="224">
        <f>B15+B19+B23+B28+B33+B38+B48+B43</f>
        <v>1136840307.5</v>
      </c>
      <c r="C52" s="224">
        <f t="shared" ref="C52:I52" si="25">C15+C19+C23+C28+C33+C38+C48+C43</f>
        <v>1128300513.0634735</v>
      </c>
      <c r="D52" s="224">
        <f t="shared" si="25"/>
        <v>1125931170</v>
      </c>
      <c r="E52" s="224">
        <f t="shared" si="25"/>
        <v>1110963247</v>
      </c>
      <c r="F52" s="224">
        <f t="shared" si="25"/>
        <v>1143760516</v>
      </c>
      <c r="G52" s="224">
        <f t="shared" si="25"/>
        <v>1117251257</v>
      </c>
      <c r="H52" s="224">
        <f t="shared" si="25"/>
        <v>1082664508</v>
      </c>
      <c r="I52" s="224">
        <f t="shared" si="25"/>
        <v>1090938483</v>
      </c>
      <c r="J52" s="224">
        <f t="shared" ref="J52:R52" si="26">J15+J19+J23+J28+J33+J38+J48+J43</f>
        <v>1110518847</v>
      </c>
      <c r="K52" s="224">
        <f t="shared" si="26"/>
        <v>1073783871</v>
      </c>
      <c r="L52" s="224">
        <f t="shared" si="26"/>
        <v>1078161209</v>
      </c>
      <c r="M52" s="223">
        <f t="shared" si="26"/>
        <v>1091642390</v>
      </c>
      <c r="N52" s="224">
        <f t="shared" ca="1" si="26"/>
        <v>1102042241.3540516</v>
      </c>
      <c r="O52" s="224">
        <f t="shared" ca="1" si="26"/>
        <v>1105604445.0975072</v>
      </c>
      <c r="P52" s="224">
        <f t="shared" ca="1" si="26"/>
        <v>1107833050.7016122</v>
      </c>
      <c r="Q52" s="224">
        <f t="shared" ca="1" si="26"/>
        <v>1111201027.7711666</v>
      </c>
      <c r="R52" s="240">
        <f t="shared" ca="1" si="26"/>
        <v>1115391817.0133681</v>
      </c>
      <c r="U52" s="153" t="s">
        <v>48</v>
      </c>
      <c r="V52" s="144">
        <f t="shared" ref="V52" si="27">V15+V19+V23+V28+V33+V38+V48+V43</f>
        <v>1141200155</v>
      </c>
      <c r="W52" s="144">
        <f t="shared" si="23"/>
        <v>1117251257</v>
      </c>
      <c r="X52" s="144">
        <f t="shared" si="23"/>
        <v>1082664508</v>
      </c>
      <c r="Y52" s="144">
        <f t="shared" si="23"/>
        <v>1090938483</v>
      </c>
      <c r="Z52" s="144">
        <f t="shared" ca="1" si="24"/>
        <v>1111201027.7711666</v>
      </c>
      <c r="AA52" s="144">
        <f t="shared" ca="1" si="24"/>
        <v>1115391817.0133681</v>
      </c>
    </row>
    <row r="53" spans="1:29" x14ac:dyDescent="0.3">
      <c r="A53" s="239" t="s">
        <v>50</v>
      </c>
      <c r="B53" s="224">
        <f t="shared" ref="B53:I53" si="28">B24+B29+B34+B39+B44</f>
        <v>1376310.4427777778</v>
      </c>
      <c r="C53" s="224">
        <f t="shared" si="28"/>
        <v>1359503.3072222222</v>
      </c>
      <c r="D53" s="224">
        <f t="shared" si="28"/>
        <v>1235025.9316666666</v>
      </c>
      <c r="E53" s="224">
        <f t="shared" si="28"/>
        <v>1231537.3194444445</v>
      </c>
      <c r="F53" s="224">
        <f t="shared" si="28"/>
        <v>1262855.0222222223</v>
      </c>
      <c r="G53" s="224">
        <f t="shared" si="28"/>
        <v>1231679.9805555556</v>
      </c>
      <c r="H53" s="224">
        <f t="shared" si="28"/>
        <v>1167952.2</v>
      </c>
      <c r="I53" s="224">
        <f t="shared" si="28"/>
        <v>1165174.4777777777</v>
      </c>
      <c r="J53" s="224">
        <f t="shared" ref="J53:R53" si="29">J24+J29+J34+J39+J44</f>
        <v>1171404</v>
      </c>
      <c r="K53" s="224">
        <f t="shared" si="29"/>
        <v>1146022</v>
      </c>
      <c r="L53" s="224">
        <f t="shared" si="29"/>
        <v>1145530</v>
      </c>
      <c r="M53" s="223">
        <f t="shared" si="29"/>
        <v>1137326</v>
      </c>
      <c r="N53" s="224">
        <f t="shared" ca="1" si="29"/>
        <v>1167749.3739043719</v>
      </c>
      <c r="O53" s="224">
        <f t="shared" ca="1" si="29"/>
        <v>1166261.4222089821</v>
      </c>
      <c r="P53" s="224">
        <f t="shared" ca="1" si="29"/>
        <v>1169156.6144512808</v>
      </c>
      <c r="Q53" s="224">
        <f t="shared" ca="1" si="29"/>
        <v>1173433.9082862486</v>
      </c>
      <c r="R53" s="240">
        <f t="shared" ca="1" si="29"/>
        <v>1178527.9124127266</v>
      </c>
      <c r="U53" s="158" t="s">
        <v>50</v>
      </c>
      <c r="V53" s="159"/>
      <c r="W53" s="159">
        <f t="shared" si="23"/>
        <v>1231679.9805555556</v>
      </c>
      <c r="X53" s="159">
        <f t="shared" si="23"/>
        <v>1167952.2</v>
      </c>
      <c r="Y53" s="159">
        <f t="shared" si="23"/>
        <v>1165174.4777777777</v>
      </c>
      <c r="Z53" s="159">
        <f t="shared" ca="1" si="24"/>
        <v>1173433.9082862486</v>
      </c>
      <c r="AA53" s="159">
        <f t="shared" ca="1" si="24"/>
        <v>1178527.9124127266</v>
      </c>
    </row>
    <row r="54" spans="1:29" x14ac:dyDescent="0.3">
      <c r="A54" s="239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1"/>
      <c r="N54" s="222"/>
      <c r="O54" s="222"/>
      <c r="P54" s="222"/>
      <c r="Q54" s="222"/>
      <c r="R54" s="237"/>
      <c r="W54" s="134"/>
      <c r="X54" s="134"/>
      <c r="Y54" s="134"/>
      <c r="Z54" s="135"/>
      <c r="AA54" s="134"/>
    </row>
    <row r="55" spans="1:29" x14ac:dyDescent="0.3">
      <c r="A55" s="238" t="s">
        <v>65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1"/>
      <c r="N55" s="222"/>
      <c r="O55" s="222"/>
      <c r="P55" s="222"/>
      <c r="Q55" s="222"/>
      <c r="R55" s="237"/>
      <c r="U55" s="139" t="s">
        <v>65</v>
      </c>
      <c r="V55" s="136"/>
      <c r="W55" s="138"/>
      <c r="X55" s="138"/>
      <c r="Y55" s="138"/>
      <c r="Z55" s="138"/>
      <c r="AA55" s="138"/>
      <c r="AB55" s="140"/>
      <c r="AC55" s="140"/>
    </row>
    <row r="56" spans="1:29" x14ac:dyDescent="0.3">
      <c r="A56" s="239" t="s">
        <v>51</v>
      </c>
      <c r="B56" s="224">
        <f>+'Chart III'!B56</f>
        <v>57960.5</v>
      </c>
      <c r="C56" s="224">
        <f>+'Chart III'!C56</f>
        <v>58730.5</v>
      </c>
      <c r="D56" s="224">
        <f>+'Chart III'!D56</f>
        <v>59614.5</v>
      </c>
      <c r="E56" s="224">
        <f>+'Chart III'!E56</f>
        <v>60872.5</v>
      </c>
      <c r="F56" s="224">
        <f>+'Chart III'!F56</f>
        <v>62211</v>
      </c>
      <c r="G56" s="224">
        <f>+'Chart III'!G56</f>
        <v>63344.5</v>
      </c>
      <c r="H56" s="224">
        <f>+'Chart III'!H56</f>
        <v>64128</v>
      </c>
      <c r="I56" s="224">
        <f>+'Chart III'!I56</f>
        <v>64894</v>
      </c>
      <c r="J56" s="224">
        <f>+'Chart III'!J56</f>
        <v>65524.5</v>
      </c>
      <c r="K56" s="224">
        <f>+'Chart III'!K56</f>
        <v>65927</v>
      </c>
      <c r="L56" s="224">
        <f>+'Chart III'!L56</f>
        <v>66584</v>
      </c>
      <c r="M56" s="223">
        <f>+'Chart III'!M56</f>
        <v>67453.5</v>
      </c>
      <c r="N56" s="224">
        <f>+'Chart III'!N56</f>
        <v>68528.684052257042</v>
      </c>
      <c r="O56" s="224">
        <f>+'Chart III'!O56</f>
        <v>69610.723355824943</v>
      </c>
      <c r="P56" s="224">
        <f>+'Chart III'!P56</f>
        <v>70710.136538212828</v>
      </c>
      <c r="Q56" s="224">
        <f>+'Chart III'!Q56</f>
        <v>72046.845796300433</v>
      </c>
      <c r="R56" s="240">
        <f>+'Chart III'!R56</f>
        <v>73409.476954820086</v>
      </c>
      <c r="U56" s="140" t="s">
        <v>51</v>
      </c>
      <c r="V56" s="138" t="e">
        <f>'Rate Class Customer Model'!#REF!</f>
        <v>#REF!</v>
      </c>
      <c r="W56" s="138">
        <f t="shared" ref="W56:Y58" si="30">G56</f>
        <v>63344.5</v>
      </c>
      <c r="X56" s="138">
        <f t="shared" si="30"/>
        <v>64128</v>
      </c>
      <c r="Y56" s="138">
        <f t="shared" si="30"/>
        <v>64894</v>
      </c>
      <c r="Z56" s="138">
        <f t="shared" ref="Z56:AA58" si="31">Q56</f>
        <v>72046.845796300433</v>
      </c>
      <c r="AA56" s="138">
        <f t="shared" si="31"/>
        <v>73409.476954820086</v>
      </c>
      <c r="AB56" s="140"/>
      <c r="AC56" s="140"/>
    </row>
    <row r="57" spans="1:29" x14ac:dyDescent="0.3">
      <c r="A57" s="239" t="s">
        <v>48</v>
      </c>
      <c r="B57" s="224">
        <f>+'Chart III'!B57</f>
        <v>1136840307.5</v>
      </c>
      <c r="C57" s="224">
        <f>+'Chart III'!C57</f>
        <v>1128300513.0634735</v>
      </c>
      <c r="D57" s="224">
        <f>+'Chart III'!D57</f>
        <v>1125931170</v>
      </c>
      <c r="E57" s="224">
        <f>+'Chart III'!E57</f>
        <v>1110963247</v>
      </c>
      <c r="F57" s="224">
        <f>+'Chart III'!F57</f>
        <v>1143760516</v>
      </c>
      <c r="G57" s="224">
        <f>+'Chart III'!G57</f>
        <v>1117251257</v>
      </c>
      <c r="H57" s="224">
        <f>+'Chart III'!H57</f>
        <v>1082664508</v>
      </c>
      <c r="I57" s="224">
        <f>+'Chart III'!I57</f>
        <v>1090938483</v>
      </c>
      <c r="J57" s="224">
        <f>+'Chart III'!J57</f>
        <v>1110518847</v>
      </c>
      <c r="K57" s="224">
        <f>+'Chart III'!K57</f>
        <v>1073783871</v>
      </c>
      <c r="L57" s="224">
        <f>+'Chart III'!L57</f>
        <v>1078161209</v>
      </c>
      <c r="M57" s="223">
        <f>+'Chart III'!M57</f>
        <v>1091642390</v>
      </c>
      <c r="N57" s="224">
        <f ca="1">+'Chart III'!N57</f>
        <v>1102042241.3540516</v>
      </c>
      <c r="O57" s="224">
        <f ca="1">+'Chart III'!O57</f>
        <v>1105604445.0975072</v>
      </c>
      <c r="P57" s="224">
        <f ca="1">+'Chart III'!P57</f>
        <v>1107833050.7016122</v>
      </c>
      <c r="Q57" s="224">
        <f ca="1">+'Chart III'!Q57</f>
        <v>1111201027.7711666</v>
      </c>
      <c r="R57" s="240">
        <f ca="1">+'Chart III'!R57</f>
        <v>1115391817.0133681</v>
      </c>
      <c r="U57" s="140" t="s">
        <v>48</v>
      </c>
      <c r="V57" s="138">
        <f>'Rate Class Energy Model'!U11</f>
        <v>0</v>
      </c>
      <c r="W57" s="138">
        <f t="shared" si="30"/>
        <v>1117251257</v>
      </c>
      <c r="X57" s="138">
        <f t="shared" si="30"/>
        <v>1082664508</v>
      </c>
      <c r="Y57" s="138">
        <f t="shared" si="30"/>
        <v>1090938483</v>
      </c>
      <c r="Z57" s="138">
        <f t="shared" ca="1" si="31"/>
        <v>1111201027.7711666</v>
      </c>
      <c r="AA57" s="138">
        <f t="shared" ca="1" si="31"/>
        <v>1115391817.0133681</v>
      </c>
      <c r="AB57" s="140"/>
      <c r="AC57" s="140"/>
    </row>
    <row r="58" spans="1:29" x14ac:dyDescent="0.3">
      <c r="A58" s="239" t="s">
        <v>50</v>
      </c>
      <c r="B58" s="224">
        <f>+'Chart III'!B58</f>
        <v>1376310.4427777778</v>
      </c>
      <c r="C58" s="224">
        <f>+'Chart III'!C58</f>
        <v>1359503.3072222222</v>
      </c>
      <c r="D58" s="224">
        <f>+'Chart III'!D58</f>
        <v>1235025.9316666666</v>
      </c>
      <c r="E58" s="224">
        <f>+'Chart III'!E58</f>
        <v>1231537.3194444445</v>
      </c>
      <c r="F58" s="224">
        <f>+'Chart III'!F58</f>
        <v>1262855.0222222223</v>
      </c>
      <c r="G58" s="224">
        <f>+'Chart III'!G58</f>
        <v>1231679.9805555556</v>
      </c>
      <c r="H58" s="224">
        <f>+'Chart III'!H58</f>
        <v>1167952.2</v>
      </c>
      <c r="I58" s="226">
        <f>+'Chart III'!I58</f>
        <v>1165174.4777777777</v>
      </c>
      <c r="J58" s="226">
        <f>+'Chart III'!J58</f>
        <v>1171404</v>
      </c>
      <c r="K58" s="226">
        <f>+'Chart III'!K58</f>
        <v>1146022</v>
      </c>
      <c r="L58" s="226">
        <f>+'Chart III'!L58</f>
        <v>1145530</v>
      </c>
      <c r="M58" s="225">
        <f>+'Chart III'!M58</f>
        <v>1137326</v>
      </c>
      <c r="N58" s="226">
        <f ca="1">+'Chart III'!N58</f>
        <v>1167749.3739043719</v>
      </c>
      <c r="O58" s="226">
        <f ca="1">+'Chart III'!O58</f>
        <v>1166261.4222089821</v>
      </c>
      <c r="P58" s="226">
        <f ca="1">+'Chart III'!P58</f>
        <v>1169156.6144512808</v>
      </c>
      <c r="Q58" s="226">
        <f ca="1">+'Chart III'!Q58</f>
        <v>1173433.9082862486</v>
      </c>
      <c r="R58" s="242">
        <f ca="1">+'Chart III'!R58</f>
        <v>1178527.9124127266</v>
      </c>
      <c r="U58" s="140" t="s">
        <v>50</v>
      </c>
      <c r="V58" s="138">
        <f>'Rate Class Load Model'!U6</f>
        <v>0</v>
      </c>
      <c r="W58" s="138">
        <f t="shared" si="30"/>
        <v>1231679.9805555556</v>
      </c>
      <c r="X58" s="138">
        <f t="shared" si="30"/>
        <v>1167952.2</v>
      </c>
      <c r="Y58" s="138">
        <f t="shared" si="30"/>
        <v>1165174.4777777777</v>
      </c>
      <c r="Z58" s="138">
        <f t="shared" ca="1" si="31"/>
        <v>1173433.9082862486</v>
      </c>
      <c r="AA58" s="138">
        <f t="shared" ca="1" si="31"/>
        <v>1178527.9124127266</v>
      </c>
      <c r="AB58" s="140"/>
      <c r="AC58" s="140"/>
    </row>
    <row r="59" spans="1:29" x14ac:dyDescent="0.3">
      <c r="A59" s="239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1"/>
      <c r="N59" s="222"/>
      <c r="O59" s="222"/>
      <c r="P59" s="222"/>
      <c r="Q59" s="222"/>
      <c r="R59" s="237"/>
      <c r="U59" s="140"/>
      <c r="V59" s="136"/>
      <c r="W59" s="136"/>
      <c r="X59" s="136"/>
      <c r="Y59" s="136"/>
      <c r="Z59" s="136"/>
      <c r="AA59" s="136"/>
      <c r="AB59" s="140"/>
      <c r="AC59" s="140"/>
    </row>
    <row r="60" spans="1:29" x14ac:dyDescent="0.3">
      <c r="A60" s="238" t="s">
        <v>66</v>
      </c>
      <c r="B60" s="224"/>
      <c r="C60" s="224"/>
      <c r="D60" s="224"/>
      <c r="E60" s="224"/>
      <c r="F60" s="224"/>
      <c r="G60" s="224"/>
      <c r="H60" s="224"/>
      <c r="I60" s="222"/>
      <c r="J60" s="222"/>
      <c r="K60" s="222"/>
      <c r="L60" s="222"/>
      <c r="M60" s="221"/>
      <c r="N60" s="222"/>
      <c r="O60" s="222"/>
      <c r="P60" s="222"/>
      <c r="Q60" s="222"/>
      <c r="R60" s="237"/>
      <c r="U60" s="139" t="s">
        <v>66</v>
      </c>
      <c r="V60" s="138"/>
      <c r="W60" s="138"/>
      <c r="X60" s="138"/>
      <c r="Y60" s="136"/>
      <c r="Z60" s="136"/>
      <c r="AA60" s="136"/>
      <c r="AB60" s="140"/>
      <c r="AC60" s="140"/>
    </row>
    <row r="61" spans="1:29" x14ac:dyDescent="0.3">
      <c r="A61" s="239" t="s">
        <v>51</v>
      </c>
      <c r="B61" s="224">
        <f>B51-B56</f>
        <v>0</v>
      </c>
      <c r="C61" s="224">
        <f t="shared" ref="C61:I61" si="32">C51-C56</f>
        <v>0</v>
      </c>
      <c r="D61" s="224">
        <f t="shared" si="32"/>
        <v>0</v>
      </c>
      <c r="E61" s="224">
        <f t="shared" si="32"/>
        <v>0</v>
      </c>
      <c r="F61" s="224">
        <f t="shared" si="32"/>
        <v>0</v>
      </c>
      <c r="G61" s="224">
        <f t="shared" si="32"/>
        <v>0</v>
      </c>
      <c r="H61" s="224">
        <f t="shared" si="32"/>
        <v>0</v>
      </c>
      <c r="I61" s="224">
        <f t="shared" si="32"/>
        <v>0</v>
      </c>
      <c r="J61" s="224">
        <f t="shared" ref="J61:R61" si="33">J51-J56</f>
        <v>0</v>
      </c>
      <c r="K61" s="224">
        <f t="shared" si="33"/>
        <v>0</v>
      </c>
      <c r="L61" s="224">
        <f t="shared" si="33"/>
        <v>0</v>
      </c>
      <c r="M61" s="223">
        <f t="shared" si="33"/>
        <v>0</v>
      </c>
      <c r="N61" s="224">
        <f t="shared" si="33"/>
        <v>0</v>
      </c>
      <c r="O61" s="224">
        <f t="shared" si="33"/>
        <v>0</v>
      </c>
      <c r="P61" s="224">
        <f t="shared" si="33"/>
        <v>0</v>
      </c>
      <c r="Q61" s="224">
        <f t="shared" si="33"/>
        <v>0</v>
      </c>
      <c r="R61" s="240">
        <f t="shared" si="33"/>
        <v>0</v>
      </c>
      <c r="U61" s="140" t="s">
        <v>51</v>
      </c>
      <c r="V61" s="138" t="e">
        <f t="shared" ref="V61:AA61" si="34">V51-V56</f>
        <v>#REF!</v>
      </c>
      <c r="W61" s="138">
        <f t="shared" si="34"/>
        <v>0</v>
      </c>
      <c r="X61" s="138">
        <f t="shared" si="34"/>
        <v>0</v>
      </c>
      <c r="Y61" s="138">
        <f t="shared" si="34"/>
        <v>0</v>
      </c>
      <c r="Z61" s="138">
        <f t="shared" si="34"/>
        <v>0</v>
      </c>
      <c r="AA61" s="138">
        <f t="shared" si="34"/>
        <v>0</v>
      </c>
      <c r="AB61" s="140"/>
      <c r="AC61" s="140"/>
    </row>
    <row r="62" spans="1:29" x14ac:dyDescent="0.3">
      <c r="A62" s="239" t="s">
        <v>48</v>
      </c>
      <c r="B62" s="224">
        <f t="shared" ref="B62:I63" si="35">B52-B57</f>
        <v>0</v>
      </c>
      <c r="C62" s="224">
        <f t="shared" si="35"/>
        <v>0</v>
      </c>
      <c r="D62" s="224">
        <f t="shared" si="35"/>
        <v>0</v>
      </c>
      <c r="E62" s="224">
        <f t="shared" si="35"/>
        <v>0</v>
      </c>
      <c r="F62" s="224">
        <f t="shared" si="35"/>
        <v>0</v>
      </c>
      <c r="G62" s="224">
        <f t="shared" si="35"/>
        <v>0</v>
      </c>
      <c r="H62" s="224">
        <f t="shared" si="35"/>
        <v>0</v>
      </c>
      <c r="I62" s="224">
        <f t="shared" si="35"/>
        <v>0</v>
      </c>
      <c r="J62" s="224">
        <f t="shared" ref="J62:R62" si="36">J52-J57</f>
        <v>0</v>
      </c>
      <c r="K62" s="224">
        <f t="shared" si="36"/>
        <v>0</v>
      </c>
      <c r="L62" s="224">
        <f t="shared" si="36"/>
        <v>0</v>
      </c>
      <c r="M62" s="223">
        <f t="shared" si="36"/>
        <v>0</v>
      </c>
      <c r="N62" s="224">
        <f t="shared" ca="1" si="36"/>
        <v>0</v>
      </c>
      <c r="O62" s="224">
        <f t="shared" ca="1" si="36"/>
        <v>0</v>
      </c>
      <c r="P62" s="224">
        <f t="shared" ca="1" si="36"/>
        <v>0</v>
      </c>
      <c r="Q62" s="224">
        <f t="shared" ca="1" si="36"/>
        <v>0</v>
      </c>
      <c r="R62" s="240">
        <f t="shared" ca="1" si="36"/>
        <v>0</v>
      </c>
      <c r="U62" s="140" t="s">
        <v>48</v>
      </c>
      <c r="V62" s="138">
        <f t="shared" ref="V62:AA62" si="37">V52-V57</f>
        <v>1141200155</v>
      </c>
      <c r="W62" s="138">
        <f t="shared" si="37"/>
        <v>0</v>
      </c>
      <c r="X62" s="138">
        <f t="shared" si="37"/>
        <v>0</v>
      </c>
      <c r="Y62" s="138">
        <f t="shared" si="37"/>
        <v>0</v>
      </c>
      <c r="Z62" s="138">
        <f t="shared" ca="1" si="37"/>
        <v>0</v>
      </c>
      <c r="AA62" s="138">
        <f t="shared" ca="1" si="37"/>
        <v>0</v>
      </c>
      <c r="AB62" s="140"/>
      <c r="AC62" s="140"/>
    </row>
    <row r="63" spans="1:29" ht="12.9" thickBot="1" x14ac:dyDescent="0.35">
      <c r="A63" s="244" t="s">
        <v>50</v>
      </c>
      <c r="B63" s="245">
        <f t="shared" si="35"/>
        <v>0</v>
      </c>
      <c r="C63" s="245">
        <f t="shared" si="35"/>
        <v>0</v>
      </c>
      <c r="D63" s="245">
        <f t="shared" si="35"/>
        <v>0</v>
      </c>
      <c r="E63" s="245">
        <f t="shared" si="35"/>
        <v>0</v>
      </c>
      <c r="F63" s="245">
        <f t="shared" si="35"/>
        <v>0</v>
      </c>
      <c r="G63" s="245">
        <f t="shared" si="35"/>
        <v>0</v>
      </c>
      <c r="H63" s="245">
        <f t="shared" si="35"/>
        <v>0</v>
      </c>
      <c r="I63" s="245">
        <f t="shared" si="35"/>
        <v>0</v>
      </c>
      <c r="J63" s="245">
        <f t="shared" ref="J63:R63" si="38">J53-J58</f>
        <v>0</v>
      </c>
      <c r="K63" s="245">
        <f t="shared" si="38"/>
        <v>0</v>
      </c>
      <c r="L63" s="245">
        <f t="shared" si="38"/>
        <v>0</v>
      </c>
      <c r="M63" s="246">
        <f t="shared" si="38"/>
        <v>0</v>
      </c>
      <c r="N63" s="245">
        <f t="shared" ca="1" si="38"/>
        <v>0</v>
      </c>
      <c r="O63" s="245">
        <f t="shared" ca="1" si="38"/>
        <v>0</v>
      </c>
      <c r="P63" s="245">
        <f t="shared" ca="1" si="38"/>
        <v>0</v>
      </c>
      <c r="Q63" s="245">
        <f t="shared" ca="1" si="38"/>
        <v>0</v>
      </c>
      <c r="R63" s="247">
        <f t="shared" ca="1" si="38"/>
        <v>0</v>
      </c>
      <c r="U63" s="140" t="s">
        <v>50</v>
      </c>
      <c r="V63" s="138">
        <f t="shared" ref="V63:AA63" si="39">V53-V58</f>
        <v>0</v>
      </c>
      <c r="W63" s="138">
        <f t="shared" si="39"/>
        <v>0</v>
      </c>
      <c r="X63" s="138">
        <f t="shared" si="39"/>
        <v>0</v>
      </c>
      <c r="Y63" s="138">
        <f t="shared" si="39"/>
        <v>0</v>
      </c>
      <c r="Z63" s="138">
        <f t="shared" ca="1" si="39"/>
        <v>0</v>
      </c>
      <c r="AA63" s="138">
        <f t="shared" ca="1" si="39"/>
        <v>0</v>
      </c>
      <c r="AB63" s="140"/>
      <c r="AC63" s="140"/>
    </row>
    <row r="64" spans="1:29" x14ac:dyDescent="0.3">
      <c r="U64" s="140"/>
      <c r="V64" s="136"/>
      <c r="W64" s="136"/>
      <c r="X64" s="136"/>
      <c r="Y64" s="136"/>
      <c r="Z64" s="136"/>
      <c r="AA64" s="136"/>
      <c r="AB64" s="140"/>
      <c r="AC64" s="140"/>
    </row>
    <row r="65" spans="9:29" x14ac:dyDescent="0.3">
      <c r="U65" s="140"/>
      <c r="V65" s="136"/>
      <c r="W65" s="136"/>
      <c r="X65" s="136"/>
      <c r="Y65" s="136"/>
      <c r="Z65" s="136"/>
      <c r="AA65" s="136"/>
      <c r="AB65" s="140"/>
      <c r="AC65" s="140"/>
    </row>
    <row r="67" spans="9:29" x14ac:dyDescent="0.3">
      <c r="I67" s="106" t="s">
        <v>105</v>
      </c>
      <c r="J67" s="106"/>
      <c r="K67" s="106"/>
      <c r="L67" s="106"/>
      <c r="M67" s="106"/>
      <c r="N67" s="106"/>
      <c r="O67" s="106"/>
      <c r="P67" s="106"/>
      <c r="Q67" s="104">
        <f ca="1">(Q57-I57)/I57</f>
        <v>1.8573498952430448E-2</v>
      </c>
      <c r="R67" s="104">
        <f ca="1">(R57-Q57)/Q57</f>
        <v>3.7714051170447535E-3</v>
      </c>
      <c r="Y67" s="136" t="s">
        <v>105</v>
      </c>
      <c r="Z67" s="137">
        <f ca="1">(Z57-Y57)/Y57</f>
        <v>1.8573498952430448E-2</v>
      </c>
      <c r="AA67" s="137">
        <f ca="1">(AA57-Z57)/Z57</f>
        <v>3.7714051170447535E-3</v>
      </c>
    </row>
    <row r="68" spans="9:29" x14ac:dyDescent="0.3">
      <c r="I68" s="105" t="s">
        <v>106</v>
      </c>
      <c r="J68" s="105"/>
      <c r="K68" s="105"/>
      <c r="L68" s="105"/>
      <c r="M68" s="105"/>
      <c r="N68" s="105"/>
      <c r="O68" s="105"/>
      <c r="P68" s="105"/>
      <c r="Q68" s="104">
        <f ca="1">(Q58-I58)/I58</f>
        <v>7.0885782910583986E-3</v>
      </c>
      <c r="R68" s="104">
        <f ca="1">(R58-Q58)/Q58</f>
        <v>4.3411086815426762E-3</v>
      </c>
      <c r="Y68" s="138" t="s">
        <v>106</v>
      </c>
      <c r="Z68" s="137">
        <f ca="1">(Z58-Y58)/Y58</f>
        <v>7.0885782910583986E-3</v>
      </c>
      <c r="AA68" s="137">
        <f ca="1">(AA58-Z58)/Z58</f>
        <v>4.3411086815426762E-3</v>
      </c>
    </row>
  </sheetData>
  <mergeCells count="2">
    <mergeCell ref="B3:L3"/>
    <mergeCell ref="M3:R3"/>
  </mergeCells>
  <phoneticPr fontId="0" type="noConversion"/>
  <printOptions horizontalCentered="1"/>
  <pageMargins left="0.19685039370078741" right="0.35433070866141736" top="0.55118110236220474" bottom="0.35433070866141736" header="0.31496062992125984" footer="0.11811023622047245"/>
  <pageSetup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5</vt:i4>
      </vt:variant>
    </vt:vector>
  </HeadingPairs>
  <TitlesOfParts>
    <vt:vector size="29" baseType="lpstr">
      <vt:lpstr>Chart</vt:lpstr>
      <vt:lpstr>Chart II</vt:lpstr>
      <vt:lpstr>Chart III</vt:lpstr>
      <vt:lpstr>Chart IV</vt:lpstr>
      <vt:lpstr>Year End Customer</vt:lpstr>
      <vt:lpstr>City Expansion</vt:lpstr>
      <vt:lpstr>LED</vt:lpstr>
      <vt:lpstr> CDM Summary</vt:lpstr>
      <vt:lpstr>Summary</vt:lpstr>
      <vt:lpstr>Purchased Power Model </vt:lpstr>
      <vt:lpstr>Economic Indices</vt:lpstr>
      <vt:lpstr>Trends</vt:lpstr>
      <vt:lpstr>10 Year Average</vt:lpstr>
      <vt:lpstr>20 Year Trend</vt:lpstr>
      <vt:lpstr>Residential</vt:lpstr>
      <vt:lpstr>GS &lt; 50 kW</vt:lpstr>
      <vt:lpstr>GS &gt; 50 kW</vt:lpstr>
      <vt:lpstr>I2</vt:lpstr>
      <vt:lpstr>Large User</vt:lpstr>
      <vt:lpstr>Streetlights</vt:lpstr>
      <vt:lpstr>USL</vt:lpstr>
      <vt:lpstr>Rate Class Energy Model</vt:lpstr>
      <vt:lpstr>Rate Class Customer Model</vt:lpstr>
      <vt:lpstr>Rate Class Load Model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Phil Martin</cp:lastModifiedBy>
  <cp:lastPrinted>2014-10-22T13:59:49Z</cp:lastPrinted>
  <dcterms:created xsi:type="dcterms:W3CDTF">2008-02-06T18:24:44Z</dcterms:created>
  <dcterms:modified xsi:type="dcterms:W3CDTF">2017-12-31T17:00:05Z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