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15" windowWidth="14430" windowHeight="12855" firstSheet="1"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'!$A$12:$K$104</definedName>
    <definedName name="_xlnm.Print_Area" localSheetId="0">Instructions!$A$11:$C$83</definedName>
  </definedNames>
  <calcPr calcId="145621"/>
</workbook>
</file>

<file path=xl/calcChain.xml><?xml version="1.0" encoding="utf-8"?>
<calcChain xmlns="http://schemas.openxmlformats.org/spreadsheetml/2006/main">
  <c r="G47" i="4" l="1"/>
  <c r="I47" i="4"/>
  <c r="G58" i="4"/>
  <c r="G57" i="4"/>
  <c r="G56" i="4"/>
  <c r="G55" i="4"/>
  <c r="G54" i="4"/>
  <c r="G53" i="4"/>
  <c r="G52" i="4"/>
  <c r="G51" i="4"/>
  <c r="G50" i="4"/>
  <c r="G49" i="4"/>
  <c r="G48" i="4"/>
  <c r="I58" i="4"/>
  <c r="I57" i="4"/>
  <c r="I56" i="4"/>
  <c r="I55" i="4"/>
  <c r="I54" i="4"/>
  <c r="I53" i="4"/>
  <c r="I52" i="4"/>
  <c r="I51" i="4"/>
  <c r="I50" i="4"/>
  <c r="I49" i="4"/>
  <c r="I48" i="4"/>
  <c r="D79" i="4" l="1"/>
  <c r="D88" i="4" l="1"/>
  <c r="F48" i="4"/>
  <c r="H48" i="4" s="1"/>
  <c r="D26" i="4"/>
  <c r="E88" i="4" l="1"/>
  <c r="F88" i="4" s="1"/>
  <c r="J48" i="4"/>
  <c r="K48" i="4" s="1"/>
  <c r="F47" i="4" l="1"/>
  <c r="H47" i="4" l="1"/>
  <c r="J47" i="4"/>
  <c r="K47" i="4" l="1"/>
  <c r="F51" i="4"/>
  <c r="F52" i="4"/>
  <c r="J52" i="4" s="1"/>
  <c r="F53" i="4"/>
  <c r="F54" i="4"/>
  <c r="H54" i="4" s="1"/>
  <c r="F58" i="4"/>
  <c r="F56" i="4"/>
  <c r="J56" i="4" s="1"/>
  <c r="F57" i="4"/>
  <c r="D89" i="4"/>
  <c r="F89" i="4"/>
  <c r="C59" i="4"/>
  <c r="J51" i="4" l="1"/>
  <c r="E59" i="4"/>
  <c r="F55" i="4"/>
  <c r="J55" i="4" s="1"/>
  <c r="H58" i="4"/>
  <c r="F50" i="4"/>
  <c r="H50" i="4" s="1"/>
  <c r="F49" i="4"/>
  <c r="H49" i="4" s="1"/>
  <c r="J54" i="4"/>
  <c r="K54" i="4" s="1"/>
  <c r="H57" i="4"/>
  <c r="J57" i="4"/>
  <c r="H53" i="4"/>
  <c r="J58" i="4"/>
  <c r="J53" i="4"/>
  <c r="H52" i="4"/>
  <c r="K52" i="4" s="1"/>
  <c r="H56" i="4"/>
  <c r="K56" i="4" s="1"/>
  <c r="H51" i="4"/>
  <c r="H55" i="4" l="1"/>
  <c r="K55" i="4" s="1"/>
  <c r="K51" i="4"/>
  <c r="J50" i="4"/>
  <c r="K50" i="4" s="1"/>
  <c r="K58" i="4"/>
  <c r="J49" i="4"/>
  <c r="K49" i="4" s="1"/>
  <c r="K53" i="4"/>
  <c r="F59" i="4"/>
  <c r="K57" i="4"/>
  <c r="D24" i="4" l="1"/>
  <c r="D22" i="4" s="1"/>
  <c r="F24" i="4" s="1"/>
  <c r="J59" i="4"/>
  <c r="H59" i="4"/>
  <c r="K59" i="4"/>
  <c r="F23" i="4" l="1"/>
  <c r="F26" i="4"/>
  <c r="F25" i="4"/>
  <c r="H88" i="4"/>
  <c r="H89" i="4" s="1"/>
  <c r="C88" i="4"/>
  <c r="D80" i="4"/>
  <c r="D81" i="4" s="1"/>
  <c r="G88" i="4" l="1"/>
  <c r="G89" i="4" s="1"/>
  <c r="C89" i="4"/>
  <c r="D82" i="4"/>
  <c r="E89" i="4"/>
  <c r="I88" i="4" l="1"/>
  <c r="E82" i="4"/>
</calcChain>
</file>

<file path=xl/comments1.xml><?xml version="1.0" encoding="utf-8"?>
<comments xmlns="http://schemas.openxmlformats.org/spreadsheetml/2006/main">
  <authors>
    <author>Brittany Ashby</author>
  </authors>
  <commentList>
    <comment ref="D89" authorId="0">
      <text>
        <r>
          <rPr>
            <b/>
            <sz val="9"/>
            <color indexed="81"/>
            <rFont val="Tahoma"/>
            <family val="2"/>
          </rPr>
          <t>Brittany Ashby:</t>
        </r>
        <r>
          <rPr>
            <sz val="9"/>
            <color indexed="81"/>
            <rFont val="Tahoma"/>
            <family val="2"/>
          </rPr>
          <t xml:space="preserve">
Confirmed the amount in Cell D92 is the amount which is in the DVA Continuity Schedule of the rate generator and F/S Dec 31 2016. This does not include the Class A - GA.   </t>
        </r>
      </text>
    </comment>
  </commentList>
</comments>
</file>

<file path=xl/sharedStrings.xml><?xml version="1.0" encoding="utf-8"?>
<sst xmlns="http://schemas.openxmlformats.org/spreadsheetml/2006/main" count="207" uniqueCount="170">
  <si>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</si>
  <si>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</si>
  <si>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</si>
  <si>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</si>
  <si>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</si>
  <si>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</si>
  <si>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</si>
  <si>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</si>
  <si>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</si>
  <si>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</si>
  <si>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</si>
  <si>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</si>
  <si>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</si>
  <si>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</si>
  <si>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</si>
  <si>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</si>
  <si>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</si>
  <si>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</si>
  <si>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</si>
  <si>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</si>
  <si>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</si>
  <si>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</si>
  <si>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</si>
  <si>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</si>
  <si>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</si>
  <si>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</si>
  <si>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</si>
  <si>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</si>
  <si>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</si>
  <si>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</si>
  <si>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</si>
  <si>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</si>
  <si>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</si>
  <si>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</si>
  <si>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</si>
  <si>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</si>
  <si>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</si>
  <si>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</si>
  <si>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</si>
  <si>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</si>
  <si>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</si>
  <si>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</si>
  <si>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</si>
  <si>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</si>
  <si>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</si>
  <si>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</si>
  <si>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</si>
  <si>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</si>
  <si>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</si>
  <si>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</si>
  <si>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</si>
  <si>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</si>
  <si>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</si>
  <si>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</si>
  <si>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</si>
  <si>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</si>
  <si>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</si>
  <si>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</si>
  <si>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</si>
  <si>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</si>
  <si>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</si>
  <si>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</si>
  <si>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</si>
  <si>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</si>
  <si>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</si>
  <si>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</si>
  <si>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</si>
  <si>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</si>
  <si>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</si>
  <si>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</si>
  <si>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</si>
  <si>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</si>
  <si>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</si>
  <si>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</si>
  <si>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</si>
  <si>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</si>
  <si>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</si>
  <si>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</si>
  <si>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</si>
  <si>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</si>
  <si>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</si>
  <si>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</si>
  <si>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</si>
  <si>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</si>
  <si>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</si>
  <si>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</si>
  <si>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</si>
  <si>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</si>
  <si>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</si>
  <si>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</si>
  <si>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</si>
  <si>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</si>
  <si>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</si>
  <si>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</si>
  <si>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</si>
  <si>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</si>
  <si>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</si>
  <si>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</si>
  <si>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</si>
  <si>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</si>
  <si>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</si>
  <si>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</si>
  <si>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</si>
  <si>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</si>
  <si>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</si>
  <si>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</si>
  <si>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</si>
  <si>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</si>
  <si>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</si>
  <si>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</si>
  <si>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</si>
  <si>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</si>
  <si>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</si>
  <si>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</si>
  <si>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</si>
  <si>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</si>
  <si>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</si>
  <si>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</si>
  <si>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</si>
  <si>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</si>
  <si>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</si>
  <si>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</si>
  <si>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</si>
  <si>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</si>
  <si>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</si>
  <si>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</si>
  <si>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</si>
  <si>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</si>
  <si>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</si>
  <si>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</si>
  <si>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</si>
  <si>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</si>
  <si>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</si>
  <si>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</si>
  <si>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</si>
  <si>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</si>
  <si>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</si>
  <si>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</si>
  <si>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</si>
  <si>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</si>
  <si>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</si>
  <si>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</si>
  <si>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</si>
  <si>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</si>
  <si>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</si>
  <si>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</si>
  <si>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</si>
  <si>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</si>
  <si>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</si>
  <si>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</si>
  <si>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</si>
  <si>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</si>
  <si>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</si>
  <si>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</si>
  <si>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</si>
  <si>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</si>
  <si>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</si>
  <si>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</si>
  <si>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</si>
  <si>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</si>
  <si>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</si>
  <si>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</si>
  <si>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CLASS A IS EXCLUDED</t>
  </si>
  <si>
    <t>No</t>
  </si>
  <si>
    <t>Yes</t>
  </si>
  <si>
    <t>As per regular process, Calculation of differences billed on first estimate, and updated for final rate charges on the IESO Invoice.</t>
  </si>
  <si>
    <t>Time difference between actual billing of the Non-RPP customers so IT query captures the full proration of the monthly consumption and when the Y/E processes are carried out (Feb 27th)</t>
  </si>
  <si>
    <t>Class A global adjustment charge each month is billed directly to the one Class A customer of TBH.  No variances.</t>
  </si>
  <si>
    <t xml:space="preserve">Time difference between actual billing of the LTLT Settlement with H1 and when the Y/E processes are carried out.  Setup accrual for LTLT based on previous year estimate, and true up at time of settlement. </t>
  </si>
  <si>
    <t xml:space="preserve">Year End process included all cycles billed, and no impact for trues up was required into subsequent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</si>
</sst>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quot;$&quot;#,##0_);\(&quot;$&quot;#,##0\)"/>
    <numFmt numFmtId="165" formatCode="_(* #,##0.00_);_(* \(#,##0.00\);_(* &quot;-&quot;??_);_(@_)"/>
    <numFmt numFmtId="166" formatCode="0.0%"/>
    <numFmt numFmtId="167" formatCode="_-&quot;$&quot;* #,##0_-;\-&quot;$&quot;* #,##0_-;_-&quot;$&quot;* &quot;-&quot;??_-;_-@_-"/>
    <numFmt numFmtId="168" formatCode="0.00000"/>
    <numFmt numFmtId="169" formatCode="_-* #,##0_-;\-* #,##0_-;_-* &quot;-&quot;??_-;_-@_-"/>
    <numFmt numFmtId="170" formatCode="_(* #,##0.0_);_(* \(#,##0.0\);_(* &quot;-&quot;??_);_(@_)"/>
    <numFmt numFmtId="171" formatCode="#,##0.0"/>
    <numFmt numFmtId="172" formatCode="mm/dd/yyyy"/>
    <numFmt numFmtId="173" formatCode="0\-0"/>
    <numFmt numFmtId="174" formatCode="##\-#"/>
    <numFmt numFmtId="175" formatCode="_(* #,##0_);_(* \(#,##0\);_(* &quot;-&quot;??_);_(@_)"/>
    <numFmt numFmtId="176" formatCode="&quot;£ &quot;#,##0.00;[Red]\-&quot;£ &quot;#,##0.00"/>
    <numFmt numFmtId="177" formatCode="&quot;$&quot;#,##0.00;[Red]\(&quot;$&quot;#,##0.00\)"/>
  </numFmts>
  <fonts count="4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1"/>
      <color theme="0"/>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0"/>
      <color rgb="FF000000"/>
      <name val="Arial"/>
      <family val="2"/>
    </font>
    <font>
      <b/>
      <sz val="9"/>
      <color indexed="81"/>
      <name val="Tahoma"/>
      <family val="2"/>
    </font>
    <font>
      <sz val="9"/>
      <color indexed="81"/>
      <name val="Tahoma"/>
      <family val="2"/>
    </font>
    <font>
      <sz val="11"/>
      <name val="Calibri"/>
      <family val="2"/>
      <scheme val="minor"/>
    </font>
  </fonts>
  <fills count="3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double">
        <color rgb="FFFF8001"/>
      </bottom>
      <diagonal/>
    </border>
    <border>
      <left style="thin">
        <color indexed="64"/>
      </left>
      <right style="thin">
        <color indexed="64"/>
      </right>
      <top/>
      <bottom style="double">
        <color rgb="FFFF8001"/>
      </bottom>
      <diagonal/>
    </border>
    <border>
      <left/>
      <right/>
      <top style="thin">
        <color indexed="64"/>
      </top>
      <bottom style="medium">
        <color indexed="64"/>
      </bottom>
      <diagonal/>
    </border>
  </borders>
  <cellStyleXfs count="135">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7" fillId="10" borderId="31" applyNumberFormat="0" applyAlignment="0" applyProtection="0"/>
    <xf numFmtId="0" fontId="2" fillId="0" borderId="0"/>
    <xf numFmtId="170" fontId="5" fillId="0" borderId="0"/>
    <xf numFmtId="171"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2" fontId="5" fillId="0" borderId="0"/>
    <xf numFmtId="173" fontId="5" fillId="0" borderId="0"/>
    <xf numFmtId="172" fontId="5" fillId="0" borderId="0"/>
    <xf numFmtId="0" fontId="1" fillId="13" borderId="0" applyNumberFormat="0" applyBorder="0" applyAlignment="0" applyProtection="0"/>
    <xf numFmtId="0" fontId="2" fillId="17" borderId="0" applyNumberFormat="0" applyBorder="0" applyAlignment="0" applyProtection="0"/>
    <xf numFmtId="0" fontId="1" fillId="17" borderId="0" applyNumberFormat="0" applyBorder="0" applyAlignment="0" applyProtection="0"/>
    <xf numFmtId="0" fontId="2" fillId="21" borderId="0" applyNumberFormat="0" applyBorder="0" applyAlignment="0" applyProtection="0"/>
    <xf numFmtId="0" fontId="1" fillId="21" borderId="0" applyNumberFormat="0" applyBorder="0" applyAlignment="0" applyProtection="0"/>
    <xf numFmtId="0" fontId="2"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2"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3" fillId="27"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1" fillId="12"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3" fillId="24"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21" fillId="6" borderId="0" applyNumberFormat="0" applyBorder="0" applyAlignment="0" applyProtection="0"/>
    <xf numFmtId="0" fontId="34" fillId="9" borderId="28" applyNumberFormat="0" applyAlignment="0" applyProtection="0"/>
    <xf numFmtId="0" fontId="25" fillId="9" borderId="28" applyNumberFormat="0" applyAlignment="0" applyProtection="0"/>
    <xf numFmtId="0" fontId="35" fillId="10" borderId="31" applyNumberFormat="0" applyAlignment="0" applyProtection="0"/>
    <xf numFmtId="0" fontId="27" fillId="10" borderId="31" applyNumberFormat="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2" fontId="5" fillId="0" borderId="0" applyFont="0" applyFill="0" applyBorder="0" applyAlignment="0" applyProtection="0"/>
    <xf numFmtId="0" fontId="37" fillId="5" borderId="0" applyNumberFormat="0" applyBorder="0" applyAlignment="0" applyProtection="0"/>
    <xf numFmtId="0" fontId="20" fillId="5" borderId="0" applyNumberFormat="0" applyBorder="0" applyAlignment="0" applyProtection="0"/>
    <xf numFmtId="38" fontId="32" fillId="36" borderId="0" applyNumberFormat="0" applyBorder="0" applyAlignment="0" applyProtection="0"/>
    <xf numFmtId="0" fontId="17" fillId="0" borderId="25"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38" fillId="8" borderId="28" applyNumberFormat="0" applyAlignment="0" applyProtection="0"/>
    <xf numFmtId="10" fontId="32" fillId="37" borderId="2" applyNumberFormat="0" applyBorder="0" applyAlignment="0" applyProtection="0"/>
    <xf numFmtId="0" fontId="23" fillId="8" borderId="28" applyNumberFormat="0" applyAlignment="0" applyProtection="0"/>
    <xf numFmtId="0" fontId="23" fillId="8" borderId="28" applyNumberFormat="0" applyAlignment="0" applyProtection="0"/>
    <xf numFmtId="0" fontId="39" fillId="0" borderId="30" applyNumberFormat="0" applyFill="0" applyAlignment="0" applyProtection="0"/>
    <xf numFmtId="0" fontId="26" fillId="0" borderId="30" applyNumberFormat="0" applyFill="0" applyAlignment="0" applyProtection="0"/>
    <xf numFmtId="174" fontId="5" fillId="0" borderId="0"/>
    <xf numFmtId="175"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22" fillId="7" borderId="0" applyNumberFormat="0" applyBorder="0" applyAlignment="0" applyProtection="0"/>
    <xf numFmtId="176" fontId="5" fillId="0" borderId="0"/>
    <xf numFmtId="0" fontId="5" fillId="0" borderId="0"/>
    <xf numFmtId="0" fontId="1" fillId="0" borderId="0"/>
    <xf numFmtId="0" fontId="5" fillId="0" borderId="0"/>
    <xf numFmtId="0" fontId="5" fillId="0" borderId="0"/>
    <xf numFmtId="0" fontId="1" fillId="0" borderId="0"/>
    <xf numFmtId="0" fontId="40" fillId="0" borderId="0"/>
    <xf numFmtId="0" fontId="1" fillId="0" borderId="0"/>
    <xf numFmtId="0" fontId="1" fillId="0" borderId="0"/>
    <xf numFmtId="0" fontId="2" fillId="0" borderId="0"/>
    <xf numFmtId="0" fontId="1" fillId="0" borderId="0"/>
    <xf numFmtId="0" fontId="40" fillId="0" borderId="0"/>
    <xf numFmtId="0" fontId="1" fillId="0" borderId="0"/>
    <xf numFmtId="0" fontId="40" fillId="0" borderId="0"/>
    <xf numFmtId="0" fontId="40" fillId="0" borderId="0"/>
    <xf numFmtId="0" fontId="1" fillId="0" borderId="0"/>
    <xf numFmtId="0" fontId="1" fillId="11" borderId="32" applyNumberFormat="0" applyFont="0" applyAlignment="0" applyProtection="0"/>
    <xf numFmtId="0" fontId="5" fillId="11" borderId="32" applyNumberFormat="0" applyFont="0" applyAlignment="0" applyProtection="0"/>
    <xf numFmtId="0" fontId="24" fillId="9" borderId="29" applyNumberFormat="0" applyAlignment="0" applyProtection="0"/>
    <xf numFmtId="9" fontId="2" fillId="0" borderId="0" applyFont="0" applyFill="0" applyBorder="0" applyAlignment="0" applyProtection="0"/>
    <xf numFmtId="10" fontId="5" fillId="0" borderId="0" applyFont="0" applyFill="0" applyBorder="0" applyAlignment="0" applyProtection="0"/>
    <xf numFmtId="0" fontId="2" fillId="0" borderId="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30" fillId="0" borderId="33" applyNumberFormat="0" applyFill="0" applyAlignment="0" applyProtection="0"/>
    <xf numFmtId="0" fontId="28" fillId="0" borderId="0" applyNumberFormat="0" applyFill="0" applyBorder="0" applyAlignment="0" applyProtection="0"/>
    <xf numFmtId="0" fontId="38" fillId="8" borderId="28" applyNumberFormat="0" applyAlignment="0" applyProtection="0"/>
    <xf numFmtId="0" fontId="38" fillId="8" borderId="28" applyNumberFormat="0" applyAlignment="0" applyProtection="0"/>
    <xf numFmtId="0" fontId="38" fillId="8" borderId="28" applyNumberFormat="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6" fillId="0" borderId="30" applyNumberFormat="0" applyFill="0" applyAlignment="0" applyProtection="0"/>
  </cellStyleXfs>
  <cellXfs count="17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43" fontId="2" fillId="0" borderId="0" xfId="5" applyFont="1"/>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4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7" fillId="2" borderId="2" xfId="0" applyFont="1" applyFill="1" applyBorder="1" applyAlignment="1">
      <alignment horizontal="center"/>
    </xf>
    <xf numFmtId="43" fontId="2" fillId="0" borderId="0" xfId="0" applyNumberFormat="1" applyFont="1"/>
    <xf numFmtId="169" fontId="43" fillId="2" borderId="34" xfId="134" applyNumberFormat="1" applyFont="1" applyFill="1" applyBorder="1"/>
    <xf numFmtId="169" fontId="43" fillId="2" borderId="35" xfId="134" applyNumberFormat="1" applyFont="1" applyFill="1" applyBorder="1"/>
    <xf numFmtId="168" fontId="2" fillId="2" borderId="2" xfId="0" applyNumberFormat="1" applyFont="1" applyFill="1" applyBorder="1" applyAlignment="1">
      <alignment wrapText="1"/>
    </xf>
    <xf numFmtId="168" fontId="2" fillId="2" borderId="3" xfId="0" applyNumberFormat="1" applyFont="1" applyFill="1" applyBorder="1"/>
    <xf numFmtId="169" fontId="2" fillId="0" borderId="0" xfId="5" applyNumberFormat="1" applyFont="1"/>
    <xf numFmtId="166" fontId="2" fillId="0" borderId="0" xfId="4" applyNumberFormat="1" applyFont="1"/>
    <xf numFmtId="169" fontId="43" fillId="2" borderId="30" xfId="85" applyNumberFormat="1" applyFont="1" applyFill="1"/>
    <xf numFmtId="177" fontId="43" fillId="8" borderId="30" xfId="85" applyNumberFormat="1" applyFont="1" applyFill="1" applyAlignment="1" applyProtection="1">
      <alignment vertical="center"/>
    </xf>
    <xf numFmtId="167" fontId="2" fillId="2" borderId="3" xfId="1" applyNumberFormat="1" applyFont="1" applyFill="1" applyBorder="1"/>
    <xf numFmtId="177" fontId="43" fillId="0" borderId="0" xfId="85" applyNumberFormat="1" applyFont="1" applyFill="1" applyBorder="1" applyAlignment="1" applyProtection="1">
      <alignment vertical="center"/>
    </xf>
    <xf numFmtId="177" fontId="43" fillId="0" borderId="36" xfId="85" applyNumberFormat="1" applyFont="1" applyFill="1" applyBorder="1" applyAlignment="1" applyProtection="1">
      <alignment vertical="center"/>
    </xf>
    <xf numFmtId="177" fontId="43" fillId="0" borderId="10" xfId="85" applyNumberFormat="1" applyFont="1" applyFill="1" applyBorder="1" applyAlignment="1" applyProtection="1">
      <alignment vertical="center"/>
    </xf>
    <xf numFmtId="43" fontId="27" fillId="0" borderId="31" xfId="6" applyNumberFormat="1" applyFill="1"/>
    <xf numFmtId="169" fontId="27" fillId="0" borderId="31" xfId="5" applyNumberFormat="1" applyFont="1" applyFill="1" applyBorder="1"/>
    <xf numFmtId="43" fontId="27" fillId="0" borderId="31" xfId="5" applyFont="1" applyFill="1" applyBorder="1"/>
    <xf numFmtId="167" fontId="27" fillId="0" borderId="31" xfId="54" applyNumberFormat="1" applyFill="1" applyAlignment="1">
      <alignment horizontal="right"/>
    </xf>
    <xf numFmtId="0" fontId="2" fillId="0" borderId="0" xfId="0" applyFont="1" applyFill="1" applyBorder="1"/>
    <xf numFmtId="168" fontId="2" fillId="0" borderId="0" xfId="0" applyNumberFormat="1" applyFont="1" applyFill="1" applyBorder="1"/>
    <xf numFmtId="167" fontId="6" fillId="0" borderId="12" xfId="1" applyNumberFormat="1" applyFont="1" applyFill="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135">
    <cellStyle name="$" xfId="8"/>
    <cellStyle name="$.00" xfId="9"/>
    <cellStyle name="$_9. Rev2Cost_GDPIPI" xfId="10"/>
    <cellStyle name="$_9. Rev2Cost_GDPIPI 2" xfId="11"/>
    <cellStyle name="$_lists" xfId="12"/>
    <cellStyle name="$_lists 2" xfId="13"/>
    <cellStyle name="$_lists_4. Current Monthly Fixed Charge" xfId="14"/>
    <cellStyle name="$_Sheet4" xfId="15"/>
    <cellStyle name="$_Sheet4 2" xfId="16"/>
    <cellStyle name="$M" xfId="17"/>
    <cellStyle name="$M.00" xfId="18"/>
    <cellStyle name="$M_9. Rev2Cost_GDPIPI" xfId="19"/>
    <cellStyle name="20% - Accent1 2" xfId="20"/>
    <cellStyle name="20% - Accent2 2" xfId="22"/>
    <cellStyle name="20% - Accent2 3" xfId="21"/>
    <cellStyle name="20% - Accent3 2" xfId="24"/>
    <cellStyle name="20% - Accent3 3" xfId="23"/>
    <cellStyle name="20% - Accent4 2" xfId="26"/>
    <cellStyle name="20% - Accent4 3" xfId="25"/>
    <cellStyle name="20% - Accent5 2" xfId="27"/>
    <cellStyle name="20% - Accent6 2" xfId="28"/>
    <cellStyle name="40% - Accent1 2" xfId="29"/>
    <cellStyle name="40% - Accent2 2" xfId="30"/>
    <cellStyle name="40% - Accent3 2" xfId="31"/>
    <cellStyle name="40% - Accent4 2" xfId="33"/>
    <cellStyle name="40% - Accent4 3" xfId="32"/>
    <cellStyle name="40% - Accent5 2" xfId="34"/>
    <cellStyle name="40% - Accent6 2" xfId="35"/>
    <cellStyle name="60% - Accent1 2" xfId="36"/>
    <cellStyle name="60% - Accent2 2" xfId="37"/>
    <cellStyle name="60% - Accent3 2" xfId="38"/>
    <cellStyle name="60% - Accent4 2" xfId="40"/>
    <cellStyle name="60% - Accent4 3" xfId="39"/>
    <cellStyle name="60% - Accent5 2" xfId="41"/>
    <cellStyle name="60% - Accent6 2" xfId="42"/>
    <cellStyle name="Accent1 2" xfId="43"/>
    <cellStyle name="Accent2 2" xfId="44"/>
    <cellStyle name="Accent3 2" xfId="45"/>
    <cellStyle name="Accent4 2" xfId="47"/>
    <cellStyle name="Accent4 3" xfId="46"/>
    <cellStyle name="Accent5 2" xfId="48"/>
    <cellStyle name="Accent6 2" xfId="49"/>
    <cellStyle name="Bad 2" xfId="50"/>
    <cellStyle name="Calculation 2" xfId="52"/>
    <cellStyle name="Calculation 3" xfId="51"/>
    <cellStyle name="Check Cell" xfId="6" builtinId="23"/>
    <cellStyle name="Check Cell 2" xfId="54"/>
    <cellStyle name="Check Cell 3" xfId="53"/>
    <cellStyle name="Comma" xfId="5" builtinId="3"/>
    <cellStyle name="Comma 2" xfId="56"/>
    <cellStyle name="Comma 2 2" xfId="57"/>
    <cellStyle name="Comma 2 3" xfId="58"/>
    <cellStyle name="Comma 3" xfId="59"/>
    <cellStyle name="Comma 3 2" xfId="60"/>
    <cellStyle name="Comma 3 3" xfId="61"/>
    <cellStyle name="Comma 4" xfId="62"/>
    <cellStyle name="Comma 4 2" xfId="63"/>
    <cellStyle name="Comma 5" xfId="55"/>
    <cellStyle name="Comma0" xfId="64"/>
    <cellStyle name="Currency" xfId="1" builtinId="4"/>
    <cellStyle name="Currency 2" xfId="66"/>
    <cellStyle name="Currency 3" xfId="67"/>
    <cellStyle name="Currency 4" xfId="65"/>
    <cellStyle name="Currency0" xfId="68"/>
    <cellStyle name="Date" xfId="69"/>
    <cellStyle name="Explanatory Text 2" xfId="71"/>
    <cellStyle name="Explanatory Text 3" xfId="70"/>
    <cellStyle name="Fixed" xfId="72"/>
    <cellStyle name="Good 2" xfId="74"/>
    <cellStyle name="Good 3" xfId="73"/>
    <cellStyle name="Grey" xfId="75"/>
    <cellStyle name="Heading 1 2" xfId="76"/>
    <cellStyle name="Heading 2 2" xfId="77"/>
    <cellStyle name="Heading 3 2" xfId="78"/>
    <cellStyle name="Heading 4 2" xfId="79"/>
    <cellStyle name="Input [yellow]" xfId="81"/>
    <cellStyle name="Input 2" xfId="82"/>
    <cellStyle name="Input 2 2" xfId="83"/>
    <cellStyle name="Input 3" xfId="80"/>
    <cellStyle name="Input 4" xfId="128"/>
    <cellStyle name="Input 5" xfId="126"/>
    <cellStyle name="Input 6" xfId="127"/>
    <cellStyle name="Linked Cell" xfId="134" builtinId="24"/>
    <cellStyle name="Linked Cell 2" xfId="85"/>
    <cellStyle name="Linked Cell 3" xfId="84"/>
    <cellStyle name="M" xfId="86"/>
    <cellStyle name="M.00" xfId="87"/>
    <cellStyle name="M_9. Rev2Cost_GDPIPI" xfId="88"/>
    <cellStyle name="M_9. Rev2Cost_GDPIPI 2" xfId="89"/>
    <cellStyle name="M_lists" xfId="90"/>
    <cellStyle name="M_lists 2" xfId="91"/>
    <cellStyle name="M_lists_4. Current Monthly Fixed Charge" xfId="92"/>
    <cellStyle name="M_Sheet4" xfId="93"/>
    <cellStyle name="M_Sheet4 2" xfId="94"/>
    <cellStyle name="Neutral 2" xfId="95"/>
    <cellStyle name="Normal" xfId="0" builtinId="0"/>
    <cellStyle name="Normal - Style1" xfId="96"/>
    <cellStyle name="Normal 10" xfId="7"/>
    <cellStyle name="Normal 11" xfId="117"/>
    <cellStyle name="Normal 12" xfId="130"/>
    <cellStyle name="Normal 13" xfId="133"/>
    <cellStyle name="Normal 2" xfId="2"/>
    <cellStyle name="Normal 2 2" xfId="97"/>
    <cellStyle name="Normal 3" xfId="98"/>
    <cellStyle name="Normal 3 2" xfId="99"/>
    <cellStyle name="Normal 4" xfId="100"/>
    <cellStyle name="Normal 4 2" xfId="101"/>
    <cellStyle name="Normal 4 3" xfId="102"/>
    <cellStyle name="Normal 5" xfId="103"/>
    <cellStyle name="Normal 5 2" xfId="104"/>
    <cellStyle name="Normal 5 3" xfId="105"/>
    <cellStyle name="Normal 6" xfId="106"/>
    <cellStyle name="Normal 6 2" xfId="107"/>
    <cellStyle name="Normal 7" xfId="108"/>
    <cellStyle name="Normal 7 2" xfId="109"/>
    <cellStyle name="Normal 8" xfId="110"/>
    <cellStyle name="Normal 9" xfId="111"/>
    <cellStyle name="Note 2" xfId="112"/>
    <cellStyle name="Note 2 2" xfId="113"/>
    <cellStyle name="Output 2" xfId="114"/>
    <cellStyle name="Percent" xfId="4" builtinId="5"/>
    <cellStyle name="Percent [2]" xfId="116"/>
    <cellStyle name="Percent 2" xfId="3"/>
    <cellStyle name="Percent 2 2" xfId="118"/>
    <cellStyle name="Percent 3" xfId="119"/>
    <cellStyle name="Percent 3 2" xfId="120"/>
    <cellStyle name="Percent 3 3" xfId="121"/>
    <cellStyle name="Percent 4" xfId="122"/>
    <cellStyle name="Percent 5" xfId="115"/>
    <cellStyle name="Percent 6" xfId="131"/>
    <cellStyle name="Percent 7" xfId="132"/>
    <cellStyle name="Percent 8" xfId="129"/>
    <cellStyle name="Title 2" xfId="123"/>
    <cellStyle name="Total 2" xfId="124"/>
    <cellStyle name="Warning Text 2" xfId="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Thunder Bay Hydro uses</a:t>
          </a:r>
          <a:r>
            <a:rPr lang="en-CA" sz="1100" baseline="0">
              <a:latin typeface="Arial" panose="020B0604020202020204" pitchFamily="34" charset="0"/>
              <a:cs typeface="Arial" panose="020B0604020202020204" pitchFamily="34" charset="0"/>
            </a:rPr>
            <a:t> Kinetiq to upload</a:t>
          </a:r>
          <a:r>
            <a:rPr lang="en-CA" sz="1100">
              <a:latin typeface="Arial" panose="020B0604020202020204" pitchFamily="34" charset="0"/>
              <a:cs typeface="Arial" panose="020B0604020202020204" pitchFamily="34" charset="0"/>
            </a:rPr>
            <a:t> the First Estimate daily for billing its Non-</a:t>
          </a:r>
          <a:r>
            <a:rPr lang="en-CA" sz="1100" baseline="0">
              <a:latin typeface="Arial" panose="020B0604020202020204" pitchFamily="34" charset="0"/>
              <a:cs typeface="Arial" panose="020B0604020202020204" pitchFamily="34" charset="0"/>
            </a:rPr>
            <a:t> RPP</a:t>
          </a:r>
          <a:r>
            <a:rPr lang="en-CA" sz="1100">
              <a:latin typeface="Arial" panose="020B0604020202020204" pitchFamily="34" charset="0"/>
              <a:cs typeface="Arial" panose="020B0604020202020204" pitchFamily="34" charset="0"/>
            </a:rPr>
            <a:t> Class</a:t>
          </a:r>
          <a:r>
            <a:rPr lang="en-CA" sz="1100" baseline="0">
              <a:latin typeface="Arial" panose="020B0604020202020204" pitchFamily="34" charset="0"/>
              <a:cs typeface="Arial" panose="020B0604020202020204" pitchFamily="34" charset="0"/>
            </a:rPr>
            <a:t> B Customers. </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latin typeface="Arial" panose="020B0604020202020204" pitchFamily="34" charset="0"/>
              <a:ea typeface="+mn-ea"/>
              <a:cs typeface="Arial" panose="020B0604020202020204" pitchFamily="34" charset="0"/>
            </a:rPr>
            <a:t>Thunder Bay Hydro  is not on a calendar month Billing. The consumption for billing cycles is billed in the subsequent month.</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For customers which the billing cycle spans more than one load month (I.E - Sept 12 - Oct  12) the billing system will use the daily consumption table to apply the rate for the first 18 days, and will apply the following months first estimate to the remaining 12 days, which would result in a blended weighted average rate over the billing time period when calculated using the bill.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92</xdr:row>
      <xdr:rowOff>123825</xdr:rowOff>
    </xdr:from>
    <xdr:to>
      <xdr:col>8</xdr:col>
      <xdr:colOff>0</xdr:colOff>
      <xdr:row>104</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0:Z83"/>
  <sheetViews>
    <sheetView workbookViewId="0"/>
  </sheetViews>
  <sheetFormatPr defaultColWidth="9.140625" defaultRowHeight="15" x14ac:dyDescent="0.2"/>
  <cols>
    <col min="1" max="1" width="5.5703125" style="42" customWidth="1"/>
    <col min="2" max="2" width="16.140625" style="81" customWidth="1"/>
    <col min="3" max="3" width="164.5703125" style="40" customWidth="1"/>
    <col min="4" max="16384" width="9.140625" style="40"/>
  </cols>
  <sheetData>
    <row r="10" spans="1:3" ht="15.75" x14ac:dyDescent="0.25">
      <c r="C10" s="128" t="s">
        <v>160</v>
      </c>
    </row>
    <row r="11" spans="1:3" ht="15.75" x14ac:dyDescent="0.2">
      <c r="A11" s="43" t="s">
        <v>121</v>
      </c>
    </row>
    <row r="13" spans="1:3" ht="15.75" x14ac:dyDescent="0.2">
      <c r="A13" s="44" t="s">
        <v>31</v>
      </c>
    </row>
    <row r="14" spans="1:3" ht="34.5" customHeight="1" x14ac:dyDescent="0.2">
      <c r="A14" s="151" t="s">
        <v>153</v>
      </c>
      <c r="B14" s="151"/>
      <c r="C14" s="151"/>
    </row>
    <row r="16" spans="1:3" ht="15.75" x14ac:dyDescent="0.2">
      <c r="A16" s="44" t="s">
        <v>46</v>
      </c>
    </row>
    <row r="17" spans="1:26" x14ac:dyDescent="0.2">
      <c r="A17" s="42" t="s">
        <v>47</v>
      </c>
    </row>
    <row r="18" spans="1:26" ht="33" customHeight="1" x14ac:dyDescent="0.2">
      <c r="A18" s="153" t="s">
        <v>84</v>
      </c>
      <c r="B18" s="153"/>
      <c r="C18" s="153"/>
    </row>
    <row r="20" spans="1:26" x14ac:dyDescent="0.2">
      <c r="A20" s="42">
        <v>1</v>
      </c>
      <c r="B20" s="150" t="s">
        <v>139</v>
      </c>
      <c r="C20" s="150"/>
    </row>
    <row r="21" spans="1:26" x14ac:dyDescent="0.2">
      <c r="B21" s="124"/>
      <c r="C21" s="124"/>
    </row>
    <row r="23" spans="1:26" ht="31.5" customHeight="1" x14ac:dyDescent="0.2">
      <c r="A23" s="42">
        <v>2</v>
      </c>
      <c r="B23" s="151" t="s">
        <v>85</v>
      </c>
      <c r="C23" s="151"/>
    </row>
    <row r="24" spans="1:26" x14ac:dyDescent="0.2">
      <c r="B24" s="123"/>
      <c r="C24" s="123"/>
    </row>
    <row r="26" spans="1:26" x14ac:dyDescent="0.2">
      <c r="A26" s="42">
        <v>3</v>
      </c>
      <c r="B26" s="152" t="s">
        <v>108</v>
      </c>
      <c r="C26" s="152"/>
    </row>
    <row r="27" spans="1:26" ht="32.25" customHeight="1" x14ac:dyDescent="0.2">
      <c r="B27" s="151" t="s">
        <v>116</v>
      </c>
      <c r="C27" s="151"/>
    </row>
    <row r="28" spans="1:26" ht="63" customHeight="1" x14ac:dyDescent="0.2">
      <c r="B28" s="151" t="s">
        <v>128</v>
      </c>
      <c r="C28" s="15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51" t="s">
        <v>117</v>
      </c>
      <c r="C29" s="15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4" t="s">
        <v>43</v>
      </c>
    </row>
    <row r="31" spans="1:26" x14ac:dyDescent="0.2">
      <c r="B31" s="84"/>
    </row>
    <row r="32" spans="1:26" x14ac:dyDescent="0.2">
      <c r="B32" s="84"/>
    </row>
    <row r="33" spans="1:3" ht="35.25" customHeight="1" x14ac:dyDescent="0.2">
      <c r="A33" s="151" t="s">
        <v>154</v>
      </c>
      <c r="B33" s="151"/>
      <c r="C33" s="151"/>
    </row>
    <row r="34" spans="1:3" x14ac:dyDescent="0.2">
      <c r="B34" s="123"/>
      <c r="C34" s="123"/>
    </row>
    <row r="35" spans="1:3" x14ac:dyDescent="0.2">
      <c r="B35" s="83"/>
    </row>
    <row r="36" spans="1:3" x14ac:dyDescent="0.2">
      <c r="A36" s="42">
        <v>4</v>
      </c>
      <c r="B36" s="152" t="s">
        <v>140</v>
      </c>
      <c r="C36" s="152"/>
    </row>
    <row r="37" spans="1:3" ht="78.75" customHeight="1" x14ac:dyDescent="0.2">
      <c r="B37" s="151" t="s">
        <v>141</v>
      </c>
      <c r="C37" s="151"/>
    </row>
    <row r="38" spans="1:3" ht="65.25" customHeight="1" x14ac:dyDescent="0.2">
      <c r="B38" s="151" t="s">
        <v>123</v>
      </c>
      <c r="C38" s="151"/>
    </row>
    <row r="39" spans="1:3" ht="31.5" customHeight="1" x14ac:dyDescent="0.2">
      <c r="B39" s="151" t="s">
        <v>122</v>
      </c>
      <c r="C39" s="151"/>
    </row>
    <row r="40" spans="1:3" ht="30" customHeight="1" x14ac:dyDescent="0.2">
      <c r="B40" s="151" t="s">
        <v>124</v>
      </c>
      <c r="C40" s="151"/>
    </row>
    <row r="41" spans="1:3" x14ac:dyDescent="0.2">
      <c r="B41" s="123"/>
      <c r="C41" s="123"/>
    </row>
    <row r="42" spans="1:3" ht="47.25" customHeight="1" x14ac:dyDescent="0.2">
      <c r="B42" s="88" t="s">
        <v>109</v>
      </c>
      <c r="C42" s="41" t="s">
        <v>86</v>
      </c>
    </row>
    <row r="43" spans="1:3" ht="33.75" customHeight="1" x14ac:dyDescent="0.2">
      <c r="B43" s="88" t="s">
        <v>111</v>
      </c>
      <c r="C43" s="41" t="s">
        <v>110</v>
      </c>
    </row>
    <row r="44" spans="1:3" x14ac:dyDescent="0.2">
      <c r="B44" s="88" t="s">
        <v>114</v>
      </c>
      <c r="C44" s="41" t="s">
        <v>112</v>
      </c>
    </row>
    <row r="45" spans="1:3" x14ac:dyDescent="0.2">
      <c r="B45" s="89" t="s">
        <v>115</v>
      </c>
      <c r="C45" s="82" t="s">
        <v>113</v>
      </c>
    </row>
    <row r="46" spans="1:3" x14ac:dyDescent="0.2">
      <c r="B46" s="86"/>
      <c r="C46" s="82"/>
    </row>
    <row r="48" spans="1:3" x14ac:dyDescent="0.2">
      <c r="A48" s="42">
        <v>5</v>
      </c>
      <c r="B48" s="87" t="s">
        <v>118</v>
      </c>
    </row>
    <row r="49" spans="2:3" ht="29.25" customHeight="1" x14ac:dyDescent="0.2">
      <c r="B49" s="151" t="s">
        <v>134</v>
      </c>
      <c r="C49" s="151"/>
    </row>
    <row r="51" spans="2:3" ht="30" customHeight="1" x14ac:dyDescent="0.2">
      <c r="B51" s="151" t="s">
        <v>119</v>
      </c>
      <c r="C51" s="151"/>
    </row>
    <row r="52" spans="2:3" ht="30" customHeight="1" x14ac:dyDescent="0.2">
      <c r="B52" s="151" t="s">
        <v>87</v>
      </c>
      <c r="C52" s="151"/>
    </row>
    <row r="53" spans="2:3" x14ac:dyDescent="0.2">
      <c r="B53" s="123"/>
      <c r="C53" s="123"/>
    </row>
    <row r="54" spans="2:3" x14ac:dyDescent="0.2">
      <c r="B54" s="126" t="s">
        <v>88</v>
      </c>
    </row>
    <row r="55" spans="2:3" x14ac:dyDescent="0.2">
      <c r="B55" s="90" t="s">
        <v>89</v>
      </c>
      <c r="C55" s="41" t="s">
        <v>90</v>
      </c>
    </row>
    <row r="56" spans="2:3" ht="45" x14ac:dyDescent="0.2">
      <c r="B56" s="90"/>
      <c r="C56" s="41" t="s">
        <v>155</v>
      </c>
    </row>
    <row r="57" spans="2:3" x14ac:dyDescent="0.2">
      <c r="B57" s="90"/>
      <c r="C57" s="40" t="s">
        <v>91</v>
      </c>
    </row>
    <row r="58" spans="2:3" x14ac:dyDescent="0.2">
      <c r="B58" s="90"/>
      <c r="C58" s="40" t="s">
        <v>92</v>
      </c>
    </row>
    <row r="59" spans="2:3" ht="21" customHeight="1" x14ac:dyDescent="0.2">
      <c r="B59" s="91" t="s">
        <v>95</v>
      </c>
      <c r="C59" s="40" t="s">
        <v>94</v>
      </c>
    </row>
    <row r="60" spans="2:3" ht="18.75" customHeight="1" x14ac:dyDescent="0.2">
      <c r="B60" s="91"/>
      <c r="C60" s="41" t="s">
        <v>93</v>
      </c>
    </row>
    <row r="61" spans="2:3" x14ac:dyDescent="0.2">
      <c r="B61" s="91"/>
      <c r="C61" s="40" t="s">
        <v>96</v>
      </c>
    </row>
    <row r="62" spans="2:3" x14ac:dyDescent="0.2">
      <c r="B62" s="91"/>
      <c r="C62" s="40" t="s">
        <v>97</v>
      </c>
    </row>
    <row r="63" spans="2:3" x14ac:dyDescent="0.2">
      <c r="B63" s="91" t="s">
        <v>99</v>
      </c>
      <c r="C63" s="40" t="s">
        <v>98</v>
      </c>
    </row>
    <row r="64" spans="2:3" ht="45" x14ac:dyDescent="0.2">
      <c r="B64" s="91"/>
      <c r="C64" s="123" t="s">
        <v>100</v>
      </c>
    </row>
    <row r="65" spans="1:3" x14ac:dyDescent="0.2">
      <c r="B65" s="91"/>
      <c r="C65" s="40" t="s">
        <v>101</v>
      </c>
    </row>
    <row r="66" spans="1:3" x14ac:dyDescent="0.2">
      <c r="B66" s="91"/>
      <c r="C66" s="40" t="s">
        <v>125</v>
      </c>
    </row>
    <row r="67" spans="1:3" x14ac:dyDescent="0.2">
      <c r="B67" s="91" t="s">
        <v>103</v>
      </c>
      <c r="C67" s="40" t="s">
        <v>102</v>
      </c>
    </row>
    <row r="68" spans="1:3" ht="45" x14ac:dyDescent="0.2">
      <c r="B68" s="91"/>
      <c r="C68" s="123" t="s">
        <v>143</v>
      </c>
    </row>
    <row r="69" spans="1:3" ht="30" x14ac:dyDescent="0.2">
      <c r="B69" s="91"/>
      <c r="C69" s="123" t="s">
        <v>144</v>
      </c>
    </row>
    <row r="70" spans="1:3" x14ac:dyDescent="0.2">
      <c r="B70" s="91" t="s">
        <v>105</v>
      </c>
      <c r="C70" s="40" t="s">
        <v>104</v>
      </c>
    </row>
    <row r="71" spans="1:3" ht="30" x14ac:dyDescent="0.2">
      <c r="B71" s="91"/>
      <c r="C71" s="123" t="s">
        <v>106</v>
      </c>
    </row>
    <row r="72" spans="1:3" x14ac:dyDescent="0.2">
      <c r="B72" s="91" t="s">
        <v>145</v>
      </c>
      <c r="C72" s="123" t="s">
        <v>136</v>
      </c>
    </row>
    <row r="73" spans="1:3" ht="45" x14ac:dyDescent="0.2">
      <c r="B73" s="91"/>
      <c r="C73" s="123" t="s">
        <v>147</v>
      </c>
    </row>
    <row r="74" spans="1:3" x14ac:dyDescent="0.2">
      <c r="B74" s="91" t="s">
        <v>146</v>
      </c>
      <c r="C74" s="123" t="s">
        <v>148</v>
      </c>
    </row>
    <row r="75" spans="1:3" ht="30" x14ac:dyDescent="0.2">
      <c r="B75" s="91"/>
      <c r="C75" s="123" t="s">
        <v>126</v>
      </c>
    </row>
    <row r="76" spans="1:3" x14ac:dyDescent="0.2">
      <c r="B76" s="91"/>
      <c r="C76" s="123"/>
    </row>
    <row r="77" spans="1:3" x14ac:dyDescent="0.2">
      <c r="A77" s="42">
        <v>6</v>
      </c>
      <c r="B77" s="127" t="s">
        <v>150</v>
      </c>
      <c r="C77" s="123"/>
    </row>
    <row r="78" spans="1:3" ht="59.25" customHeight="1" x14ac:dyDescent="0.2">
      <c r="B78" s="153" t="s">
        <v>151</v>
      </c>
      <c r="C78" s="153"/>
    </row>
    <row r="79" spans="1:3" x14ac:dyDescent="0.2">
      <c r="B79" s="85"/>
      <c r="C79" s="123"/>
    </row>
    <row r="81" spans="1:3" ht="30.75" customHeight="1" x14ac:dyDescent="0.2">
      <c r="A81" s="42">
        <v>7</v>
      </c>
      <c r="B81" s="151" t="s">
        <v>152</v>
      </c>
      <c r="C81" s="151"/>
    </row>
    <row r="82" spans="1:3" x14ac:dyDescent="0.2">
      <c r="B82" s="123"/>
      <c r="C82" s="123"/>
    </row>
    <row r="83" spans="1:3" ht="15.75" customHeight="1" x14ac:dyDescent="0.2">
      <c r="B83" s="150" t="s">
        <v>107</v>
      </c>
      <c r="C83" s="150"/>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3"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2:X100"/>
  <sheetViews>
    <sheetView tabSelected="1" topLeftCell="A50" workbookViewId="0">
      <selection activeCell="D61" sqref="D61"/>
    </sheetView>
  </sheetViews>
  <sheetFormatPr defaultColWidth="9.140625" defaultRowHeight="14.25" x14ac:dyDescent="0.2"/>
  <cols>
    <col min="1" max="1" width="10.28515625" style="1" customWidth="1"/>
    <col min="2" max="2" width="53.85546875" style="1" customWidth="1"/>
    <col min="3" max="3" width="39.85546875" style="1" customWidth="1"/>
    <col min="4" max="4" width="23.140625" style="1" customWidth="1"/>
    <col min="5" max="5" width="19.140625" style="1" customWidth="1"/>
    <col min="6" max="6" width="24.42578125" style="1" customWidth="1"/>
    <col min="7" max="7" width="21.5703125" style="1" customWidth="1"/>
    <col min="8" max="8" width="20.5703125" style="1" customWidth="1"/>
    <col min="9" max="9" width="17.7109375" style="1" customWidth="1"/>
    <col min="10" max="10" width="19.140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129</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81</v>
      </c>
      <c r="C20" s="21"/>
      <c r="D20" s="21"/>
      <c r="E20" s="21"/>
      <c r="F20" s="21"/>
      <c r="I20" s="77"/>
      <c r="J20" s="77"/>
      <c r="K20" s="77"/>
      <c r="L20" s="77"/>
      <c r="M20" s="77"/>
      <c r="N20" s="77"/>
      <c r="O20" s="77"/>
      <c r="P20" s="77"/>
      <c r="Q20" s="77"/>
      <c r="R20" s="77"/>
      <c r="S20" s="77"/>
    </row>
    <row r="21" spans="1:24" ht="15" x14ac:dyDescent="0.2">
      <c r="A21" s="4"/>
      <c r="B21" s="159" t="s">
        <v>25</v>
      </c>
      <c r="C21" s="159"/>
      <c r="D21" s="24">
        <v>2016</v>
      </c>
      <c r="E21" s="160"/>
      <c r="F21" s="161"/>
      <c r="G21" s="77"/>
      <c r="H21" s="77"/>
      <c r="I21" s="77"/>
      <c r="J21" s="77"/>
      <c r="K21" s="77"/>
      <c r="L21" s="77"/>
      <c r="M21" s="77"/>
      <c r="N21" s="77"/>
      <c r="O21" s="77"/>
      <c r="P21" s="77"/>
      <c r="Q21" s="77"/>
    </row>
    <row r="22" spans="1:24" ht="14.45" thickBot="1" x14ac:dyDescent="0.3">
      <c r="A22" s="4"/>
      <c r="B22" s="5" t="s">
        <v>3</v>
      </c>
      <c r="C22" s="5" t="s">
        <v>2</v>
      </c>
      <c r="D22" s="108">
        <f>D23+D24</f>
        <v>892427205</v>
      </c>
      <c r="E22" s="6" t="s">
        <v>0</v>
      </c>
      <c r="F22" s="7">
        <v>1</v>
      </c>
      <c r="G22" s="77"/>
      <c r="H22" s="77"/>
      <c r="I22" s="77"/>
      <c r="J22" s="77"/>
      <c r="K22" s="77"/>
      <c r="L22" s="77"/>
      <c r="M22" s="77"/>
      <c r="N22" s="77"/>
      <c r="O22" s="77"/>
      <c r="P22" s="77"/>
      <c r="Q22" s="77"/>
    </row>
    <row r="23" spans="1:24" ht="13.9" x14ac:dyDescent="0.25">
      <c r="B23" s="5" t="s">
        <v>7</v>
      </c>
      <c r="C23" s="5" t="s">
        <v>1</v>
      </c>
      <c r="D23" s="109">
        <v>462035716</v>
      </c>
      <c r="E23" s="6" t="s">
        <v>0</v>
      </c>
      <c r="F23" s="8">
        <f>IFERROR(D23/$D$22,0)</f>
        <v>0.51772930431900044</v>
      </c>
    </row>
    <row r="24" spans="1:24" ht="14.45" thickBot="1" x14ac:dyDescent="0.3">
      <c r="B24" s="5" t="s">
        <v>8</v>
      </c>
      <c r="C24" s="5" t="s">
        <v>6</v>
      </c>
      <c r="D24" s="108">
        <f>D25+D26</f>
        <v>430391489</v>
      </c>
      <c r="E24" s="6" t="s">
        <v>0</v>
      </c>
      <c r="F24" s="8">
        <f>IFERROR(D24/$D$22,0)</f>
        <v>0.48227069568099956</v>
      </c>
    </row>
    <row r="25" spans="1:24" ht="13.9" x14ac:dyDescent="0.25">
      <c r="B25" s="5" t="s">
        <v>9</v>
      </c>
      <c r="C25" s="5" t="s">
        <v>4</v>
      </c>
      <c r="D25" s="109">
        <v>37352640</v>
      </c>
      <c r="E25" s="6" t="s">
        <v>0</v>
      </c>
      <c r="F25" s="8">
        <f>IFERROR(D25/$D$22,0)</f>
        <v>4.1855111308490421E-2</v>
      </c>
    </row>
    <row r="26" spans="1:24" ht="13.9" x14ac:dyDescent="0.25">
      <c r="B26" s="5" t="s">
        <v>61</v>
      </c>
      <c r="C26" s="5" t="s">
        <v>5</v>
      </c>
      <c r="D26" s="110">
        <f>430391489-37352640</f>
        <v>393038849</v>
      </c>
      <c r="E26" s="6" t="s">
        <v>0</v>
      </c>
      <c r="F26" s="8">
        <f>IFERROR(D26/$D$22,0)</f>
        <v>0.44041558437250911</v>
      </c>
      <c r="G26" s="29"/>
      <c r="H26" s="29"/>
    </row>
    <row r="27" spans="1:24" ht="34.5" customHeight="1" x14ac:dyDescent="0.25">
      <c r="B27" s="162" t="s">
        <v>77</v>
      </c>
      <c r="C27" s="162"/>
      <c r="D27" s="162"/>
      <c r="E27" s="162"/>
      <c r="F27" s="162"/>
      <c r="G27" s="163"/>
      <c r="H27" s="163"/>
    </row>
    <row r="28" spans="1:24" x14ac:dyDescent="0.2">
      <c r="D28" s="111"/>
      <c r="E28" s="35"/>
      <c r="F28" s="35"/>
      <c r="G28" s="35"/>
    </row>
    <row r="29" spans="1:24" ht="15" x14ac:dyDescent="0.25">
      <c r="A29" s="1" t="s">
        <v>35</v>
      </c>
      <c r="B29" s="3" t="s">
        <v>41</v>
      </c>
      <c r="D29" s="135"/>
      <c r="E29" s="136"/>
    </row>
    <row r="30" spans="1:24" ht="15" x14ac:dyDescent="0.25">
      <c r="B30" s="3"/>
      <c r="D30" s="130"/>
    </row>
    <row r="31" spans="1:24" ht="15" x14ac:dyDescent="0.25">
      <c r="B31" s="2" t="s">
        <v>22</v>
      </c>
      <c r="C31" s="52" t="s">
        <v>161</v>
      </c>
      <c r="E31" s="77"/>
      <c r="F31" s="35"/>
      <c r="G31" s="35"/>
      <c r="H31" s="35"/>
      <c r="I31" s="35"/>
      <c r="J31" s="35"/>
      <c r="K31" s="35"/>
    </row>
    <row r="32" spans="1:24" x14ac:dyDescent="0.2">
      <c r="E32" s="77"/>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140</v>
      </c>
      <c r="C43" s="3" t="s">
        <v>162</v>
      </c>
    </row>
    <row r="44" spans="1:23" ht="15.75" thickBot="1" x14ac:dyDescent="0.3">
      <c r="B44" s="2" t="s">
        <v>25</v>
      </c>
      <c r="C44" s="93">
        <v>2016</v>
      </c>
      <c r="D44" s="77"/>
      <c r="E44" s="77"/>
      <c r="F44" s="78"/>
      <c r="G44" s="33"/>
      <c r="H44" s="33"/>
      <c r="I44" s="33"/>
      <c r="J44" s="33"/>
      <c r="K44" s="33"/>
      <c r="N44" s="3" t="s">
        <v>29</v>
      </c>
    </row>
    <row r="45" spans="1:23" s="9" customFormat="1" ht="80.25" customHeight="1" thickBot="1" x14ac:dyDescent="0.3">
      <c r="B45" s="50" t="s">
        <v>39</v>
      </c>
      <c r="C45" s="61" t="s">
        <v>138</v>
      </c>
      <c r="D45" s="79" t="s">
        <v>82</v>
      </c>
      <c r="E45" s="80" t="s">
        <v>83</v>
      </c>
      <c r="F45" s="66" t="s">
        <v>127</v>
      </c>
      <c r="G45" s="26" t="s">
        <v>49</v>
      </c>
      <c r="H45" s="26" t="s">
        <v>23</v>
      </c>
      <c r="I45" s="26" t="s">
        <v>50</v>
      </c>
      <c r="J45" s="26" t="s">
        <v>76</v>
      </c>
      <c r="K45" s="67" t="s">
        <v>78</v>
      </c>
      <c r="N45" s="11"/>
      <c r="O45" s="154">
        <v>2016</v>
      </c>
      <c r="P45" s="154"/>
      <c r="Q45" s="154"/>
      <c r="R45" s="154">
        <v>2015</v>
      </c>
      <c r="S45" s="154"/>
      <c r="T45" s="154"/>
      <c r="U45" s="154">
        <v>2014</v>
      </c>
      <c r="V45" s="154"/>
      <c r="W45" s="154"/>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6" t="s">
        <v>26</v>
      </c>
      <c r="P46" s="96" t="s">
        <v>27</v>
      </c>
      <c r="Q46" s="96" t="s">
        <v>28</v>
      </c>
      <c r="R46" s="96" t="s">
        <v>26</v>
      </c>
      <c r="S46" s="96" t="s">
        <v>27</v>
      </c>
      <c r="T46" s="96" t="s">
        <v>28</v>
      </c>
      <c r="U46" s="96" t="s">
        <v>26</v>
      </c>
      <c r="V46" s="96" t="s">
        <v>27</v>
      </c>
      <c r="W46" s="96" t="s">
        <v>28</v>
      </c>
    </row>
    <row r="47" spans="1:23" ht="15.75" thickBot="1" x14ac:dyDescent="0.3">
      <c r="B47" s="13" t="s">
        <v>10</v>
      </c>
      <c r="C47" s="131">
        <v>38874838.589999922</v>
      </c>
      <c r="D47" s="92"/>
      <c r="E47" s="92"/>
      <c r="F47" s="51">
        <f>C47-D47+E47</f>
        <v>38874838.589999922</v>
      </c>
      <c r="G47" s="104">
        <f>84.23/1000</f>
        <v>8.4229999999999999E-2</v>
      </c>
      <c r="H47" s="15">
        <f>F47*G47</f>
        <v>3274427.6544356933</v>
      </c>
      <c r="I47" s="104">
        <f>91.79/1000</f>
        <v>9.179000000000001E-2</v>
      </c>
      <c r="J47" s="17">
        <f>F47*I47</f>
        <v>3568321.4341760934</v>
      </c>
      <c r="K47" s="16">
        <f>J47-H47</f>
        <v>293893.77974040015</v>
      </c>
      <c r="N47" s="11" t="s">
        <v>10</v>
      </c>
      <c r="O47" s="133">
        <v>8.4229999999999999E-2</v>
      </c>
      <c r="P47" s="19">
        <v>9.214E-2</v>
      </c>
      <c r="Q47" s="133">
        <v>9.1789999999999997E-2</v>
      </c>
      <c r="R47" s="19">
        <v>5.5490000000000005E-2</v>
      </c>
      <c r="S47" s="19">
        <v>6.1609999999999998E-2</v>
      </c>
      <c r="T47" s="19">
        <v>5.0680000000000003E-2</v>
      </c>
      <c r="U47" s="19">
        <v>3.6260000000000001E-2</v>
      </c>
      <c r="V47" s="19">
        <v>1.806E-2</v>
      </c>
      <c r="W47" s="19">
        <v>1.261E-2</v>
      </c>
    </row>
    <row r="48" spans="1:23" ht="16.5" thickTop="1" thickBot="1" x14ac:dyDescent="0.3">
      <c r="B48" s="13" t="s">
        <v>11</v>
      </c>
      <c r="C48" s="132">
        <v>35152969.149999969</v>
      </c>
      <c r="D48" s="92"/>
      <c r="E48" s="92"/>
      <c r="F48" s="51">
        <f t="shared" ref="F48:F58" si="0">C48-D48+E48</f>
        <v>35152969.149999969</v>
      </c>
      <c r="G48" s="104">
        <f>103.84/1000</f>
        <v>0.10384</v>
      </c>
      <c r="H48" s="15">
        <f t="shared" ref="H48:H58" si="1">F48*G48</f>
        <v>3650284.3165359967</v>
      </c>
      <c r="I48" s="104">
        <f>98.51/1000</f>
        <v>9.851E-2</v>
      </c>
      <c r="J48" s="17">
        <f t="shared" ref="J48:J58" si="2">F48*I48</f>
        <v>3462918.990966497</v>
      </c>
      <c r="K48" s="16">
        <f t="shared" ref="K48:K58" si="3">J48-H48</f>
        <v>-187365.32556949975</v>
      </c>
      <c r="N48" s="11" t="s">
        <v>11</v>
      </c>
      <c r="O48" s="104">
        <v>0.10384</v>
      </c>
      <c r="P48" s="20">
        <v>9.6780000000000005E-2</v>
      </c>
      <c r="Q48" s="104">
        <v>9.851E-2</v>
      </c>
      <c r="R48" s="20">
        <v>6.9809999999999997E-2</v>
      </c>
      <c r="S48" s="20">
        <v>4.095E-2</v>
      </c>
      <c r="T48" s="20">
        <v>3.9609999999999999E-2</v>
      </c>
      <c r="U48" s="20">
        <v>2.231E-2</v>
      </c>
      <c r="V48" s="20">
        <v>1.1180000000000001E-2</v>
      </c>
      <c r="W48" s="20">
        <v>1.3300000000000001E-2</v>
      </c>
    </row>
    <row r="49" spans="1:24" ht="16.5" thickTop="1" thickBot="1" x14ac:dyDescent="0.3">
      <c r="B49" s="13" t="s">
        <v>12</v>
      </c>
      <c r="C49" s="132">
        <v>35303382.12000002</v>
      </c>
      <c r="D49" s="92"/>
      <c r="E49" s="92"/>
      <c r="F49" s="51">
        <f t="shared" si="0"/>
        <v>35303382.12000002</v>
      </c>
      <c r="G49" s="104">
        <f>90.22/1000</f>
        <v>9.0219999999999995E-2</v>
      </c>
      <c r="H49" s="15">
        <f t="shared" si="1"/>
        <v>3185071.1348664016</v>
      </c>
      <c r="I49" s="104">
        <f>106.1/1000</f>
        <v>0.1061</v>
      </c>
      <c r="J49" s="17">
        <f t="shared" si="2"/>
        <v>3745688.8429320022</v>
      </c>
      <c r="K49" s="16">
        <f t="shared" si="3"/>
        <v>560617.7080656006</v>
      </c>
      <c r="N49" s="11" t="s">
        <v>12</v>
      </c>
      <c r="O49" s="104">
        <v>9.0219999999999995E-2</v>
      </c>
      <c r="P49" s="20">
        <v>0.10299</v>
      </c>
      <c r="Q49" s="104">
        <v>0.1061</v>
      </c>
      <c r="R49" s="20">
        <v>3.6040000000000003E-2</v>
      </c>
      <c r="S49" s="20">
        <v>5.74E-2</v>
      </c>
      <c r="T49" s="20">
        <v>6.2899999999999998E-2</v>
      </c>
      <c r="U49" s="20">
        <v>1.103E-2</v>
      </c>
      <c r="V49" s="20">
        <v>-8.0000000000000002E-3</v>
      </c>
      <c r="W49" s="20">
        <v>-2.7E-4</v>
      </c>
    </row>
    <row r="50" spans="1:24" ht="16.5" thickTop="1" thickBot="1" x14ac:dyDescent="0.3">
      <c r="B50" s="13" t="s">
        <v>13</v>
      </c>
      <c r="C50" s="132">
        <v>34107304.63000007</v>
      </c>
      <c r="D50" s="92"/>
      <c r="E50" s="92"/>
      <c r="F50" s="51">
        <f t="shared" si="0"/>
        <v>34107304.63000007</v>
      </c>
      <c r="G50" s="104">
        <f>121.15/1000</f>
        <v>0.12115000000000001</v>
      </c>
      <c r="H50" s="15">
        <f t="shared" si="1"/>
        <v>4132099.9559245086</v>
      </c>
      <c r="I50" s="104">
        <f>111.32/1000</f>
        <v>0.11131999999999999</v>
      </c>
      <c r="J50" s="17">
        <f t="shared" si="2"/>
        <v>3796825.1514116074</v>
      </c>
      <c r="K50" s="16">
        <f t="shared" si="3"/>
        <v>-335274.80451290123</v>
      </c>
      <c r="N50" s="11" t="s">
        <v>13</v>
      </c>
      <c r="O50" s="104">
        <v>0.12114999999999999</v>
      </c>
      <c r="P50" s="20">
        <v>0.11176999999999999</v>
      </c>
      <c r="Q50" s="104">
        <v>0.11132</v>
      </c>
      <c r="R50" s="20">
        <v>6.7049999999999998E-2</v>
      </c>
      <c r="S50" s="20">
        <v>9.2679999999999998E-2</v>
      </c>
      <c r="T50" s="20">
        <v>9.5590000000000008E-2</v>
      </c>
      <c r="U50" s="20">
        <v>-9.6500000000000006E-3</v>
      </c>
      <c r="V50" s="20">
        <v>5.4530000000000002E-2</v>
      </c>
      <c r="W50" s="20">
        <v>5.1979999999999998E-2</v>
      </c>
    </row>
    <row r="51" spans="1:24" ht="16.5" thickTop="1" thickBot="1" x14ac:dyDescent="0.3">
      <c r="B51" s="13" t="s">
        <v>14</v>
      </c>
      <c r="C51" s="132">
        <v>31238391.410000019</v>
      </c>
      <c r="D51" s="92"/>
      <c r="E51" s="92"/>
      <c r="F51" s="51">
        <f t="shared" si="0"/>
        <v>31238391.410000019</v>
      </c>
      <c r="G51" s="104">
        <f>104.05/1000</f>
        <v>0.10405</v>
      </c>
      <c r="H51" s="15">
        <f t="shared" si="1"/>
        <v>3250354.6262105019</v>
      </c>
      <c r="I51" s="104">
        <f>107.49/1000</f>
        <v>0.10748999999999999</v>
      </c>
      <c r="J51" s="17">
        <f t="shared" si="2"/>
        <v>3357814.6926609017</v>
      </c>
      <c r="K51" s="16">
        <f t="shared" si="3"/>
        <v>107460.06645039981</v>
      </c>
      <c r="N51" s="11" t="s">
        <v>14</v>
      </c>
      <c r="O51" s="104">
        <v>0.10405</v>
      </c>
      <c r="P51" s="20">
        <v>0.11493</v>
      </c>
      <c r="Q51" s="104">
        <v>0.10749</v>
      </c>
      <c r="R51" s="20">
        <v>9.4159999999999994E-2</v>
      </c>
      <c r="S51" s="20">
        <v>9.7299999999999998E-2</v>
      </c>
      <c r="T51" s="20">
        <v>9.6680000000000002E-2</v>
      </c>
      <c r="U51" s="20">
        <v>5.3560000000000003E-2</v>
      </c>
      <c r="V51" s="20">
        <v>7.3520000000000002E-2</v>
      </c>
      <c r="W51" s="20">
        <v>7.1959999999999996E-2</v>
      </c>
    </row>
    <row r="52" spans="1:24" ht="16.5" thickTop="1" thickBot="1" x14ac:dyDescent="0.3">
      <c r="B52" s="13" t="s">
        <v>15</v>
      </c>
      <c r="C52" s="132">
        <v>30701723.309999999</v>
      </c>
      <c r="D52" s="92"/>
      <c r="E52" s="92"/>
      <c r="F52" s="51">
        <f t="shared" si="0"/>
        <v>30701723.309999999</v>
      </c>
      <c r="G52" s="104">
        <f>116.5/1000</f>
        <v>0.11650000000000001</v>
      </c>
      <c r="H52" s="15">
        <f t="shared" si="1"/>
        <v>3576750.7656149999</v>
      </c>
      <c r="I52" s="104">
        <f>95.45/1000</f>
        <v>9.5450000000000007E-2</v>
      </c>
      <c r="J52" s="17">
        <f t="shared" si="2"/>
        <v>2930479.4899395001</v>
      </c>
      <c r="K52" s="16">
        <f t="shared" si="3"/>
        <v>-646271.27567549981</v>
      </c>
      <c r="N52" s="11" t="s">
        <v>15</v>
      </c>
      <c r="O52" s="104">
        <v>0.11650000000000001</v>
      </c>
      <c r="P52" s="20">
        <v>9.3600000000000003E-2</v>
      </c>
      <c r="Q52" s="104">
        <v>9.5449999999999993E-2</v>
      </c>
      <c r="R52" s="20">
        <v>9.2280000000000001E-2</v>
      </c>
      <c r="S52" s="20">
        <v>9.7680000000000003E-2</v>
      </c>
      <c r="T52" s="20">
        <v>9.5400000000000013E-2</v>
      </c>
      <c r="U52" s="20">
        <v>7.1900000000000006E-2</v>
      </c>
      <c r="V52" s="20">
        <v>6.6640000000000005E-2</v>
      </c>
      <c r="W52" s="20">
        <v>6.0249999999999998E-2</v>
      </c>
    </row>
    <row r="53" spans="1:24" ht="16.5" thickTop="1" thickBot="1" x14ac:dyDescent="0.3">
      <c r="B53" s="13" t="s">
        <v>16</v>
      </c>
      <c r="C53" s="132">
        <v>33516360.219999973</v>
      </c>
      <c r="D53" s="92"/>
      <c r="E53" s="92"/>
      <c r="F53" s="51">
        <f t="shared" si="0"/>
        <v>33516360.219999973</v>
      </c>
      <c r="G53" s="104">
        <f>76.67/1000</f>
        <v>7.6670000000000002E-2</v>
      </c>
      <c r="H53" s="15">
        <f t="shared" si="1"/>
        <v>2569699.3380673979</v>
      </c>
      <c r="I53" s="104">
        <f>83.06/1000</f>
        <v>8.3060000000000009E-2</v>
      </c>
      <c r="J53" s="17">
        <f t="shared" si="2"/>
        <v>2783868.879873198</v>
      </c>
      <c r="K53" s="16">
        <f t="shared" si="3"/>
        <v>214169.54180580005</v>
      </c>
      <c r="N53" s="11" t="s">
        <v>16</v>
      </c>
      <c r="O53" s="104">
        <v>7.6670000000000002E-2</v>
      </c>
      <c r="P53" s="20">
        <v>8.412E-2</v>
      </c>
      <c r="Q53" s="104">
        <v>8.3059999999999995E-2</v>
      </c>
      <c r="R53" s="20">
        <v>8.8880000000000001E-2</v>
      </c>
      <c r="S53" s="20">
        <v>8.4129999999999996E-2</v>
      </c>
      <c r="T53" s="20">
        <v>7.8829999999999997E-2</v>
      </c>
      <c r="U53" s="20">
        <v>5.9760000000000001E-2</v>
      </c>
      <c r="V53" s="20">
        <v>5.7529999999999998E-2</v>
      </c>
      <c r="W53" s="20">
        <v>6.2560000000000004E-2</v>
      </c>
    </row>
    <row r="54" spans="1:24" ht="16.5" thickTop="1" thickBot="1" x14ac:dyDescent="0.3">
      <c r="B54" s="13" t="s">
        <v>17</v>
      </c>
      <c r="C54" s="132">
        <v>33816016.909999974</v>
      </c>
      <c r="D54" s="92"/>
      <c r="E54" s="92"/>
      <c r="F54" s="51">
        <f t="shared" si="0"/>
        <v>33816016.909999974</v>
      </c>
      <c r="G54" s="104">
        <f>85.69/1000</f>
        <v>8.5690000000000002E-2</v>
      </c>
      <c r="H54" s="15">
        <f t="shared" si="1"/>
        <v>2897694.4890178978</v>
      </c>
      <c r="I54" s="104">
        <f>71.03/1000</f>
        <v>7.1029999999999996E-2</v>
      </c>
      <c r="J54" s="17">
        <f t="shared" si="2"/>
        <v>2401951.6811172981</v>
      </c>
      <c r="K54" s="16">
        <f t="shared" si="3"/>
        <v>-495742.80790059967</v>
      </c>
      <c r="N54" s="11" t="s">
        <v>17</v>
      </c>
      <c r="O54" s="104">
        <v>8.5690000000000002E-2</v>
      </c>
      <c r="P54" s="20">
        <v>7.0499999999999993E-2</v>
      </c>
      <c r="Q54" s="104">
        <v>7.1029999999999996E-2</v>
      </c>
      <c r="R54" s="20">
        <v>8.8050000000000003E-2</v>
      </c>
      <c r="S54" s="20">
        <v>7.3550000000000004E-2</v>
      </c>
      <c r="T54" s="20">
        <v>8.0099999999999991E-2</v>
      </c>
      <c r="U54" s="20">
        <v>6.1079999999999995E-2</v>
      </c>
      <c r="V54" s="20">
        <v>6.8970000000000004E-2</v>
      </c>
      <c r="W54" s="20">
        <v>6.7610000000000003E-2</v>
      </c>
    </row>
    <row r="55" spans="1:24" ht="16.5" thickTop="1" thickBot="1" x14ac:dyDescent="0.3">
      <c r="B55" s="13" t="s">
        <v>18</v>
      </c>
      <c r="C55" s="132">
        <v>32967259.040000007</v>
      </c>
      <c r="D55" s="92"/>
      <c r="E55" s="92"/>
      <c r="F55" s="51">
        <f t="shared" si="0"/>
        <v>32967259.040000007</v>
      </c>
      <c r="G55" s="104">
        <f>70.6/1000</f>
        <v>7.0599999999999996E-2</v>
      </c>
      <c r="H55" s="15">
        <f t="shared" si="1"/>
        <v>2327488.4882240002</v>
      </c>
      <c r="I55" s="104">
        <f>95.31/1000</f>
        <v>9.5310000000000006E-2</v>
      </c>
      <c r="J55" s="17">
        <f t="shared" si="2"/>
        <v>3142109.459102401</v>
      </c>
      <c r="K55" s="16">
        <f t="shared" si="3"/>
        <v>814620.97087840084</v>
      </c>
      <c r="N55" s="11" t="s">
        <v>18</v>
      </c>
      <c r="O55" s="104">
        <v>7.0599999999999996E-2</v>
      </c>
      <c r="P55" s="20">
        <v>9.1480000000000006E-2</v>
      </c>
      <c r="Q55" s="104">
        <v>9.5310000000000006E-2</v>
      </c>
      <c r="R55" s="20">
        <v>8.270000000000001E-2</v>
      </c>
      <c r="S55" s="20">
        <v>7.1910000000000002E-2</v>
      </c>
      <c r="T55" s="20">
        <v>6.7030000000000006E-2</v>
      </c>
      <c r="U55" s="20">
        <v>8.0489999999999992E-2</v>
      </c>
      <c r="V55" s="20">
        <v>8.072E-2</v>
      </c>
      <c r="W55" s="20">
        <v>7.9629999999999992E-2</v>
      </c>
    </row>
    <row r="56" spans="1:24" ht="16.5" thickTop="1" thickBot="1" x14ac:dyDescent="0.3">
      <c r="B56" s="13" t="s">
        <v>19</v>
      </c>
      <c r="C56" s="132">
        <v>33646680.229999967</v>
      </c>
      <c r="D56" s="92"/>
      <c r="E56" s="92"/>
      <c r="F56" s="51">
        <f t="shared" si="0"/>
        <v>33646680.229999967</v>
      </c>
      <c r="G56" s="104">
        <f>97.2/1000</f>
        <v>9.7200000000000009E-2</v>
      </c>
      <c r="H56" s="15">
        <f t="shared" si="1"/>
        <v>3270457.3183559971</v>
      </c>
      <c r="I56" s="104">
        <f>112.26/1000</f>
        <v>0.11226</v>
      </c>
      <c r="J56" s="17">
        <f t="shared" si="2"/>
        <v>3777176.3226197963</v>
      </c>
      <c r="K56" s="16">
        <f t="shared" si="3"/>
        <v>506719.00426379917</v>
      </c>
      <c r="N56" s="11" t="s">
        <v>19</v>
      </c>
      <c r="O56" s="104">
        <v>9.7199999999999995E-2</v>
      </c>
      <c r="P56" s="20">
        <v>0.1178</v>
      </c>
      <c r="Q56" s="104">
        <v>0.11226</v>
      </c>
      <c r="R56" s="20">
        <v>6.3710000000000003E-2</v>
      </c>
      <c r="S56" s="20">
        <v>7.1929999999999994E-2</v>
      </c>
      <c r="T56" s="20">
        <v>7.5439999999999993E-2</v>
      </c>
      <c r="U56" s="20">
        <v>7.492E-2</v>
      </c>
      <c r="V56" s="20">
        <v>0.10135</v>
      </c>
      <c r="W56" s="20">
        <v>0.10014000000000001</v>
      </c>
    </row>
    <row r="57" spans="1:24" ht="16.5" thickTop="1" thickBot="1" x14ac:dyDescent="0.3">
      <c r="B57" s="13" t="s">
        <v>20</v>
      </c>
      <c r="C57" s="132">
        <v>34176840.040000044</v>
      </c>
      <c r="D57" s="92"/>
      <c r="E57" s="92"/>
      <c r="F57" s="51">
        <f t="shared" si="0"/>
        <v>34176840.040000044</v>
      </c>
      <c r="G57" s="104">
        <f>122.71/1000</f>
        <v>0.12271</v>
      </c>
      <c r="H57" s="15">
        <f t="shared" si="1"/>
        <v>4193840.0413084053</v>
      </c>
      <c r="I57" s="104">
        <f>111.09/1000</f>
        <v>0.11109000000000001</v>
      </c>
      <c r="J57" s="17">
        <f t="shared" si="2"/>
        <v>3796705.1600436051</v>
      </c>
      <c r="K57" s="16">
        <f t="shared" si="3"/>
        <v>-397134.88126480021</v>
      </c>
      <c r="N57" s="11" t="s">
        <v>20</v>
      </c>
      <c r="O57" s="104">
        <v>0.12271</v>
      </c>
      <c r="P57" s="20">
        <v>0.115</v>
      </c>
      <c r="Q57" s="104">
        <v>0.11108999999999999</v>
      </c>
      <c r="R57" s="20">
        <v>7.6230000000000006E-2</v>
      </c>
      <c r="S57" s="20">
        <v>0.12447999999999999</v>
      </c>
      <c r="T57" s="20">
        <v>0.11320000000000001</v>
      </c>
      <c r="U57" s="20">
        <v>9.9010000000000001E-2</v>
      </c>
      <c r="V57" s="20">
        <v>8.5040000000000004E-2</v>
      </c>
      <c r="W57" s="20">
        <v>8.231999999999999E-2</v>
      </c>
    </row>
    <row r="58" spans="1:24" ht="16.5" thickTop="1" thickBot="1" x14ac:dyDescent="0.3">
      <c r="B58" s="13" t="s">
        <v>21</v>
      </c>
      <c r="C58" s="132">
        <v>38425473.389999948</v>
      </c>
      <c r="D58" s="92"/>
      <c r="E58" s="137"/>
      <c r="F58" s="51">
        <f t="shared" si="0"/>
        <v>38425473.389999948</v>
      </c>
      <c r="G58" s="104">
        <f>105.94/1000</f>
        <v>0.10593999999999999</v>
      </c>
      <c r="H58" s="15">
        <f t="shared" si="1"/>
        <v>4070794.6509365942</v>
      </c>
      <c r="I58" s="104">
        <f>87.08/1000</f>
        <v>8.7080000000000005E-2</v>
      </c>
      <c r="J58" s="17">
        <f t="shared" si="2"/>
        <v>3346090.2228011955</v>
      </c>
      <c r="K58" s="16">
        <f t="shared" si="3"/>
        <v>-724704.42813539878</v>
      </c>
      <c r="N58" s="27" t="s">
        <v>21</v>
      </c>
      <c r="O58" s="134">
        <v>0.10594000000000001</v>
      </c>
      <c r="P58" s="28">
        <v>7.8719999999999998E-2</v>
      </c>
      <c r="Q58" s="134">
        <v>8.7080000000000005E-2</v>
      </c>
      <c r="R58" s="28">
        <v>0.11462</v>
      </c>
      <c r="S58" s="28">
        <v>8.8090000000000002E-2</v>
      </c>
      <c r="T58" s="28">
        <v>9.4709999999999989E-2</v>
      </c>
      <c r="U58" s="28">
        <v>7.3180000000000009E-2</v>
      </c>
      <c r="V58" s="28">
        <v>5.7889999999999997E-2</v>
      </c>
      <c r="W58" s="28">
        <v>7.4439999999999992E-2</v>
      </c>
    </row>
    <row r="59" spans="1:24" ht="31.5" thickTop="1" thickBot="1" x14ac:dyDescent="0.3">
      <c r="B59" s="118" t="s">
        <v>132</v>
      </c>
      <c r="C59" s="94">
        <f>SUM(C47:C58)</f>
        <v>411927239.0399999</v>
      </c>
      <c r="D59" s="94">
        <v>38425473.389999948</v>
      </c>
      <c r="E59" s="94">
        <f>SUM(E47:E58)</f>
        <v>0</v>
      </c>
      <c r="F59" s="94">
        <f>SUM(F47:F58)</f>
        <v>411927239.0399999</v>
      </c>
      <c r="G59" s="37"/>
      <c r="H59" s="38">
        <f>SUM(H47:H58)</f>
        <v>40398962.779498398</v>
      </c>
      <c r="I59" s="37"/>
      <c r="J59" s="38">
        <f>SUM(J47:J58)</f>
        <v>40109950.327644087</v>
      </c>
      <c r="K59" s="39">
        <f>SUM(K47:K58)</f>
        <v>-289012.45185429882</v>
      </c>
      <c r="N59" s="31"/>
      <c r="O59" s="32"/>
      <c r="P59" s="32"/>
      <c r="Q59" s="32"/>
      <c r="R59" s="32"/>
      <c r="S59" s="32"/>
      <c r="T59" s="32"/>
      <c r="U59" s="32"/>
      <c r="V59" s="32"/>
      <c r="W59" s="32"/>
    </row>
    <row r="60" spans="1:24" s="35" customFormat="1" ht="16.5" thickTop="1" thickBot="1" x14ac:dyDescent="0.3">
      <c r="C60" s="143"/>
      <c r="F60" s="144"/>
      <c r="G60" s="145"/>
      <c r="I60" s="145"/>
      <c r="J60" s="146"/>
      <c r="K60" s="117"/>
      <c r="N60" s="147"/>
      <c r="O60" s="148"/>
      <c r="P60" s="148"/>
      <c r="Q60" s="148"/>
      <c r="R60" s="148"/>
      <c r="S60" s="148"/>
      <c r="T60" s="148"/>
      <c r="U60" s="148"/>
      <c r="V60" s="148"/>
      <c r="W60" s="148"/>
    </row>
    <row r="61" spans="1:24" ht="15" thickTop="1" x14ac:dyDescent="0.2">
      <c r="N61" s="29"/>
      <c r="O61" s="30"/>
      <c r="P61" s="30"/>
      <c r="Q61" s="30"/>
      <c r="R61" s="30"/>
      <c r="S61" s="30"/>
      <c r="T61" s="30"/>
      <c r="U61" s="30"/>
      <c r="V61" s="30"/>
      <c r="W61" s="30"/>
    </row>
    <row r="62" spans="1:24" ht="15" x14ac:dyDescent="0.25">
      <c r="A62" s="1" t="s">
        <v>142</v>
      </c>
      <c r="B62" s="47" t="s">
        <v>135</v>
      </c>
      <c r="C62" s="2"/>
      <c r="K62" s="107"/>
      <c r="N62" s="29"/>
      <c r="O62" s="30"/>
      <c r="P62" s="30"/>
      <c r="Q62" s="30"/>
      <c r="R62" s="30"/>
      <c r="S62" s="30"/>
      <c r="T62" s="30"/>
      <c r="U62" s="30"/>
      <c r="V62" s="30"/>
      <c r="W62" s="30"/>
    </row>
    <row r="63" spans="1:24" ht="15" x14ac:dyDescent="0.25">
      <c r="B63" s="3"/>
      <c r="C63" s="2"/>
      <c r="K63" s="114"/>
      <c r="N63" s="29"/>
      <c r="O63" s="29"/>
      <c r="P63" s="29"/>
      <c r="Q63" s="29"/>
      <c r="R63" s="29"/>
      <c r="S63" s="29"/>
      <c r="T63" s="29"/>
      <c r="U63" s="29"/>
      <c r="V63" s="29"/>
      <c r="W63" s="29"/>
    </row>
    <row r="64" spans="1:24" ht="45" x14ac:dyDescent="0.25">
      <c r="A64" s="11"/>
      <c r="B64" s="97" t="s">
        <v>45</v>
      </c>
      <c r="C64" s="48" t="s">
        <v>67</v>
      </c>
      <c r="D64" s="48" t="s">
        <v>120</v>
      </c>
      <c r="E64" s="164" t="s">
        <v>44</v>
      </c>
      <c r="F64" s="164"/>
      <c r="G64" s="164"/>
      <c r="H64" s="164"/>
      <c r="I64" s="164"/>
      <c r="K64" s="112"/>
      <c r="O64" s="29"/>
      <c r="P64" s="29"/>
      <c r="Q64" s="29"/>
      <c r="R64" s="29"/>
      <c r="S64" s="29"/>
      <c r="T64" s="29"/>
      <c r="U64" s="29"/>
      <c r="V64" s="29"/>
      <c r="W64" s="29"/>
      <c r="X64" s="29"/>
    </row>
    <row r="65" spans="1:24" ht="30.75" customHeight="1" thickBot="1" x14ac:dyDescent="0.3">
      <c r="A65" s="168" t="s">
        <v>133</v>
      </c>
      <c r="B65" s="169"/>
      <c r="C65" s="170"/>
      <c r="D65" s="138">
        <v>-36499.017891868898</v>
      </c>
      <c r="E65" s="155"/>
      <c r="F65" s="156"/>
      <c r="G65" s="156"/>
      <c r="H65" s="156"/>
      <c r="I65" s="157"/>
      <c r="K65" s="112"/>
      <c r="O65" s="29"/>
      <c r="P65" s="29"/>
      <c r="Q65" s="29"/>
      <c r="R65" s="29"/>
      <c r="S65" s="29"/>
      <c r="T65" s="29"/>
      <c r="U65" s="29"/>
      <c r="V65" s="29"/>
      <c r="W65" s="29"/>
      <c r="X65" s="29"/>
    </row>
    <row r="66" spans="1:24" ht="30" thickTop="1" thickBot="1" x14ac:dyDescent="0.25">
      <c r="A66" s="68" t="s">
        <v>51</v>
      </c>
      <c r="B66" s="49" t="s">
        <v>62</v>
      </c>
      <c r="C66" s="105" t="s">
        <v>164</v>
      </c>
      <c r="D66" s="138">
        <v>92902.828511983156</v>
      </c>
      <c r="E66" s="158" t="s">
        <v>166</v>
      </c>
      <c r="F66" s="158"/>
      <c r="G66" s="158"/>
      <c r="H66" s="158"/>
      <c r="I66" s="158"/>
      <c r="K66" s="112"/>
      <c r="O66" s="29"/>
      <c r="P66" s="29"/>
      <c r="Q66" s="29"/>
      <c r="R66" s="29"/>
      <c r="S66" s="29"/>
      <c r="T66" s="29"/>
      <c r="U66" s="29"/>
      <c r="V66" s="29"/>
      <c r="W66" s="29"/>
      <c r="X66" s="29"/>
    </row>
    <row r="67" spans="1:24" ht="30" customHeight="1" thickTop="1" thickBot="1" x14ac:dyDescent="0.25">
      <c r="A67" s="68" t="s">
        <v>52</v>
      </c>
      <c r="B67" s="49" t="s">
        <v>79</v>
      </c>
      <c r="C67" s="106" t="s">
        <v>164</v>
      </c>
      <c r="D67" s="138">
        <v>0</v>
      </c>
      <c r="E67" s="158" t="s">
        <v>169</v>
      </c>
      <c r="F67" s="158"/>
      <c r="G67" s="158"/>
      <c r="H67" s="158"/>
      <c r="I67" s="158"/>
      <c r="J67" s="77"/>
      <c r="K67" s="113"/>
      <c r="L67" s="77"/>
      <c r="M67" s="77"/>
      <c r="N67" s="77"/>
      <c r="O67" s="77"/>
      <c r="P67" s="77"/>
      <c r="Q67" s="77"/>
    </row>
    <row r="68" spans="1:24" ht="30.75" customHeight="1" thickTop="1" thickBot="1" x14ac:dyDescent="0.25">
      <c r="A68" s="68" t="s">
        <v>65</v>
      </c>
      <c r="B68" s="49" t="s">
        <v>64</v>
      </c>
      <c r="C68" s="105" t="s">
        <v>163</v>
      </c>
      <c r="D68" s="138"/>
      <c r="E68" s="165"/>
      <c r="F68" s="166"/>
      <c r="G68" s="166"/>
      <c r="H68" s="166"/>
      <c r="I68" s="167"/>
      <c r="J68" s="77"/>
      <c r="K68" s="113"/>
      <c r="L68" s="77"/>
      <c r="M68" s="77"/>
      <c r="N68" s="77"/>
      <c r="O68" s="77"/>
      <c r="P68" s="77"/>
      <c r="Q68" s="77"/>
    </row>
    <row r="69" spans="1:24" ht="30" customHeight="1" thickTop="1" thickBot="1" x14ac:dyDescent="0.25">
      <c r="A69" s="68" t="s">
        <v>66</v>
      </c>
      <c r="B69" s="49" t="s">
        <v>63</v>
      </c>
      <c r="C69" s="106" t="s">
        <v>163</v>
      </c>
      <c r="D69" s="138"/>
      <c r="E69" s="165"/>
      <c r="F69" s="166"/>
      <c r="G69" s="166"/>
      <c r="H69" s="166"/>
      <c r="I69" s="167"/>
      <c r="J69" s="77"/>
      <c r="K69" s="116"/>
      <c r="L69" s="77"/>
      <c r="M69" s="77"/>
      <c r="N69" s="77"/>
      <c r="O69" s="77"/>
      <c r="P69" s="77"/>
      <c r="Q69" s="77"/>
    </row>
    <row r="70" spans="1:24" ht="30" thickTop="1" thickBot="1" x14ac:dyDescent="0.25">
      <c r="A70" s="68" t="s">
        <v>69</v>
      </c>
      <c r="B70" s="49" t="s">
        <v>71</v>
      </c>
      <c r="C70" s="105" t="s">
        <v>164</v>
      </c>
      <c r="D70" s="138">
        <v>-10877.200000000006</v>
      </c>
      <c r="E70" s="158" t="s">
        <v>168</v>
      </c>
      <c r="F70" s="158"/>
      <c r="G70" s="158"/>
      <c r="H70" s="158"/>
      <c r="I70" s="158"/>
      <c r="J70" s="77"/>
      <c r="K70" s="116"/>
      <c r="L70" s="77"/>
      <c r="M70" s="77"/>
      <c r="N70" s="77"/>
      <c r="O70" s="77"/>
      <c r="P70" s="77"/>
      <c r="Q70" s="77"/>
    </row>
    <row r="71" spans="1:24" ht="30.75" customHeight="1" thickTop="1" thickBot="1" x14ac:dyDescent="0.25">
      <c r="A71" s="68" t="s">
        <v>70</v>
      </c>
      <c r="B71" s="49" t="s">
        <v>72</v>
      </c>
      <c r="C71" s="105" t="s">
        <v>164</v>
      </c>
      <c r="D71" s="138">
        <v>6023.8899999999921</v>
      </c>
      <c r="E71" s="158" t="s">
        <v>168</v>
      </c>
      <c r="F71" s="158"/>
      <c r="G71" s="158"/>
      <c r="H71" s="158"/>
      <c r="I71" s="158"/>
      <c r="J71" s="77"/>
      <c r="K71" s="116"/>
      <c r="L71" s="77"/>
      <c r="M71" s="77"/>
      <c r="N71" s="77"/>
      <c r="O71" s="77"/>
      <c r="P71" s="77"/>
      <c r="Q71" s="77"/>
    </row>
    <row r="72" spans="1:24" ht="33.75" customHeight="1" thickTop="1" thickBot="1" x14ac:dyDescent="0.25">
      <c r="A72" s="68">
        <v>4</v>
      </c>
      <c r="B72" s="49" t="s">
        <v>68</v>
      </c>
      <c r="C72" s="105" t="s">
        <v>164</v>
      </c>
      <c r="D72" s="138">
        <v>-2.0000000484287739E-2</v>
      </c>
      <c r="E72" s="158" t="s">
        <v>167</v>
      </c>
      <c r="F72" s="158"/>
      <c r="G72" s="158"/>
      <c r="H72" s="158"/>
      <c r="I72" s="158"/>
      <c r="J72" s="77"/>
      <c r="K72" s="116"/>
      <c r="L72" s="77"/>
      <c r="M72" s="77"/>
      <c r="N72" s="77"/>
      <c r="O72" s="77"/>
      <c r="P72" s="77"/>
      <c r="Q72" s="77"/>
    </row>
    <row r="73" spans="1:24" ht="44.25" thickTop="1" thickBot="1" x14ac:dyDescent="0.25">
      <c r="A73" s="68">
        <v>5</v>
      </c>
      <c r="B73" s="49" t="s">
        <v>80</v>
      </c>
      <c r="C73" s="105" t="s">
        <v>163</v>
      </c>
      <c r="D73" s="138"/>
      <c r="E73" s="158"/>
      <c r="F73" s="158"/>
      <c r="G73" s="158"/>
      <c r="H73" s="158"/>
      <c r="I73" s="158"/>
      <c r="J73" s="77"/>
      <c r="K73" s="116"/>
      <c r="L73" s="77"/>
      <c r="M73" s="77"/>
      <c r="N73" s="77"/>
      <c r="O73" s="77"/>
      <c r="P73" s="77"/>
      <c r="Q73" s="77"/>
    </row>
    <row r="74" spans="1:24" ht="30" thickTop="1" thickBot="1" x14ac:dyDescent="0.25">
      <c r="A74" s="54">
        <v>6</v>
      </c>
      <c r="B74" s="119" t="s">
        <v>136</v>
      </c>
      <c r="C74" s="105" t="s">
        <v>164</v>
      </c>
      <c r="D74" s="138">
        <v>-364047.2921987283</v>
      </c>
      <c r="E74" s="158" t="s">
        <v>165</v>
      </c>
      <c r="F74" s="158"/>
      <c r="G74" s="158"/>
      <c r="H74" s="158"/>
      <c r="I74" s="158"/>
      <c r="K74" s="29"/>
    </row>
    <row r="75" spans="1:24" ht="15" thickTop="1" x14ac:dyDescent="0.2">
      <c r="A75" s="54">
        <v>7</v>
      </c>
      <c r="B75" s="46"/>
      <c r="C75" s="105"/>
      <c r="D75" s="95"/>
      <c r="E75" s="158"/>
      <c r="F75" s="158"/>
      <c r="G75" s="158"/>
      <c r="H75" s="158"/>
      <c r="I75" s="158"/>
    </row>
    <row r="76" spans="1:24" x14ac:dyDescent="0.2">
      <c r="A76" s="54">
        <v>8</v>
      </c>
      <c r="B76" s="46"/>
      <c r="C76" s="10"/>
      <c r="D76" s="95"/>
      <c r="E76" s="158"/>
      <c r="F76" s="158"/>
      <c r="G76" s="158"/>
      <c r="H76" s="158"/>
      <c r="I76" s="158"/>
    </row>
    <row r="77" spans="1:24" x14ac:dyDescent="0.2">
      <c r="A77" s="54">
        <v>9</v>
      </c>
      <c r="B77" s="46"/>
      <c r="C77" s="10"/>
      <c r="D77" s="95"/>
      <c r="E77" s="165"/>
      <c r="F77" s="166"/>
      <c r="G77" s="166"/>
      <c r="H77" s="166"/>
      <c r="I77" s="167"/>
    </row>
    <row r="78" spans="1:24" x14ac:dyDescent="0.2">
      <c r="A78" s="54">
        <v>10</v>
      </c>
      <c r="B78" s="46"/>
      <c r="C78" s="10"/>
      <c r="D78" s="139"/>
      <c r="E78" s="158"/>
      <c r="F78" s="158"/>
      <c r="G78" s="158"/>
      <c r="H78" s="158"/>
      <c r="I78" s="158"/>
    </row>
    <row r="79" spans="1:24" ht="15" x14ac:dyDescent="0.25">
      <c r="A79" s="1" t="s">
        <v>149</v>
      </c>
      <c r="B79" s="2" t="s">
        <v>130</v>
      </c>
      <c r="C79" s="2"/>
      <c r="D79" s="142">
        <f>SUM(D65:D78)</f>
        <v>-312496.81157861452</v>
      </c>
      <c r="E79" s="25"/>
      <c r="F79" s="25"/>
      <c r="G79" s="25"/>
      <c r="H79" s="25"/>
    </row>
    <row r="80" spans="1:24" ht="15" x14ac:dyDescent="0.25">
      <c r="B80" s="115" t="s">
        <v>131</v>
      </c>
      <c r="C80" s="69"/>
      <c r="D80" s="140">
        <f>K59</f>
        <v>-289012.45185429882</v>
      </c>
      <c r="E80" s="25"/>
      <c r="F80" s="25"/>
      <c r="G80" s="25"/>
      <c r="H80" s="25"/>
    </row>
    <row r="81" spans="1:19" ht="15.75" thickBot="1" x14ac:dyDescent="0.3">
      <c r="B81" s="69" t="s">
        <v>24</v>
      </c>
      <c r="C81" s="69"/>
      <c r="D81" s="141">
        <f>D79-D80</f>
        <v>-23484.359724315698</v>
      </c>
    </row>
    <row r="82" spans="1:19" ht="15.75" thickBot="1" x14ac:dyDescent="0.3">
      <c r="B82" s="125" t="s">
        <v>73</v>
      </c>
      <c r="C82" s="70"/>
      <c r="D82" s="60">
        <f>IF(ISERROR(D81/J59),0,D81/J59)</f>
        <v>-5.8549959629668495E-4</v>
      </c>
      <c r="E82" s="99" t="str">
        <f>IF(AND(D82&lt;0.01,D82&gt;-0.01),"","Unresolved differences of greater than + or - 1% should be explained")</f>
        <v/>
      </c>
      <c r="G82" s="77"/>
      <c r="H82" s="35"/>
      <c r="I82" s="35"/>
      <c r="J82" s="35"/>
      <c r="K82" s="35"/>
      <c r="L82" s="35"/>
    </row>
    <row r="83" spans="1:19" ht="15.75" thickTop="1" x14ac:dyDescent="0.25">
      <c r="B83" s="2"/>
      <c r="C83" s="56"/>
      <c r="D83" s="59"/>
      <c r="G83" s="77"/>
    </row>
    <row r="84" spans="1:19" ht="15" x14ac:dyDescent="0.25">
      <c r="B84" s="2"/>
      <c r="C84" s="56"/>
      <c r="D84" s="34"/>
    </row>
    <row r="85" spans="1:19" ht="15" x14ac:dyDescent="0.25">
      <c r="A85" s="1" t="s">
        <v>75</v>
      </c>
      <c r="B85" s="71" t="s">
        <v>137</v>
      </c>
      <c r="C85" s="58"/>
      <c r="D85" s="59"/>
    </row>
    <row r="86" spans="1:19" ht="15" x14ac:dyDescent="0.25">
      <c r="B86" s="57"/>
      <c r="C86" s="58"/>
      <c r="D86" s="59"/>
    </row>
    <row r="87" spans="1:19" ht="75" x14ac:dyDescent="0.25">
      <c r="B87" s="98" t="s">
        <v>25</v>
      </c>
      <c r="C87" s="48" t="s">
        <v>156</v>
      </c>
      <c r="D87" s="48" t="s">
        <v>157</v>
      </c>
      <c r="E87" s="48" t="s">
        <v>158</v>
      </c>
      <c r="F87" s="72" t="s">
        <v>130</v>
      </c>
      <c r="G87" s="48" t="s">
        <v>24</v>
      </c>
      <c r="H87" s="74" t="s">
        <v>159</v>
      </c>
      <c r="I87" s="48" t="s">
        <v>73</v>
      </c>
      <c r="J87" s="77"/>
      <c r="K87" s="77"/>
      <c r="L87" s="35"/>
      <c r="M87" s="35"/>
      <c r="N87" s="35"/>
      <c r="O87" s="35"/>
      <c r="P87" s="35"/>
      <c r="Q87" s="35"/>
      <c r="R87" s="35"/>
      <c r="S87" s="35"/>
    </row>
    <row r="88" spans="1:19" ht="15" thickBot="1" x14ac:dyDescent="0.25">
      <c r="B88" s="129">
        <v>2016</v>
      </c>
      <c r="C88" s="101">
        <f>+K59</f>
        <v>-289012.45185429882</v>
      </c>
      <c r="D88" s="101">
        <f>+D65</f>
        <v>-36499.017891868898</v>
      </c>
      <c r="E88" s="102">
        <f>+D79-D65</f>
        <v>-275997.79368674563</v>
      </c>
      <c r="F88" s="121">
        <f>SUM(D88:E88)</f>
        <v>-312496.81157861452</v>
      </c>
      <c r="G88" s="103">
        <f>F88-C88</f>
        <v>-23484.359724315698</v>
      </c>
      <c r="H88" s="102">
        <f>+J59</f>
        <v>40109950.327644087</v>
      </c>
      <c r="I88" s="100">
        <f>IF(ISERROR(G88/H88),0,G88/H88)</f>
        <v>-5.8549959629668495E-4</v>
      </c>
      <c r="J88" s="77"/>
      <c r="K88" s="77"/>
      <c r="L88" s="35"/>
      <c r="M88" s="35"/>
      <c r="N88" s="35"/>
      <c r="O88" s="35"/>
      <c r="P88" s="35"/>
      <c r="Q88" s="35"/>
      <c r="R88" s="35"/>
      <c r="S88" s="35"/>
    </row>
    <row r="89" spans="1:19" ht="15.75" thickBot="1" x14ac:dyDescent="0.3">
      <c r="B89" s="73" t="s">
        <v>74</v>
      </c>
      <c r="C89" s="120">
        <f t="shared" ref="C89:H89" si="4">SUM(C88:C88)</f>
        <v>-289012.45185429882</v>
      </c>
      <c r="D89" s="149">
        <f t="shared" si="4"/>
        <v>-36499.017891868898</v>
      </c>
      <c r="E89" s="120">
        <f t="shared" si="4"/>
        <v>-275997.79368674563</v>
      </c>
      <c r="F89" s="122">
        <f t="shared" si="4"/>
        <v>-312496.81157861452</v>
      </c>
      <c r="G89" s="120">
        <f t="shared" si="4"/>
        <v>-23484.359724315698</v>
      </c>
      <c r="H89" s="75">
        <f t="shared" si="4"/>
        <v>40109950.327644087</v>
      </c>
      <c r="I89" s="76"/>
      <c r="J89" s="77"/>
      <c r="K89" s="77"/>
      <c r="L89" s="35"/>
      <c r="M89" s="35"/>
      <c r="N89" s="35"/>
      <c r="O89" s="35"/>
      <c r="P89" s="35"/>
      <c r="Q89" s="35"/>
      <c r="R89" s="35"/>
      <c r="S89" s="35"/>
    </row>
    <row r="90" spans="1:19" x14ac:dyDescent="0.2">
      <c r="B90" s="4"/>
      <c r="C90" s="4"/>
      <c r="D90" s="4"/>
      <c r="E90" s="4"/>
      <c r="F90" s="4"/>
      <c r="G90" s="4"/>
      <c r="J90" s="77"/>
      <c r="K90" s="77"/>
      <c r="L90" s="35"/>
      <c r="M90" s="35"/>
      <c r="N90" s="35"/>
      <c r="O90" s="35"/>
      <c r="P90" s="35"/>
      <c r="Q90" s="35"/>
      <c r="R90" s="35"/>
      <c r="S90" s="35"/>
    </row>
    <row r="91" spans="1:19" x14ac:dyDescent="0.2">
      <c r="J91" s="77"/>
      <c r="K91" s="77"/>
      <c r="L91" s="35"/>
      <c r="M91" s="35"/>
      <c r="N91" s="35"/>
      <c r="O91" s="35"/>
      <c r="P91" s="35"/>
      <c r="Q91" s="35"/>
      <c r="R91" s="35"/>
      <c r="S91" s="35"/>
    </row>
    <row r="92" spans="1:19" ht="15" x14ac:dyDescent="0.25">
      <c r="B92" s="3" t="s">
        <v>37</v>
      </c>
      <c r="J92" s="77"/>
      <c r="K92" s="77"/>
    </row>
    <row r="93" spans="1:19" x14ac:dyDescent="0.2">
      <c r="B93" s="53"/>
      <c r="C93" s="53"/>
      <c r="D93" s="53"/>
      <c r="E93" s="53"/>
      <c r="F93" s="53"/>
      <c r="G93" s="53"/>
      <c r="H93" s="53"/>
      <c r="J93" s="77"/>
      <c r="K93" s="77"/>
    </row>
    <row r="94" spans="1:19" x14ac:dyDescent="0.2">
      <c r="B94" s="53"/>
      <c r="C94" s="53"/>
      <c r="D94" s="53"/>
      <c r="E94" s="53"/>
      <c r="F94" s="53"/>
      <c r="G94" s="53"/>
      <c r="H94" s="53"/>
      <c r="J94" s="77"/>
      <c r="K94" s="77"/>
    </row>
    <row r="95" spans="1:19" x14ac:dyDescent="0.2">
      <c r="B95" s="53"/>
      <c r="C95" s="53"/>
      <c r="D95" s="53"/>
      <c r="E95" s="53"/>
      <c r="F95" s="53"/>
      <c r="G95" s="53"/>
      <c r="H95" s="53"/>
    </row>
    <row r="96" spans="1:19" x14ac:dyDescent="0.2">
      <c r="B96" s="53"/>
      <c r="C96" s="53"/>
      <c r="D96" s="53"/>
      <c r="E96" s="53"/>
      <c r="F96" s="53"/>
      <c r="G96" s="53"/>
      <c r="H96" s="53"/>
    </row>
    <row r="97" spans="2:8" x14ac:dyDescent="0.2">
      <c r="B97" s="53"/>
      <c r="C97" s="53"/>
      <c r="D97" s="53"/>
      <c r="E97" s="53"/>
      <c r="F97" s="53"/>
      <c r="G97" s="53"/>
      <c r="H97" s="53"/>
    </row>
    <row r="98" spans="2:8" x14ac:dyDescent="0.2">
      <c r="B98" s="53"/>
      <c r="C98" s="53"/>
      <c r="D98" s="53"/>
      <c r="E98" s="53"/>
      <c r="F98" s="53"/>
      <c r="G98" s="53"/>
      <c r="H98" s="53"/>
    </row>
    <row r="99" spans="2:8" x14ac:dyDescent="0.2">
      <c r="B99" s="53"/>
      <c r="C99" s="53"/>
      <c r="D99" s="53"/>
      <c r="E99" s="53"/>
      <c r="F99" s="53"/>
      <c r="G99" s="53"/>
      <c r="H99" s="53"/>
    </row>
    <row r="100" spans="2:8" x14ac:dyDescent="0.2">
      <c r="B100" s="53"/>
      <c r="C100" s="53"/>
      <c r="D100" s="53"/>
      <c r="E100" s="53"/>
      <c r="F100" s="53"/>
      <c r="G100" s="53"/>
      <c r="H100"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9" fitToHeight="0" orientation="landscape" cellComments="asDisplayed" r:id="rId1"/>
  <headerFooter>
    <oddFooter>&amp;L&amp;Z&amp;F&amp;A</oddFooter>
  </headerFooter>
  <rowBreaks count="1" manualBreakCount="1">
    <brk id="6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Brittany Ashby</cp:lastModifiedBy>
  <cp:lastPrinted>2017-11-03T01:11:58Z</cp:lastPrinted>
  <dcterms:created xsi:type="dcterms:W3CDTF">2017-05-01T19:29:01Z</dcterms:created>
  <dcterms:modified xsi:type="dcterms:W3CDTF">2018-02-01T21:55:16Z</dcterms:modified>
</cp:coreProperties>
</file>