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12240" windowHeight="4692" firstSheet="2" activeTab="2"/>
  </bookViews>
  <sheets>
    <sheet name="IPC Pole Attach Calc" sheetId="1" r:id="rId1"/>
    <sheet name="Data &amp; Calculations" sheetId="2" r:id="rId2"/>
    <sheet name="Field Verification" sheetId="4" r:id="rId3"/>
    <sheet name="Attachers per Pole Calcualtion" sheetId="5" r:id="rId4"/>
    <sheet name="Power Deduction Factor" sheetId="6" r:id="rId5"/>
    <sheet name="Average NVB for Account 1830" sheetId="7" r:id="rId6"/>
  </sheets>
  <externalReferences>
    <externalReference r:id="rId7"/>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7" l="1"/>
  <c r="J10" i="7"/>
  <c r="I16" i="7"/>
  <c r="J16" i="7"/>
  <c r="D30" i="6"/>
  <c r="E30" i="6"/>
  <c r="H30" i="6" s="1"/>
  <c r="H33" i="6" s="1"/>
  <c r="F30" i="6"/>
  <c r="G30" i="6"/>
  <c r="I30" i="6"/>
  <c r="D31" i="6"/>
  <c r="H31" i="6"/>
  <c r="I31" i="6"/>
  <c r="D32" i="6"/>
  <c r="E32" i="6"/>
  <c r="F32" i="6"/>
  <c r="G32" i="6"/>
  <c r="I32" i="6" s="1"/>
  <c r="H32" i="6"/>
  <c r="I33" i="6" l="1"/>
  <c r="I34" i="6" s="1"/>
  <c r="H34" i="6" l="1"/>
  <c r="K17" i="5" l="1"/>
  <c r="C17" i="5"/>
  <c r="C18" i="5" s="1"/>
  <c r="C19" i="5" s="1"/>
  <c r="C21" i="5" s="1"/>
  <c r="C14" i="5"/>
  <c r="C15" i="5" s="1"/>
  <c r="K14" i="5" s="1"/>
  <c r="K15" i="5" s="1"/>
  <c r="H9" i="5"/>
  <c r="K18" i="5" l="1"/>
  <c r="K21" i="5" s="1"/>
  <c r="G23" i="2" l="1"/>
  <c r="G17" i="2"/>
  <c r="D48" i="2"/>
  <c r="D63" i="4" l="1"/>
  <c r="D39" i="2" l="1"/>
  <c r="G64" i="2" l="1"/>
  <c r="G63" i="2"/>
  <c r="G62" i="2"/>
  <c r="G61" i="2"/>
  <c r="G66" i="2" l="1"/>
  <c r="G67" i="2" s="1"/>
  <c r="D18" i="1" s="1"/>
  <c r="D72" i="2"/>
  <c r="B2" i="4" l="1"/>
  <c r="G2" i="4"/>
  <c r="H2" i="4" s="1"/>
  <c r="G3" i="4"/>
  <c r="H3" i="4" s="1"/>
  <c r="B4" i="4"/>
  <c r="B5" i="4" s="1"/>
  <c r="B6" i="4" s="1"/>
  <c r="B7" i="4" s="1"/>
  <c r="B8" i="4" s="1"/>
  <c r="B9" i="4" s="1"/>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B35" i="4" s="1"/>
  <c r="B36" i="4" s="1"/>
  <c r="B37" i="4" s="1"/>
  <c r="B38" i="4" s="1"/>
  <c r="B39" i="4" s="1"/>
  <c r="B40" i="4" s="1"/>
  <c r="B41" i="4" s="1"/>
  <c r="B42" i="4" s="1"/>
  <c r="B43" i="4" s="1"/>
  <c r="B44" i="4" s="1"/>
  <c r="B45" i="4" s="1"/>
  <c r="B46" i="4" s="1"/>
  <c r="B47" i="4" s="1"/>
  <c r="B48" i="4" s="1"/>
  <c r="B49" i="4" s="1"/>
  <c r="B50" i="4" s="1"/>
  <c r="B51" i="4" s="1"/>
  <c r="B52" i="4" s="1"/>
  <c r="B53" i="4" s="1"/>
  <c r="B54" i="4" s="1"/>
  <c r="B55" i="4" s="1"/>
  <c r="B56" i="4" s="1"/>
  <c r="B57" i="4" s="1"/>
  <c r="B58" i="4" s="1"/>
  <c r="B59" i="4" s="1"/>
  <c r="B60" i="4" s="1"/>
  <c r="B61" i="4" s="1"/>
  <c r="B62" i="4" s="1"/>
  <c r="G4" i="4"/>
  <c r="H4" i="4" s="1"/>
  <c r="G5" i="4"/>
  <c r="H5" i="4" s="1"/>
  <c r="G6" i="4"/>
  <c r="H6" i="4" s="1"/>
  <c r="G7" i="4"/>
  <c r="H7" i="4" s="1"/>
  <c r="G8" i="4"/>
  <c r="H8" i="4"/>
  <c r="G9" i="4"/>
  <c r="H9" i="4" s="1"/>
  <c r="G10" i="4"/>
  <c r="H10" i="4" s="1"/>
  <c r="G11" i="4"/>
  <c r="H11" i="4" s="1"/>
  <c r="G12" i="4"/>
  <c r="H12" i="4"/>
  <c r="G13" i="4"/>
  <c r="H13" i="4" s="1"/>
  <c r="G14" i="4"/>
  <c r="H14" i="4" s="1"/>
  <c r="G15" i="4"/>
  <c r="H15" i="4" s="1"/>
  <c r="G16" i="4"/>
  <c r="H16" i="4" s="1"/>
  <c r="G17" i="4"/>
  <c r="H17" i="4" s="1"/>
  <c r="G18" i="4"/>
  <c r="H18" i="4"/>
  <c r="G19" i="4"/>
  <c r="H19" i="4" s="1"/>
  <c r="G20" i="4"/>
  <c r="H20" i="4" s="1"/>
  <c r="G21" i="4"/>
  <c r="H21" i="4" s="1"/>
  <c r="G22" i="4"/>
  <c r="H22" i="4" s="1"/>
  <c r="G23" i="4"/>
  <c r="H23" i="4" s="1"/>
  <c r="G24" i="4"/>
  <c r="H24" i="4"/>
  <c r="G25" i="4"/>
  <c r="H25" i="4" s="1"/>
  <c r="G26" i="4"/>
  <c r="H26" i="4" s="1"/>
  <c r="G27" i="4"/>
  <c r="H27" i="4" s="1"/>
  <c r="G28" i="4"/>
  <c r="H28" i="4"/>
  <c r="G29" i="4"/>
  <c r="H29" i="4" s="1"/>
  <c r="G30" i="4"/>
  <c r="H30" i="4" s="1"/>
  <c r="G31" i="4"/>
  <c r="H31" i="4" s="1"/>
  <c r="G32" i="4"/>
  <c r="H32" i="4" s="1"/>
  <c r="G33" i="4"/>
  <c r="H33" i="4" s="1"/>
  <c r="G34" i="4"/>
  <c r="H34" i="4"/>
  <c r="G35" i="4"/>
  <c r="H35" i="4" s="1"/>
  <c r="G36" i="4"/>
  <c r="H36" i="4" s="1"/>
  <c r="G37" i="4"/>
  <c r="H37" i="4" s="1"/>
  <c r="G38" i="4"/>
  <c r="H38" i="4" s="1"/>
  <c r="G39" i="4"/>
  <c r="H39" i="4" s="1"/>
  <c r="G40" i="4"/>
  <c r="H40" i="4"/>
  <c r="G41" i="4"/>
  <c r="H41" i="4" s="1"/>
  <c r="H42" i="4"/>
  <c r="G43" i="4"/>
  <c r="H43" i="4"/>
  <c r="G44" i="4"/>
  <c r="H44" i="4" s="1"/>
  <c r="G45" i="4"/>
  <c r="H45" i="4" s="1"/>
  <c r="G46" i="4"/>
  <c r="H46" i="4" s="1"/>
  <c r="G47" i="4"/>
  <c r="H47" i="4"/>
  <c r="G48" i="4"/>
  <c r="H48" i="4" s="1"/>
  <c r="G49" i="4"/>
  <c r="H49" i="4" s="1"/>
  <c r="G50" i="4"/>
  <c r="H50" i="4" s="1"/>
  <c r="G51" i="4"/>
  <c r="H51" i="4" s="1"/>
  <c r="G52" i="4"/>
  <c r="H52" i="4" s="1"/>
  <c r="G53" i="4"/>
  <c r="H53" i="4"/>
  <c r="G54" i="4"/>
  <c r="H54" i="4" s="1"/>
  <c r="G55" i="4"/>
  <c r="H55" i="4"/>
  <c r="G56" i="4"/>
  <c r="H56" i="4" s="1"/>
  <c r="G57" i="4"/>
  <c r="H57" i="4" s="1"/>
  <c r="G58" i="4"/>
  <c r="H58" i="4" s="1"/>
  <c r="G59" i="4"/>
  <c r="H59" i="4"/>
  <c r="G60" i="4"/>
  <c r="H60" i="4" s="1"/>
  <c r="G61" i="4"/>
  <c r="H61" i="4"/>
  <c r="G62" i="4"/>
  <c r="H62" i="4" s="1"/>
  <c r="H63" i="4" l="1"/>
  <c r="G66" i="4"/>
  <c r="G68" i="4"/>
  <c r="G72" i="4" l="1"/>
  <c r="G70" i="4"/>
  <c r="H66" i="4" s="1"/>
  <c r="I66" i="4" s="1"/>
  <c r="D49" i="2"/>
  <c r="D50" i="2" l="1"/>
  <c r="D14" i="1" s="1"/>
  <c r="G76" i="4"/>
  <c r="G78" i="4"/>
  <c r="H68" i="4"/>
  <c r="I68" i="4" s="1"/>
  <c r="D40" i="2"/>
  <c r="D41" i="2" s="1"/>
  <c r="D13" i="1" s="1"/>
  <c r="D32" i="2" l="1"/>
  <c r="D33" i="2" s="1"/>
  <c r="D55" i="2" s="1"/>
  <c r="D15" i="1" s="1"/>
  <c r="D16" i="1" s="1"/>
  <c r="D20" i="1" s="1"/>
  <c r="D12" i="1" l="1"/>
  <c r="G20" i="2"/>
  <c r="D19" i="2"/>
  <c r="G19" i="2" s="1"/>
  <c r="D6" i="2"/>
  <c r="G6" i="2" s="1"/>
  <c r="G21" i="2" l="1"/>
  <c r="D4" i="2"/>
  <c r="G24" i="2" l="1"/>
  <c r="G25" i="2" s="1"/>
  <c r="G4" i="2"/>
  <c r="D5" i="2"/>
  <c r="G5" i="2" s="1"/>
  <c r="D8" i="1" l="1"/>
  <c r="G7" i="2"/>
  <c r="D13" i="2" l="1"/>
  <c r="D7" i="1" s="1"/>
  <c r="D9" i="1" s="1"/>
  <c r="D22" i="1" s="1"/>
</calcChain>
</file>

<file path=xl/comments1.xml><?xml version="1.0" encoding="utf-8"?>
<comments xmlns="http://schemas.openxmlformats.org/spreadsheetml/2006/main">
  <authors>
    <author>Author</author>
  </authors>
  <commentList>
    <comment ref="E28" authorId="0">
      <text>
        <r>
          <rPr>
            <b/>
            <sz val="9"/>
            <color indexed="81"/>
            <rFont val="Tahoma"/>
            <family val="2"/>
          </rPr>
          <t xml:space="preserve">OEB Staff:
</t>
        </r>
        <r>
          <rPr>
            <sz val="9"/>
            <color indexed="81"/>
            <rFont val="Tahoma"/>
            <family val="2"/>
          </rPr>
          <t xml:space="preserve">If the proportion of poles cannot be determined by circuit length, use pole counts if alternative information is available
</t>
        </r>
      </text>
    </comment>
  </commentList>
</comments>
</file>

<file path=xl/sharedStrings.xml><?xml version="1.0" encoding="utf-8"?>
<sst xmlns="http://schemas.openxmlformats.org/spreadsheetml/2006/main" count="391" uniqueCount="288">
  <si>
    <t>InnPower Appendix: Calculation of Pole Attachment Charge</t>
  </si>
  <si>
    <t>Price Component - Per Pole</t>
  </si>
  <si>
    <t>$</t>
  </si>
  <si>
    <t>Explaination</t>
  </si>
  <si>
    <t>Direct Costs</t>
  </si>
  <si>
    <t>A</t>
  </si>
  <si>
    <t>Administration Costs</t>
  </si>
  <si>
    <t>B</t>
  </si>
  <si>
    <t>Loss In Productivity</t>
  </si>
  <si>
    <t>C</t>
  </si>
  <si>
    <t>Total Direct Costs</t>
  </si>
  <si>
    <t>A + B</t>
  </si>
  <si>
    <t>Indirect Costs</t>
  </si>
  <si>
    <t>D</t>
  </si>
  <si>
    <t>Net Embedded Cost Per Pole</t>
  </si>
  <si>
    <t>E</t>
  </si>
  <si>
    <t>F</t>
  </si>
  <si>
    <t>Pole Maintenance Expense</t>
  </si>
  <si>
    <t>G</t>
  </si>
  <si>
    <t>Capital Carrying Cost</t>
  </si>
  <si>
    <t>H</t>
  </si>
  <si>
    <t>Total Indirect Costs Per Pole</t>
  </si>
  <si>
    <t>E + F + G</t>
  </si>
  <si>
    <t>I</t>
  </si>
  <si>
    <t>Allocation Factor</t>
  </si>
  <si>
    <t>J</t>
  </si>
  <si>
    <t>Indirect Costs Allocatted</t>
  </si>
  <si>
    <t>H x I</t>
  </si>
  <si>
    <t>K</t>
  </si>
  <si>
    <t>Annual Pole Rental Charge</t>
  </si>
  <si>
    <t xml:space="preserve">C + J </t>
  </si>
  <si>
    <t>Administration Costs Per Pole</t>
  </si>
  <si>
    <t>GIS System Updates/Maintenance</t>
  </si>
  <si>
    <t>Hours</t>
  </si>
  <si>
    <t>Total Admin Cost Per Year</t>
  </si>
  <si>
    <t>Total</t>
  </si>
  <si>
    <t>Allocation</t>
  </si>
  <si>
    <t>Hourly Rate Burdened</t>
  </si>
  <si>
    <t>Prepare Billing/Financial Reconciliations/Annual Statements</t>
  </si>
  <si>
    <t>Joint use permit application processing</t>
  </si>
  <si>
    <t>Total Number of IPC poles (in service)</t>
  </si>
  <si>
    <t>Total Admin Cost per pole</t>
  </si>
  <si>
    <t>Pole Replacement</t>
  </si>
  <si>
    <t>Labour - Technician</t>
  </si>
  <si>
    <t>Vehicle - small</t>
  </si>
  <si>
    <t>Total LIP Costs</t>
  </si>
  <si>
    <t>Total LIP Costs per pole</t>
  </si>
  <si>
    <t>Net Embedded Cost per Pole</t>
  </si>
  <si>
    <t>Total Opening NBV (Account 1830)</t>
  </si>
  <si>
    <t>Total Closing  NBV (Account 1830)</t>
  </si>
  <si>
    <t>Based on 2016 FA Continuity TC</t>
  </si>
  <si>
    <t>Depreciation Expense</t>
  </si>
  <si>
    <t>NBV per pole</t>
  </si>
  <si>
    <t xml:space="preserve"> </t>
  </si>
  <si>
    <t>Total Depreciation Expense</t>
  </si>
  <si>
    <t xml:space="preserve">Adjusted Depreciation </t>
  </si>
  <si>
    <t>Depreciation Expense per Pole</t>
  </si>
  <si>
    <t>Total Adjusted NBV/Number of In service Poles</t>
  </si>
  <si>
    <t>Total Depreciation Expense/Number of In service Poles</t>
  </si>
  <si>
    <t>Pole Maintenance Costs</t>
  </si>
  <si>
    <t xml:space="preserve">Total Pole Maintenance </t>
  </si>
  <si>
    <t>Pole Maintenance Cost per pole</t>
  </si>
  <si>
    <t>Total Adjusted Maintenance Costs/Number of In service poles</t>
  </si>
  <si>
    <t xml:space="preserve">Capital Carrying Costs </t>
  </si>
  <si>
    <t>Additions</t>
  </si>
  <si>
    <t>Disposals</t>
  </si>
  <si>
    <t xml:space="preserve">IPC Data and Calaculations </t>
  </si>
  <si>
    <t>Data Source</t>
  </si>
  <si>
    <t>Refer to Data &amp; Calculation Tab</t>
  </si>
  <si>
    <t>IPC Distribution System Plan</t>
  </si>
  <si>
    <t xml:space="preserve">Determined from Invoices </t>
  </si>
  <si>
    <t>Time sheets</t>
  </si>
  <si>
    <t>Financial Records</t>
  </si>
  <si>
    <t>Outage Management System/Timesheets</t>
  </si>
  <si>
    <t>2016 Fixed Asset Continuity Schedule - Appendix 2-BA  Account 1830 (Line 288)</t>
  </si>
  <si>
    <t>Adjusted Total Pole Maintenance</t>
  </si>
  <si>
    <t>Capital Carrying Cost per Pole</t>
  </si>
  <si>
    <t>Net Embedded Cost per Pole/WACC</t>
  </si>
  <si>
    <t>Total Depreciation Expense (Additions &amp; Disposals)</t>
  </si>
  <si>
    <t>Number of Pole Attachments</t>
  </si>
  <si>
    <t>Estimated Number of Attachments per Pole</t>
  </si>
  <si>
    <t>% Verified</t>
  </si>
  <si>
    <t>Total IPC Poles In Service</t>
  </si>
  <si>
    <t>Number of Attachments</t>
  </si>
  <si>
    <t>Total of Poles in which attachments were verified</t>
  </si>
  <si>
    <t>Total of Poles without Attachments</t>
  </si>
  <si>
    <t>Total of Poles with Attachments</t>
  </si>
  <si>
    <t>Extrapulated Poles with Attachments</t>
  </si>
  <si>
    <t>Pole Sample Audit Results</t>
  </si>
  <si>
    <t>McKay e/o City RD 27*</t>
  </si>
  <si>
    <t>5th SR n/o 10th Line</t>
  </si>
  <si>
    <t>5th SR n/o 9th Line</t>
  </si>
  <si>
    <t>9th Line w/o 5th SR</t>
  </si>
  <si>
    <t>5th SR n/o IBR</t>
  </si>
  <si>
    <t>9th Line w/o 10th SR</t>
  </si>
  <si>
    <t>10th SR s/o 10th Line</t>
  </si>
  <si>
    <t>10th Line w/o 10th SR</t>
  </si>
  <si>
    <t>10th Line e/o 10th SR</t>
  </si>
  <si>
    <t>10th SR s/o Lockhart</t>
  </si>
  <si>
    <t>20th SR s/o Mpaleview</t>
  </si>
  <si>
    <t>Mapleview e/o 20th SR</t>
  </si>
  <si>
    <t>Mapleview w/o 25th SR</t>
  </si>
  <si>
    <t>Lockhart e/o 20th SR</t>
  </si>
  <si>
    <t>Lockhart w/o 20th SR</t>
  </si>
  <si>
    <t>20th SR n/o 10th Line</t>
  </si>
  <si>
    <t>9th Line w/o 20th SR</t>
  </si>
  <si>
    <t>9th Line w/o 25th SR</t>
  </si>
  <si>
    <t>20th SR N/O Mapleview</t>
  </si>
  <si>
    <t>Mapleview W/O 20th SR</t>
  </si>
  <si>
    <t>N/A</t>
  </si>
  <si>
    <t>9th Line E/O Yonge + W/O Yonge</t>
  </si>
  <si>
    <t>IBR e/o 10th SR</t>
  </si>
  <si>
    <t>IBR e/o Industrial Park</t>
  </si>
  <si>
    <t>IBR e/o City RD 27</t>
  </si>
  <si>
    <t>City RD 27 s/o 9th Line</t>
  </si>
  <si>
    <t>City RD 27 s/o McKay</t>
  </si>
  <si>
    <t>City RD 27 s/o Salem</t>
  </si>
  <si>
    <t>Essa n/o Salem</t>
  </si>
  <si>
    <t>Salem w/o 5th SR</t>
  </si>
  <si>
    <t>IBR at Industrial Park</t>
  </si>
  <si>
    <t>9th at Industrial Park</t>
  </si>
  <si>
    <t>Lockhart w/o Yonge</t>
  </si>
  <si>
    <t>Lockhart e/o Sandy Cove DS</t>
  </si>
  <si>
    <t>10th Line e/o 20th SR</t>
  </si>
  <si>
    <t xml:space="preserve">20th SR s/o 9th Line </t>
  </si>
  <si>
    <t>25th SR n/o 10th Line</t>
  </si>
  <si>
    <t xml:space="preserve">Lockhart e/o 25 SR </t>
  </si>
  <si>
    <t>25th SR n/o Lockhart</t>
  </si>
  <si>
    <t>25th SR at Mapleview + Mapleview e/o 25th SR</t>
  </si>
  <si>
    <t>13th E/O 25th SR</t>
  </si>
  <si>
    <t>BBP E/O 20th SR</t>
  </si>
  <si>
    <t>Mapleview W/O Yonge</t>
  </si>
  <si>
    <t>IBR w/o Webster</t>
  </si>
  <si>
    <t>IBR E/O Yonge St.</t>
  </si>
  <si>
    <t>10th Line w/o 20th SR</t>
  </si>
  <si>
    <t xml:space="preserve">20th SR n/o 9th Line </t>
  </si>
  <si>
    <t>Lebanon w/o 25th SR</t>
  </si>
  <si>
    <t>9th Line e/o 25th SR</t>
  </si>
  <si>
    <t>25th SR s/o 10th Line</t>
  </si>
  <si>
    <t>10th Line e/o 25th SR</t>
  </si>
  <si>
    <t>25th SR s/o BBP</t>
  </si>
  <si>
    <t>BBP N/O 13th</t>
  </si>
  <si>
    <t>Yonge S/O Mapleview</t>
  </si>
  <si>
    <t>Yonge S/O Lockhart</t>
  </si>
  <si>
    <t>Yonge (Stroud)</t>
  </si>
  <si>
    <t>Yonge S/O Victoria St.</t>
  </si>
  <si>
    <t>Yonge St. S/O Line 9</t>
  </si>
  <si>
    <t>Yonge St. S/O IBR</t>
  </si>
  <si>
    <t>25th SR s/o 9th Line</t>
  </si>
  <si>
    <t>Attachments</t>
  </si>
  <si>
    <t>Estimated # of Poles</t>
  </si>
  <si>
    <t>Distance (m)</t>
  </si>
  <si>
    <t>Average Span Length (m)</t>
  </si>
  <si>
    <t>Actual Number of Attachments</t>
  </si>
  <si>
    <t>Location</t>
  </si>
  <si>
    <t>Number</t>
  </si>
  <si>
    <t>Sample Pole Calculations</t>
  </si>
  <si>
    <t>Height of Pole</t>
  </si>
  <si>
    <t>40 foot pole is divided into five vertical spaces. Exch space is then allocated</t>
  </si>
  <si>
    <t xml:space="preserve">to IPC and or the 3rd party Attachers based on the proportionate usage space </t>
  </si>
  <si>
    <t>Buried depth</t>
  </si>
  <si>
    <t>IPC</t>
  </si>
  <si>
    <t>Clearance Space</t>
  </si>
  <si>
    <t>Telecommunication Space</t>
  </si>
  <si>
    <t>Feet</t>
  </si>
  <si>
    <t>Separation Space</t>
  </si>
  <si>
    <t>Power Space</t>
  </si>
  <si>
    <t>Average Number of electrical Companies in power space</t>
  </si>
  <si>
    <t>Average Number of 3rd Party attachers on a IPC Pole</t>
  </si>
  <si>
    <t>Average Number of Users Per Pole</t>
  </si>
  <si>
    <t>3rd Party</t>
  </si>
  <si>
    <t>Equal Sharing</t>
  </si>
  <si>
    <t>Total of Equal Sharing Allocation of spaces</t>
  </si>
  <si>
    <t xml:space="preserve">Allocation Rate </t>
  </si>
  <si>
    <t>Allocatted to IPC and 3rd party attachers</t>
  </si>
  <si>
    <t>Allocatted soley to 3rd party attachers</t>
  </si>
  <si>
    <t>Per CSA C22.3 No.1 Standard, alloctted soley to 3rd party aattachers</t>
  </si>
  <si>
    <t>Allocatted soley to IPC</t>
  </si>
  <si>
    <t>5% adjustment to account for inclusion of power specific assets, EB-2015-0004</t>
  </si>
  <si>
    <t>Attachers</t>
  </si>
  <si>
    <t>Bell &amp; Rogers &amp; Atria</t>
  </si>
  <si>
    <t>Bell &amp; Rogers</t>
  </si>
  <si>
    <t>Rogers</t>
  </si>
  <si>
    <t>Bell</t>
  </si>
  <si>
    <t>Atria</t>
  </si>
  <si>
    <t>No Attacher</t>
  </si>
  <si>
    <t>Pole Length</t>
  </si>
  <si>
    <t>75/45</t>
  </si>
  <si>
    <t>55 feet and up has transmission and distribution circuits</t>
  </si>
  <si>
    <t xml:space="preserve">2016 NBV - FA Continuity Schedule Line 288 </t>
  </si>
  <si>
    <t>2016 NBV of Account 1830</t>
  </si>
  <si>
    <t>Number of Poles with Attachers</t>
  </si>
  <si>
    <t>Number of Attachers per pole</t>
  </si>
  <si>
    <t>Total loss in Productivity per/# of Pole Attachments/ # of Attachers per pole</t>
  </si>
  <si>
    <t>Cost of Capital per EB-2013-0139</t>
  </si>
  <si>
    <t xml:space="preserve">2016 NBV </t>
  </si>
  <si>
    <t>Account 5120</t>
  </si>
  <si>
    <t>Account 5125</t>
  </si>
  <si>
    <t xml:space="preserve">2016 Actuals </t>
  </si>
  <si>
    <t xml:space="preserve">2016 Cost of Capital </t>
  </si>
  <si>
    <t>Adjusted NBV</t>
  </si>
  <si>
    <t>Total LIP , per pole, per attacher</t>
  </si>
  <si>
    <t>2016 Cost of Capital as per EB-2013-0139, 6.12% grossed up for taxes per 8-Staff-9(iv)</t>
  </si>
  <si>
    <t>REMOVED - Has been booked to 1830</t>
  </si>
  <si>
    <t>Trouble Calls</t>
  </si>
  <si>
    <t>Within the range</t>
  </si>
  <si>
    <t xml:space="preserve">Total trouble call costs, allocated to attachers  </t>
  </si>
  <si>
    <t>Pole Testing Costs</t>
  </si>
  <si>
    <t>Based on 1.38 attachers per pole</t>
  </si>
  <si>
    <t>Invoiced costs (pre-tax) from Pole Care International Inc. for 2016 pole testing</t>
  </si>
  <si>
    <t>Inputs (# of Attachments per Pole and # of Poles with Attachments)</t>
  </si>
  <si>
    <t>Total # of poles</t>
  </si>
  <si>
    <t># of poles inspected (from field audit)</t>
  </si>
  <si>
    <t># of poles w/ communications attachers (from field audit)</t>
  </si>
  <si>
    <t>Other Attachers</t>
  </si>
  <si>
    <t># of communications attachers (from field audit)</t>
  </si>
  <si>
    <t>Street Light Attachments</t>
  </si>
  <si>
    <t># of invoices issues to attchers (telecom plus HON)</t>
  </si>
  <si>
    <t>HON Attachments</t>
  </si>
  <si>
    <t># of invoices issued to communications attachers (i.e. number or attachments)</t>
  </si>
  <si>
    <t>Total Other Attachments</t>
  </si>
  <si>
    <t>JUST TELECOM</t>
  </si>
  <si>
    <t>TELECOM PLUS OTHER ATTACHERS</t>
  </si>
  <si>
    <t># of communications attachers per pole with attachments</t>
  </si>
  <si>
    <t>Number of Other Attachments on Poles with Telecom</t>
  </si>
  <si>
    <t># of poles with communications attachments based on number of attachers per pole</t>
  </si>
  <si>
    <t>Total Attachers Per Pole with Telecom</t>
  </si>
  <si>
    <t>% of poles with communications attachments</t>
  </si>
  <si>
    <t># of poles with communications attachments based on  proportion of poles with attachers</t>
  </si>
  <si>
    <t>Average of methods</t>
  </si>
  <si>
    <t>Total attachers per pole with telecom attachers</t>
  </si>
  <si>
    <t>Method 1: Based on number of attachers per pole</t>
  </si>
  <si>
    <t>Method 2: Based on portion of poles with attachers</t>
  </si>
  <si>
    <t>Ratios</t>
  </si>
  <si>
    <t>Total costs</t>
  </si>
  <si>
    <t>Three phase primary</t>
  </si>
  <si>
    <t>Two phase primary</t>
  </si>
  <si>
    <t>Single phase primary</t>
  </si>
  <si>
    <t>d * b</t>
  </si>
  <si>
    <t>c * b</t>
  </si>
  <si>
    <t>d</t>
  </si>
  <si>
    <t>c</t>
  </si>
  <si>
    <t>b</t>
  </si>
  <si>
    <t xml:space="preserve">a = c + d </t>
  </si>
  <si>
    <t>Total Power Only Fixture Costs</t>
  </si>
  <si>
    <t>Total Common Cost</t>
  </si>
  <si>
    <t>Estimated Power Only Costs per pole</t>
  </si>
  <si>
    <t>Estimated Common Cost per pole</t>
  </si>
  <si>
    <t xml:space="preserve"># poles </t>
  </si>
  <si>
    <t>Estimated Total Cost, per pole</t>
  </si>
  <si>
    <t>Type of Power Circuit</t>
  </si>
  <si>
    <t>Table 10-a:  Costs by Power Circuit</t>
  </si>
  <si>
    <t>poles/pole material</t>
  </si>
  <si>
    <t>transfomer racks and platforms</t>
  </si>
  <si>
    <t>permits for construction</t>
  </si>
  <si>
    <t>suspension bolts</t>
  </si>
  <si>
    <t>paving</t>
  </si>
  <si>
    <t>insulator pins</t>
  </si>
  <si>
    <t>foundations</t>
  </si>
  <si>
    <t>guards</t>
  </si>
  <si>
    <t>tagging</t>
  </si>
  <si>
    <t>excavation and back fill</t>
  </si>
  <si>
    <t>extension arms</t>
  </si>
  <si>
    <t>shaving</t>
  </si>
  <si>
    <t>strain insulators</t>
  </si>
  <si>
    <t>braces</t>
  </si>
  <si>
    <t xml:space="preserve">setting </t>
  </si>
  <si>
    <t>guy guards</t>
  </si>
  <si>
    <t>cross arms</t>
  </si>
  <si>
    <t>reinforcing and stuffing</t>
  </si>
  <si>
    <t>anchors</t>
  </si>
  <si>
    <t>brackets</t>
  </si>
  <si>
    <t>Pole Related (Common) Costs</t>
  </si>
  <si>
    <t>Power Fixture Costs (Only)</t>
  </si>
  <si>
    <t>The classification of costs in Account 1830 has been proposed by the Pole Attachment Working Group (PAWG) consultation (EB-2015-0304) as follows:</t>
  </si>
  <si>
    <t>Table 10:  Classification of Costs in USoA 1830</t>
  </si>
  <si>
    <r>
      <rPr>
        <b/>
        <sz val="12"/>
        <color theme="1"/>
        <rFont val="Arial"/>
        <family val="2"/>
      </rPr>
      <t xml:space="preserve">Instructions: </t>
    </r>
    <r>
      <rPr>
        <sz val="12"/>
        <color theme="1"/>
        <rFont val="Arial"/>
        <family val="2"/>
      </rPr>
      <t xml:space="preserve"> If a change to the default allocation of 15% power deduction is proposed, please complete Table 10-a on the costs by circuit configuration separating out common and power only fixture costs, and provide detailed tables on construction costs from sample work orders for the distributor's typical pole designs.  Please provide any additional analysis in a new tab.
HONI's methodology to confirm the 15% power deduction factor was undertaken in 3 steps: 1) For each pole design, the labour hours of installation for each work order activity was used to determine a ratio to allocate costs for the 'pole' vs. 'power fixtures'.  These ratios were used to separate out any common cost of labour, vehicle (truck) and work equipment into 'power' vs. 'pole' cost categories.  2) Material costs can similarly be divided out, using the established ratios; contractor costs for installing the pole were pole related.  3) Common and power only costs were weighted by the proportion of poles that have different circuit configurations.</t>
    </r>
  </si>
  <si>
    <t>Power Deduction Factor</t>
  </si>
  <si>
    <t>Page:</t>
  </si>
  <si>
    <t>Schedule:</t>
  </si>
  <si>
    <t>Tab:</t>
  </si>
  <si>
    <t>Exhibit:</t>
  </si>
  <si>
    <t>EB-2016-0085</t>
  </si>
  <si>
    <t>File Number:</t>
  </si>
  <si>
    <t>2017 Average</t>
  </si>
  <si>
    <t>2016 Average</t>
  </si>
  <si>
    <t>Average Deprection Expense Account 1830 - 2011 - 2017</t>
  </si>
  <si>
    <t>Average NBV Account 1830 - 2011 - 2017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</si>
</sst>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quot;$&quot;* #,##0.00_-;_-&quot;$&quot;* &quot;-&quot;??_-;_-@_-"/>
    <numFmt numFmtId="43" formatCode="_-* #,##0.00_-;\-* #,##0.00_-;_-* &quot;-&quot;??_-;_-@_-"/>
    <numFmt numFmtId="164" formatCode="_(* #,##0_);_(* \(#,##0\);_(* &quot;-&quot;??_);_(@_)"/>
    <numFmt numFmtId="165" formatCode="0.0%"/>
    <numFmt numFmtId="166" formatCode="_(&quot;$&quot;* #,##0_);_(&quot;$&quot;* \(#,##0\);_(&quot;$&quot;* &quot;-&quot;??_);_(@_)"/>
    <numFmt numFmtId="167" formatCode="0.0000"/>
    <numFmt numFmtId="168" formatCode="0.000"/>
    <numFmt numFmtId="169" formatCode="&quot;$&quot;#,##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sz val="12"/>
      <color theme="1"/>
      <name val="Arial"/>
      <family val="2"/>
    </font>
    <font>
      <b/>
      <sz val="12"/>
      <color theme="1"/>
      <name val="Arial"/>
      <family val="2"/>
    </font>
    <font>
      <b/>
      <u/>
      <sz val="12"/>
      <color theme="1"/>
      <name val="Arial"/>
      <family val="2"/>
    </font>
    <font>
      <sz val="12"/>
      <color theme="1"/>
      <name val="Calibri"/>
      <family val="2"/>
      <scheme val="minor"/>
    </font>
    <font>
      <b/>
      <sz val="16"/>
      <color theme="1"/>
      <name val="Arial"/>
      <family val="2"/>
    </font>
    <font>
      <sz val="10"/>
      <name val="Arial"/>
      <family val="2"/>
    </font>
    <font>
      <b/>
      <sz val="11"/>
      <name val="Arial"/>
      <family val="2"/>
    </font>
    <font>
      <b/>
      <sz val="9"/>
      <color indexed="81"/>
      <name val="Tahoma"/>
      <family val="2"/>
    </font>
    <font>
      <sz val="9"/>
      <color indexed="81"/>
      <name val="Tahoma"/>
      <family val="2"/>
    </font>
  </fonts>
  <fills count="10">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theme="0" tint="-4.9989318521683403E-2"/>
        <bgColor indexed="64"/>
      </patternFill>
    </fill>
  </fills>
  <borders count="31">
    <border>
      <left/>
      <right/>
      <top/>
      <bottom/>
      <diagonal/>
    </border>
    <border>
      <left/>
      <right/>
      <top/>
      <bottom style="double">
        <color indexed="64"/>
      </bottom>
      <diagonal/>
    </border>
    <border>
      <left/>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theme="0"/>
      </bottom>
      <diagonal/>
    </border>
  </borders>
  <cellStyleXfs count="11">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 fillId="0" borderId="11" applyNumberFormat="0" applyFill="0" applyAlignment="0" applyProtection="0"/>
    <xf numFmtId="0" fontId="7" fillId="0" borderId="12" applyNumberFormat="0" applyFill="0" applyAlignment="0" applyProtection="0"/>
    <xf numFmtId="0" fontId="8" fillId="5" borderId="0" applyNumberFormat="0" applyBorder="0" applyAlignment="0" applyProtection="0"/>
    <xf numFmtId="0" fontId="9" fillId="6" borderId="0" applyNumberFormat="0" applyBorder="0" applyAlignment="0" applyProtection="0"/>
    <xf numFmtId="0" fontId="10" fillId="7" borderId="13" applyNumberFormat="0" applyAlignment="0" applyProtection="0"/>
    <xf numFmtId="0" fontId="11" fillId="8" borderId="14" applyNumberFormat="0" applyAlignment="0" applyProtection="0"/>
    <xf numFmtId="0" fontId="17" fillId="0" borderId="0"/>
  </cellStyleXfs>
  <cellXfs count="142">
    <xf numFmtId="0" fontId="0" fillId="0" borderId="0" xfId="0"/>
    <xf numFmtId="0" fontId="3" fillId="0" borderId="0" xfId="0" applyFont="1"/>
    <xf numFmtId="0" fontId="2" fillId="0" borderId="0" xfId="0" applyFont="1"/>
    <xf numFmtId="0" fontId="0" fillId="0" borderId="1" xfId="0" applyBorder="1"/>
    <xf numFmtId="0" fontId="0" fillId="2" borderId="3" xfId="0" applyFill="1" applyBorder="1"/>
    <xf numFmtId="0" fontId="2" fillId="2" borderId="4" xfId="0" applyFont="1" applyFill="1" applyBorder="1" applyAlignment="1">
      <alignment horizontal="center"/>
    </xf>
    <xf numFmtId="0" fontId="0" fillId="0" borderId="6" xfId="0" applyBorder="1"/>
    <xf numFmtId="0" fontId="2" fillId="3" borderId="0" xfId="0" applyFont="1" applyFill="1" applyBorder="1"/>
    <xf numFmtId="0" fontId="0" fillId="0" borderId="0" xfId="0" applyBorder="1"/>
    <xf numFmtId="0" fontId="0" fillId="0" borderId="7" xfId="0" applyBorder="1"/>
    <xf numFmtId="0" fontId="2" fillId="0" borderId="6" xfId="0" applyFont="1" applyBorder="1"/>
    <xf numFmtId="0" fontId="2" fillId="0" borderId="0" xfId="0" applyFont="1" applyBorder="1"/>
    <xf numFmtId="0" fontId="2" fillId="0" borderId="7" xfId="0" applyFont="1" applyBorder="1"/>
    <xf numFmtId="0" fontId="0" fillId="0" borderId="8" xfId="0" applyBorder="1"/>
    <xf numFmtId="0" fontId="0" fillId="0" borderId="9" xfId="0" applyBorder="1"/>
    <xf numFmtId="0" fontId="0" fillId="0" borderId="10" xfId="0" applyBorder="1"/>
    <xf numFmtId="44" fontId="0" fillId="0" borderId="0" xfId="1" applyFont="1"/>
    <xf numFmtId="44" fontId="0" fillId="0" borderId="0" xfId="0" applyNumberFormat="1"/>
    <xf numFmtId="44" fontId="0" fillId="0" borderId="1" xfId="0" applyNumberFormat="1" applyBorder="1"/>
    <xf numFmtId="44" fontId="0" fillId="0" borderId="0" xfId="0" applyNumberFormat="1" applyBorder="1"/>
    <xf numFmtId="44" fontId="2" fillId="0" borderId="0" xfId="0" applyNumberFormat="1" applyFont="1"/>
    <xf numFmtId="164" fontId="2" fillId="0" borderId="0" xfId="2" applyNumberFormat="1" applyFont="1"/>
    <xf numFmtId="164" fontId="2" fillId="0" borderId="0" xfId="0" applyNumberFormat="1" applyFont="1"/>
    <xf numFmtId="44" fontId="2" fillId="0" borderId="0" xfId="1" applyFont="1"/>
    <xf numFmtId="0" fontId="0" fillId="0" borderId="0" xfId="0" applyAlignment="1">
      <alignment horizontal="center" vertical="center"/>
    </xf>
    <xf numFmtId="0" fontId="0" fillId="0" borderId="0" xfId="0" applyAlignment="1">
      <alignment horizontal="center"/>
    </xf>
    <xf numFmtId="0" fontId="4" fillId="0" borderId="0" xfId="0" applyFont="1"/>
    <xf numFmtId="0" fontId="2" fillId="2" borderId="0" xfId="0" applyFont="1" applyFill="1"/>
    <xf numFmtId="0" fontId="2" fillId="2" borderId="0" xfId="0" applyFont="1" applyFill="1" applyAlignment="1">
      <alignment wrapText="1"/>
    </xf>
    <xf numFmtId="0" fontId="2" fillId="2" borderId="0" xfId="0" applyFont="1" applyFill="1" applyAlignment="1">
      <alignment horizontal="right"/>
    </xf>
    <xf numFmtId="44" fontId="2" fillId="0" borderId="2" xfId="0" applyNumberFormat="1" applyFont="1" applyBorder="1"/>
    <xf numFmtId="44" fontId="2" fillId="0" borderId="1" xfId="0" applyNumberFormat="1" applyFont="1" applyBorder="1"/>
    <xf numFmtId="0" fontId="0" fillId="2" borderId="0" xfId="0" applyFill="1"/>
    <xf numFmtId="0" fontId="0" fillId="0" borderId="7" xfId="0" applyBorder="1" applyAlignment="1">
      <alignment horizontal="right"/>
    </xf>
    <xf numFmtId="166" fontId="0" fillId="0" borderId="0" xfId="1" applyNumberFormat="1" applyFont="1"/>
    <xf numFmtId="166" fontId="0" fillId="0" borderId="1" xfId="1" applyNumberFormat="1" applyFont="1" applyBorder="1"/>
    <xf numFmtId="166" fontId="2" fillId="0" borderId="1" xfId="1" applyNumberFormat="1" applyFont="1" applyBorder="1"/>
    <xf numFmtId="44" fontId="0" fillId="0" borderId="0" xfId="1" applyNumberFormat="1" applyFont="1" applyBorder="1"/>
    <xf numFmtId="44" fontId="2" fillId="0" borderId="2" xfId="1" applyNumberFormat="1" applyFont="1" applyBorder="1"/>
    <xf numFmtId="0" fontId="5" fillId="2" borderId="4" xfId="0" applyFont="1" applyFill="1" applyBorder="1"/>
    <xf numFmtId="0" fontId="5" fillId="2" borderId="5" xfId="0" applyFont="1" applyFill="1" applyBorder="1" applyAlignment="1">
      <alignment horizontal="center"/>
    </xf>
    <xf numFmtId="166" fontId="0" fillId="0" borderId="1" xfId="0" applyNumberFormat="1" applyBorder="1"/>
    <xf numFmtId="44" fontId="2" fillId="0" borderId="1" xfId="1" applyFont="1" applyBorder="1"/>
    <xf numFmtId="166" fontId="0" fillId="0" borderId="2" xfId="1" applyNumberFormat="1" applyFont="1" applyBorder="1"/>
    <xf numFmtId="166" fontId="0" fillId="0" borderId="2" xfId="0" applyNumberFormat="1" applyBorder="1"/>
    <xf numFmtId="44" fontId="2" fillId="0" borderId="2" xfId="1" applyFont="1" applyBorder="1"/>
    <xf numFmtId="44" fontId="2" fillId="0" borderId="0" xfId="0" applyNumberFormat="1" applyFont="1" applyBorder="1"/>
    <xf numFmtId="0" fontId="5" fillId="0" borderId="0" xfId="0" applyFont="1"/>
    <xf numFmtId="164" fontId="0" fillId="0" borderId="0" xfId="2" applyNumberFormat="1" applyFont="1"/>
    <xf numFmtId="0" fontId="0" fillId="0" borderId="0" xfId="0" applyAlignment="1">
      <alignment horizontal="left"/>
    </xf>
    <xf numFmtId="0" fontId="2" fillId="2" borderId="0" xfId="0" applyFont="1" applyFill="1" applyAlignment="1">
      <alignment horizontal="center"/>
    </xf>
    <xf numFmtId="0" fontId="2" fillId="2" borderId="1" xfId="0" applyFont="1" applyFill="1" applyBorder="1" applyAlignment="1">
      <alignment horizontal="center"/>
    </xf>
    <xf numFmtId="0" fontId="0" fillId="0" borderId="0" xfId="0" applyAlignment="1">
      <alignment horizontal="center" wrapText="1"/>
    </xf>
    <xf numFmtId="0" fontId="0" fillId="0" borderId="0" xfId="0" applyAlignment="1">
      <alignment horizontal="left" wrapText="1"/>
    </xf>
    <xf numFmtId="1" fontId="0" fillId="0" borderId="0" xfId="0" applyNumberFormat="1"/>
    <xf numFmtId="167" fontId="0" fillId="0" borderId="9" xfId="0" applyNumberFormat="1" applyBorder="1"/>
    <xf numFmtId="0" fontId="0" fillId="0" borderId="9" xfId="0" applyBorder="1" applyAlignment="1">
      <alignment horizontal="center" wrapText="1"/>
    </xf>
    <xf numFmtId="0" fontId="0" fillId="2" borderId="8" xfId="0" applyFill="1" applyBorder="1" applyAlignment="1">
      <alignment horizontal="center" wrapText="1"/>
    </xf>
    <xf numFmtId="0" fontId="0" fillId="0" borderId="0" xfId="0" applyBorder="1" applyAlignment="1">
      <alignment horizontal="center" wrapText="1"/>
    </xf>
    <xf numFmtId="0" fontId="0" fillId="2" borderId="6" xfId="0" applyFill="1" applyBorder="1" applyAlignment="1">
      <alignment horizontal="center" wrapText="1"/>
    </xf>
    <xf numFmtId="9" fontId="0" fillId="0" borderId="0" xfId="3" applyFont="1" applyBorder="1"/>
    <xf numFmtId="164" fontId="0" fillId="0" borderId="0" xfId="2" applyNumberFormat="1" applyFont="1" applyBorder="1"/>
    <xf numFmtId="0" fontId="0" fillId="4" borderId="0" xfId="0" applyFill="1"/>
    <xf numFmtId="165" fontId="0" fillId="0" borderId="0" xfId="0" applyNumberFormat="1"/>
    <xf numFmtId="164" fontId="0" fillId="0" borderId="7" xfId="2" applyNumberFormat="1" applyFont="1" applyBorder="1"/>
    <xf numFmtId="0" fontId="0" fillId="2" borderId="5" xfId="0" applyFill="1" applyBorder="1" applyAlignment="1">
      <alignment horizontal="right" wrapText="1"/>
    </xf>
    <xf numFmtId="2" fontId="0" fillId="2" borderId="4" xfId="0" applyNumberFormat="1" applyFill="1" applyBorder="1" applyAlignment="1">
      <alignment horizontal="right" wrapText="1"/>
    </xf>
    <xf numFmtId="0" fontId="0" fillId="2" borderId="4" xfId="0" applyFill="1" applyBorder="1"/>
    <xf numFmtId="0" fontId="0" fillId="2" borderId="4" xfId="0" applyFill="1" applyBorder="1" applyAlignment="1">
      <alignment horizontal="center" wrapText="1"/>
    </xf>
    <xf numFmtId="2" fontId="0" fillId="0" borderId="0" xfId="0" applyNumberFormat="1"/>
    <xf numFmtId="0" fontId="0" fillId="2" borderId="0" xfId="0" applyFill="1" applyAlignment="1">
      <alignment horizontal="center" wrapText="1"/>
    </xf>
    <xf numFmtId="0" fontId="0" fillId="2" borderId="0" xfId="0" applyFill="1" applyAlignment="1">
      <alignment horizontal="center"/>
    </xf>
    <xf numFmtId="2" fontId="2" fillId="0" borderId="0" xfId="0" applyNumberFormat="1" applyFont="1"/>
    <xf numFmtId="10" fontId="2" fillId="0" borderId="0" xfId="3" applyNumberFormat="1" applyFont="1" applyBorder="1"/>
    <xf numFmtId="10" fontId="2" fillId="0" borderId="9" xfId="3" applyNumberFormat="1" applyFont="1" applyBorder="1"/>
    <xf numFmtId="2" fontId="0" fillId="0" borderId="9" xfId="0" applyNumberFormat="1" applyBorder="1"/>
    <xf numFmtId="166" fontId="0" fillId="0" borderId="0" xfId="1" applyNumberFormat="1" applyFont="1" applyBorder="1"/>
    <xf numFmtId="164" fontId="1" fillId="0" borderId="1" xfId="2" applyNumberFormat="1" applyFont="1" applyBorder="1"/>
    <xf numFmtId="10" fontId="0" fillId="0" borderId="0" xfId="3" applyNumberFormat="1" applyFont="1"/>
    <xf numFmtId="0" fontId="0" fillId="2" borderId="0" xfId="0" applyFill="1" applyBorder="1" applyAlignment="1">
      <alignment horizontal="right" wrapText="1"/>
    </xf>
    <xf numFmtId="10" fontId="0" fillId="0" borderId="1" xfId="3" applyNumberFormat="1" applyFont="1" applyBorder="1"/>
    <xf numFmtId="0" fontId="4" fillId="4" borderId="0" xfId="0" applyFont="1" applyFill="1"/>
    <xf numFmtId="0" fontId="2" fillId="4" borderId="0" xfId="0" applyFont="1" applyFill="1"/>
    <xf numFmtId="0" fontId="0" fillId="4" borderId="0" xfId="0" applyFill="1" applyAlignment="1">
      <alignment horizontal="left"/>
    </xf>
    <xf numFmtId="166" fontId="0" fillId="4" borderId="1" xfId="1" applyNumberFormat="1" applyFont="1" applyFill="1" applyBorder="1"/>
    <xf numFmtId="0" fontId="6" fillId="0" borderId="11" xfId="4"/>
    <xf numFmtId="0" fontId="10" fillId="7" borderId="13" xfId="8"/>
    <xf numFmtId="0" fontId="9" fillId="6" borderId="0" xfId="7"/>
    <xf numFmtId="0" fontId="7" fillId="0" borderId="12" xfId="5"/>
    <xf numFmtId="0" fontId="11" fillId="8" borderId="14" xfId="9"/>
    <xf numFmtId="168" fontId="0" fillId="0" borderId="0" xfId="0" applyNumberFormat="1"/>
    <xf numFmtId="165" fontId="0" fillId="0" borderId="0" xfId="3" applyNumberFormat="1" applyFont="1"/>
    <xf numFmtId="0" fontId="8" fillId="5" borderId="0" xfId="6"/>
    <xf numFmtId="168" fontId="8" fillId="5" borderId="0" xfId="6" applyNumberFormat="1"/>
    <xf numFmtId="0" fontId="12" fillId="4" borderId="0" xfId="0" applyFont="1" applyFill="1"/>
    <xf numFmtId="0" fontId="13" fillId="4" borderId="0" xfId="0" applyFont="1" applyFill="1"/>
    <xf numFmtId="10" fontId="13" fillId="4" borderId="18" xfId="3" applyNumberFormat="1" applyFont="1" applyFill="1" applyBorder="1"/>
    <xf numFmtId="44" fontId="12" fillId="4" borderId="18" xfId="1" applyFont="1" applyFill="1" applyBorder="1"/>
    <xf numFmtId="44" fontId="12" fillId="4" borderId="19" xfId="1" applyFont="1" applyFill="1" applyBorder="1"/>
    <xf numFmtId="44" fontId="12" fillId="3" borderId="19" xfId="1" applyFont="1" applyFill="1" applyBorder="1" applyProtection="1">
      <protection locked="0"/>
    </xf>
    <xf numFmtId="0" fontId="12" fillId="3" borderId="19" xfId="0" applyFont="1" applyFill="1" applyBorder="1" applyProtection="1">
      <protection locked="0"/>
    </xf>
    <xf numFmtId="0" fontId="12" fillId="4" borderId="0" xfId="0" applyFont="1" applyFill="1" applyAlignment="1">
      <alignment horizontal="center"/>
    </xf>
    <xf numFmtId="0" fontId="12" fillId="4" borderId="0" xfId="0" applyFont="1" applyFill="1" applyAlignment="1">
      <alignment horizontal="center" wrapText="1"/>
    </xf>
    <xf numFmtId="0" fontId="12" fillId="4" borderId="0" xfId="0" applyFont="1" applyFill="1" applyAlignment="1">
      <alignment horizontal="center" vertical="center" wrapText="1"/>
    </xf>
    <xf numFmtId="0" fontId="13" fillId="4" borderId="0" xfId="0" applyFont="1" applyFill="1" applyAlignment="1">
      <alignment horizontal="center" vertical="center" wrapText="1"/>
    </xf>
    <xf numFmtId="0" fontId="12" fillId="4" borderId="0" xfId="0" applyFont="1" applyFill="1" applyBorder="1"/>
    <xf numFmtId="0" fontId="14" fillId="4" borderId="0" xfId="0" applyFont="1" applyFill="1"/>
    <xf numFmtId="0" fontId="12" fillId="4" borderId="20" xfId="0" applyFont="1" applyFill="1" applyBorder="1"/>
    <xf numFmtId="0" fontId="12" fillId="4" borderId="21" xfId="0" applyFont="1" applyFill="1" applyBorder="1"/>
    <xf numFmtId="0" fontId="15" fillId="4" borderId="22" xfId="0" applyFont="1" applyFill="1" applyBorder="1" applyAlignment="1">
      <alignment vertical="center"/>
    </xf>
    <xf numFmtId="0" fontId="15" fillId="4" borderId="18" xfId="0" applyFont="1" applyFill="1" applyBorder="1" applyAlignment="1">
      <alignment vertical="center"/>
    </xf>
    <xf numFmtId="0" fontId="12" fillId="4" borderId="23" xfId="0" applyFont="1" applyFill="1" applyBorder="1"/>
    <xf numFmtId="0" fontId="15" fillId="4" borderId="24" xfId="0" applyFont="1" applyFill="1" applyBorder="1" applyAlignment="1">
      <alignment vertical="center"/>
    </xf>
    <xf numFmtId="0" fontId="15" fillId="4" borderId="25" xfId="0" applyFont="1" applyFill="1" applyBorder="1" applyAlignment="1">
      <alignment vertical="center"/>
    </xf>
    <xf numFmtId="0" fontId="15" fillId="4" borderId="23" xfId="0" applyFont="1" applyFill="1" applyBorder="1" applyAlignment="1">
      <alignment horizontal="left" vertical="center"/>
    </xf>
    <xf numFmtId="0" fontId="12" fillId="4" borderId="23" xfId="0" applyFont="1" applyFill="1" applyBorder="1" applyAlignment="1">
      <alignment horizontal="center" vertical="center"/>
    </xf>
    <xf numFmtId="0" fontId="12" fillId="4" borderId="0" xfId="0" applyFont="1" applyFill="1" applyBorder="1" applyAlignment="1">
      <alignment vertical="center"/>
    </xf>
    <xf numFmtId="0" fontId="12" fillId="4" borderId="24" xfId="0" applyFont="1" applyFill="1" applyBorder="1"/>
    <xf numFmtId="0" fontId="12" fillId="4" borderId="25" xfId="0" applyFont="1" applyFill="1" applyBorder="1"/>
    <xf numFmtId="0" fontId="13" fillId="4" borderId="0" xfId="0" applyFont="1" applyFill="1" applyBorder="1"/>
    <xf numFmtId="0" fontId="12" fillId="4" borderId="29" xfId="0" applyFont="1" applyFill="1" applyBorder="1" applyAlignment="1">
      <alignment horizontal="center"/>
    </xf>
    <xf numFmtId="0" fontId="13" fillId="4" borderId="0" xfId="0" applyFont="1" applyFill="1" applyBorder="1" applyAlignment="1"/>
    <xf numFmtId="0" fontId="13" fillId="4" borderId="0" xfId="0" applyFont="1" applyFill="1" applyBorder="1" applyAlignment="1">
      <alignment horizontal="center"/>
    </xf>
    <xf numFmtId="0" fontId="13" fillId="4" borderId="0" xfId="0" applyFont="1" applyFill="1" applyAlignment="1">
      <alignment horizontal="center"/>
    </xf>
    <xf numFmtId="0" fontId="13" fillId="4" borderId="0" xfId="0" applyFont="1" applyFill="1" applyAlignment="1"/>
    <xf numFmtId="0" fontId="14" fillId="4" borderId="0" xfId="0" applyFont="1" applyFill="1" applyAlignment="1">
      <alignment horizontal="left"/>
    </xf>
    <xf numFmtId="0" fontId="12" fillId="4" borderId="0" xfId="0" applyFont="1" applyFill="1" applyAlignment="1">
      <alignment horizontal="left" vertical="center" wrapText="1"/>
    </xf>
    <xf numFmtId="0" fontId="16" fillId="4" borderId="0" xfId="0" applyFont="1" applyFill="1" applyAlignment="1">
      <alignment vertical="top"/>
    </xf>
    <xf numFmtId="0" fontId="17" fillId="3" borderId="0" xfId="10" applyFont="1" applyFill="1" applyAlignment="1" applyProtection="1">
      <alignment horizontal="left" vertical="top"/>
      <protection locked="0"/>
    </xf>
    <xf numFmtId="0" fontId="17" fillId="4" borderId="0" xfId="10" applyFill="1"/>
    <xf numFmtId="0" fontId="18" fillId="4" borderId="0" xfId="10" applyFont="1" applyFill="1" applyProtection="1">
      <protection locked="0"/>
    </xf>
    <xf numFmtId="0" fontId="17" fillId="3" borderId="30" xfId="10" applyFont="1" applyFill="1" applyBorder="1" applyAlignment="1" applyProtection="1">
      <alignment horizontal="left" vertical="top"/>
      <protection locked="0"/>
    </xf>
    <xf numFmtId="169" fontId="0" fillId="0" borderId="0" xfId="0" applyNumberFormat="1"/>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10" fillId="7" borderId="15" xfId="8" applyBorder="1" applyAlignment="1"/>
    <xf numFmtId="0" fontId="0" fillId="0" borderId="16" xfId="0" applyBorder="1" applyAlignment="1"/>
    <xf numFmtId="0" fontId="0" fillId="0" borderId="17" xfId="0" applyBorder="1" applyAlignment="1"/>
    <xf numFmtId="0" fontId="12" fillId="4" borderId="28" xfId="0" applyFont="1" applyFill="1" applyBorder="1" applyAlignment="1">
      <alignment horizontal="center"/>
    </xf>
    <xf numFmtId="0" fontId="12" fillId="4" borderId="27" xfId="0" applyFont="1" applyFill="1" applyBorder="1" applyAlignment="1">
      <alignment horizontal="center"/>
    </xf>
    <xf numFmtId="0" fontId="12" fillId="4" borderId="26" xfId="0" applyFont="1" applyFill="1" applyBorder="1" applyAlignment="1">
      <alignment horizontal="center"/>
    </xf>
    <xf numFmtId="0" fontId="12" fillId="9" borderId="0" xfId="0" applyFont="1" applyFill="1" applyAlignment="1">
      <alignment horizontal="left" vertical="center" wrapText="1"/>
    </xf>
  </cellXfs>
  <cellStyles count="11">
    <cellStyle name="Bad" xfId="7" builtinId="27"/>
    <cellStyle name="Comma" xfId="2" builtinId="3"/>
    <cellStyle name="Currency" xfId="1" builtinId="4"/>
    <cellStyle name="Good" xfId="6" builtinId="26"/>
    <cellStyle name="Heading 2" xfId="4" builtinId="17"/>
    <cellStyle name="Heading 3" xfId="5" builtinId="18"/>
    <cellStyle name="Input" xfId="8" builtinId="20"/>
    <cellStyle name="Normal" xfId="0" builtinId="0"/>
    <cellStyle name="Normal 11" xfId="10"/>
    <cellStyle name="Output" xfId="9" builtinId="2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2017%20COS\Pole%20Attachments\Back%20up%20Data\Pole%20Attachment%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S Job Cost Historical Transact"/>
      <sheetName val="Power Specific Factor"/>
      <sheetName val="1830 Labour"/>
      <sheetName val="1830 Vendor"/>
      <sheetName val="1830 Vehicle"/>
      <sheetName val="1830 Material"/>
      <sheetName val="1835 Material"/>
      <sheetName val="1830 Cost Detail"/>
      <sheetName val="Total Cost"/>
    </sheetNames>
    <sheetDataSet>
      <sheetData sheetId="0"/>
      <sheetData sheetId="1">
        <row r="16">
          <cell r="O16">
            <v>54</v>
          </cell>
        </row>
        <row r="17">
          <cell r="O17">
            <v>6817.1079333333337</v>
          </cell>
        </row>
        <row r="20">
          <cell r="O20">
            <v>96</v>
          </cell>
        </row>
        <row r="21">
          <cell r="O21">
            <v>6817.1079333333337</v>
          </cell>
        </row>
        <row r="25">
          <cell r="O25">
            <v>299.43106666666671</v>
          </cell>
        </row>
        <row r="29">
          <cell r="O29">
            <v>299.43106666666671</v>
          </cell>
        </row>
      </sheetData>
      <sheetData sheetId="2">
        <row r="3">
          <cell r="W3">
            <v>7318.7</v>
          </cell>
        </row>
      </sheetData>
      <sheetData sheetId="3">
        <row r="2">
          <cell r="B2" t="str">
            <v>WS Job Number</v>
          </cell>
        </row>
      </sheetData>
      <sheetData sheetId="4">
        <row r="2">
          <cell r="B2" t="str">
            <v>WS Job Number</v>
          </cell>
        </row>
      </sheetData>
      <sheetData sheetId="5">
        <row r="2">
          <cell r="B2" t="str">
            <v>WS Job Number</v>
          </cell>
        </row>
      </sheetData>
      <sheetData sheetId="6">
        <row r="2">
          <cell r="B2" t="str">
            <v>WS Job Number</v>
          </cell>
        </row>
      </sheetData>
      <sheetData sheetId="7"/>
      <sheetData sheetId="8">
        <row r="9">
          <cell r="O9">
            <v>721.22000000000071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26"/>
  <sheetViews>
    <sheetView topLeftCell="D1" workbookViewId="0">
      <selection activeCell="Q7" sqref="Q7"/>
    </sheetView>
  </sheetViews>
  <sheetFormatPr defaultRowHeight="14.4" x14ac:dyDescent="0.3"/>
  <cols>
    <col min="3" max="3" width="32.44140625" customWidth="1"/>
    <col min="4" max="4" width="12.6640625" customWidth="1"/>
    <col min="5" max="5" width="39.109375" customWidth="1"/>
  </cols>
  <sheetData>
    <row r="3" spans="2:7" ht="15.6" x14ac:dyDescent="0.3">
      <c r="B3" s="1" t="s">
        <v>0</v>
      </c>
      <c r="C3" s="1"/>
      <c r="D3" s="1"/>
      <c r="E3" s="1"/>
      <c r="F3" s="1"/>
      <c r="G3" s="1"/>
    </row>
    <row r="4" spans="2:7" ht="15" thickBot="1" x14ac:dyDescent="0.35"/>
    <row r="5" spans="2:7" ht="33.6" customHeight="1" x14ac:dyDescent="0.35">
      <c r="B5" s="4"/>
      <c r="C5" s="39" t="s">
        <v>1</v>
      </c>
      <c r="D5" s="5" t="s">
        <v>2</v>
      </c>
      <c r="E5" s="40" t="s">
        <v>3</v>
      </c>
    </row>
    <row r="6" spans="2:7" x14ac:dyDescent="0.3">
      <c r="B6" s="6"/>
      <c r="C6" s="7" t="s">
        <v>4</v>
      </c>
      <c r="D6" s="8"/>
      <c r="E6" s="9"/>
    </row>
    <row r="7" spans="2:7" x14ac:dyDescent="0.3">
      <c r="B7" s="10" t="s">
        <v>5</v>
      </c>
      <c r="C7" s="8" t="s">
        <v>6</v>
      </c>
      <c r="D7" s="19">
        <f>'Data &amp; Calculations'!D13</f>
        <v>0.92469655382738636</v>
      </c>
      <c r="E7" s="33" t="s">
        <v>68</v>
      </c>
    </row>
    <row r="8" spans="2:7" ht="15" thickBot="1" x14ac:dyDescent="0.35">
      <c r="B8" s="10" t="s">
        <v>7</v>
      </c>
      <c r="C8" s="8" t="s">
        <v>8</v>
      </c>
      <c r="D8" s="18">
        <f>'Data &amp; Calculations'!G24</f>
        <v>9.5256628395491347</v>
      </c>
      <c r="E8" s="33" t="s">
        <v>68</v>
      </c>
    </row>
    <row r="9" spans="2:7" ht="15.6" thickTop="1" thickBot="1" x14ac:dyDescent="0.35">
      <c r="B9" s="10" t="s">
        <v>9</v>
      </c>
      <c r="C9" s="11" t="s">
        <v>10</v>
      </c>
      <c r="D9" s="30">
        <f>SUM(D7:D8)</f>
        <v>10.450359393376521</v>
      </c>
      <c r="E9" s="12" t="s">
        <v>11</v>
      </c>
    </row>
    <row r="10" spans="2:7" ht="15" thickTop="1" x14ac:dyDescent="0.3">
      <c r="B10" s="10"/>
      <c r="C10" s="11"/>
      <c r="D10" s="8"/>
      <c r="E10" s="12"/>
    </row>
    <row r="11" spans="2:7" x14ac:dyDescent="0.3">
      <c r="B11" s="6"/>
      <c r="C11" s="7" t="s">
        <v>12</v>
      </c>
      <c r="D11" s="8"/>
      <c r="E11" s="9"/>
    </row>
    <row r="12" spans="2:7" x14ac:dyDescent="0.3">
      <c r="B12" s="10" t="s">
        <v>13</v>
      </c>
      <c r="C12" s="8" t="s">
        <v>14</v>
      </c>
      <c r="D12" s="37">
        <f>'Data &amp; Calculations'!D33</f>
        <v>839.50122918707143</v>
      </c>
      <c r="E12" s="33" t="s">
        <v>195</v>
      </c>
    </row>
    <row r="13" spans="2:7" x14ac:dyDescent="0.3">
      <c r="B13" s="10" t="s">
        <v>15</v>
      </c>
      <c r="C13" s="8" t="s">
        <v>51</v>
      </c>
      <c r="D13" s="37">
        <f>'Data &amp; Calculations'!D41</f>
        <v>23.655279138099903</v>
      </c>
      <c r="E13" s="33" t="s">
        <v>50</v>
      </c>
    </row>
    <row r="14" spans="2:7" x14ac:dyDescent="0.3">
      <c r="B14" s="10" t="s">
        <v>16</v>
      </c>
      <c r="C14" s="8" t="s">
        <v>17</v>
      </c>
      <c r="D14" s="19">
        <f>'Data &amp; Calculations'!D50</f>
        <v>3.0258449069539664</v>
      </c>
      <c r="E14" s="9"/>
    </row>
    <row r="15" spans="2:7" ht="15" thickBot="1" x14ac:dyDescent="0.35">
      <c r="B15" s="10" t="s">
        <v>18</v>
      </c>
      <c r="C15" s="8" t="s">
        <v>19</v>
      </c>
      <c r="D15" s="18">
        <f>'Data &amp; Calculations'!D55</f>
        <v>56.918183338883445</v>
      </c>
      <c r="E15" s="33" t="s">
        <v>199</v>
      </c>
    </row>
    <row r="16" spans="2:7" ht="15.6" thickTop="1" thickBot="1" x14ac:dyDescent="0.35">
      <c r="B16" s="10" t="s">
        <v>20</v>
      </c>
      <c r="C16" s="11" t="s">
        <v>21</v>
      </c>
      <c r="D16" s="30">
        <f>SUM(D13:D15)</f>
        <v>83.599307383937315</v>
      </c>
      <c r="E16" s="12" t="s">
        <v>22</v>
      </c>
    </row>
    <row r="17" spans="2:5" ht="15" thickTop="1" x14ac:dyDescent="0.3">
      <c r="B17" s="6"/>
      <c r="C17" s="8"/>
      <c r="D17" s="8"/>
      <c r="E17" s="9"/>
    </row>
    <row r="18" spans="2:5" x14ac:dyDescent="0.3">
      <c r="B18" s="10" t="s">
        <v>23</v>
      </c>
      <c r="C18" s="7" t="s">
        <v>24</v>
      </c>
      <c r="D18" s="73">
        <f>'Data &amp; Calculations'!G67</f>
        <v>0.33933138472780416</v>
      </c>
      <c r="E18" s="33" t="s">
        <v>208</v>
      </c>
    </row>
    <row r="19" spans="2:5" x14ac:dyDescent="0.3">
      <c r="B19" s="6"/>
      <c r="C19" s="8"/>
      <c r="D19" s="8"/>
      <c r="E19" s="9"/>
    </row>
    <row r="20" spans="2:5" x14ac:dyDescent="0.3">
      <c r="B20" s="10" t="s">
        <v>25</v>
      </c>
      <c r="C20" s="7" t="s">
        <v>26</v>
      </c>
      <c r="D20" s="46">
        <f>D16*D18</f>
        <v>28.367868736876794</v>
      </c>
      <c r="E20" s="12" t="s">
        <v>27</v>
      </c>
    </row>
    <row r="21" spans="2:5" ht="15" thickBot="1" x14ac:dyDescent="0.35">
      <c r="B21" s="6"/>
      <c r="C21" s="8"/>
      <c r="D21" s="3"/>
      <c r="E21" s="9"/>
    </row>
    <row r="22" spans="2:5" ht="15.6" thickTop="1" thickBot="1" x14ac:dyDescent="0.35">
      <c r="B22" s="10" t="s">
        <v>28</v>
      </c>
      <c r="C22" s="7" t="s">
        <v>29</v>
      </c>
      <c r="D22" s="30">
        <f>D9+D20</f>
        <v>38.818228130253317</v>
      </c>
      <c r="E22" s="12" t="s">
        <v>30</v>
      </c>
    </row>
    <row r="23" spans="2:5" ht="15.6" thickTop="1" thickBot="1" x14ac:dyDescent="0.35">
      <c r="B23" s="13"/>
      <c r="C23" s="14"/>
      <c r="D23" s="14"/>
      <c r="E23" s="15"/>
    </row>
    <row r="25" spans="2:5" x14ac:dyDescent="0.3">
      <c r="B25" s="2"/>
    </row>
    <row r="26" spans="2:5" x14ac:dyDescent="0.3">
      <c r="C26" t="s">
        <v>53</v>
      </c>
    </row>
  </sheetData>
  <pageMargins left="0.7" right="0.7" top="0.75" bottom="0.75" header="0.3" footer="0.3"/>
  <pageSetup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74"/>
  <sheetViews>
    <sheetView topLeftCell="B43" workbookViewId="0">
      <selection activeCell="H11" sqref="H11"/>
    </sheetView>
  </sheetViews>
  <sheetFormatPr defaultRowHeight="14.4" x14ac:dyDescent="0.3"/>
  <cols>
    <col min="3" max="3" width="52.109375" customWidth="1"/>
    <col min="4" max="4" width="12.77734375" customWidth="1"/>
    <col min="5" max="5" width="11.21875" customWidth="1"/>
    <col min="6" max="6" width="11.44140625" customWidth="1"/>
    <col min="7" max="7" width="12.77734375" customWidth="1"/>
    <col min="8" max="8" width="66.21875" customWidth="1"/>
  </cols>
  <sheetData>
    <row r="2" spans="2:8" ht="18" x14ac:dyDescent="0.35">
      <c r="B2" s="47" t="s">
        <v>66</v>
      </c>
    </row>
    <row r="3" spans="2:8" ht="28.8" x14ac:dyDescent="0.3">
      <c r="B3" s="27" t="s">
        <v>5</v>
      </c>
      <c r="C3" s="27" t="s">
        <v>31</v>
      </c>
      <c r="D3" s="28" t="s">
        <v>37</v>
      </c>
      <c r="E3" s="29" t="s">
        <v>33</v>
      </c>
      <c r="F3" s="29" t="s">
        <v>36</v>
      </c>
      <c r="G3" s="29" t="s">
        <v>35</v>
      </c>
      <c r="H3" s="50" t="s">
        <v>67</v>
      </c>
    </row>
    <row r="4" spans="2:8" x14ac:dyDescent="0.3">
      <c r="C4" t="s">
        <v>38</v>
      </c>
      <c r="D4" s="16">
        <f>32.12*1.51</f>
        <v>48.501199999999997</v>
      </c>
      <c r="E4">
        <v>40</v>
      </c>
      <c r="F4" s="24">
        <v>1</v>
      </c>
      <c r="G4" s="17">
        <f>E4*D4</f>
        <v>1940.0479999999998</v>
      </c>
      <c r="H4" s="49" t="s">
        <v>71</v>
      </c>
    </row>
    <row r="5" spans="2:8" x14ac:dyDescent="0.3">
      <c r="C5" t="s">
        <v>32</v>
      </c>
      <c r="D5" s="16">
        <f>34.14*1.51</f>
        <v>51.551400000000001</v>
      </c>
      <c r="E5">
        <v>40</v>
      </c>
      <c r="F5" s="24">
        <v>1</v>
      </c>
      <c r="G5" s="17">
        <f>E5*D5</f>
        <v>2062.056</v>
      </c>
      <c r="H5" s="49" t="s">
        <v>71</v>
      </c>
    </row>
    <row r="6" spans="2:8" ht="15" thickBot="1" x14ac:dyDescent="0.35">
      <c r="C6" t="s">
        <v>39</v>
      </c>
      <c r="D6" s="16">
        <f>34.14*1.51</f>
        <v>51.551400000000001</v>
      </c>
      <c r="E6">
        <v>40</v>
      </c>
      <c r="F6" s="24">
        <v>1</v>
      </c>
      <c r="G6" s="18">
        <f>D6*E6</f>
        <v>2062.056</v>
      </c>
      <c r="H6" s="49" t="s">
        <v>71</v>
      </c>
    </row>
    <row r="7" spans="2:8" ht="15" thickTop="1" x14ac:dyDescent="0.3">
      <c r="C7" s="2" t="s">
        <v>34</v>
      </c>
      <c r="G7" s="20">
        <f>SUM(G4:G6)</f>
        <v>6064.16</v>
      </c>
      <c r="H7" s="49"/>
    </row>
    <row r="8" spans="2:8" x14ac:dyDescent="0.3">
      <c r="H8" s="49"/>
    </row>
    <row r="9" spans="2:8" x14ac:dyDescent="0.3">
      <c r="C9" t="s">
        <v>40</v>
      </c>
      <c r="D9" s="21">
        <v>10210</v>
      </c>
      <c r="H9" s="49" t="s">
        <v>69</v>
      </c>
    </row>
    <row r="10" spans="2:8" x14ac:dyDescent="0.3">
      <c r="C10" t="s">
        <v>79</v>
      </c>
      <c r="D10" s="21">
        <v>6627</v>
      </c>
      <c r="H10" s="49" t="s">
        <v>70</v>
      </c>
    </row>
    <row r="11" spans="2:8" x14ac:dyDescent="0.3">
      <c r="C11" t="s">
        <v>192</v>
      </c>
      <c r="D11" s="72">
        <v>1.38</v>
      </c>
      <c r="H11" s="49" t="s">
        <v>205</v>
      </c>
    </row>
    <row r="12" spans="2:8" x14ac:dyDescent="0.3">
      <c r="C12" t="s">
        <v>191</v>
      </c>
      <c r="D12" s="22">
        <v>6558</v>
      </c>
      <c r="G12" s="16"/>
      <c r="H12" s="49"/>
    </row>
    <row r="13" spans="2:8" x14ac:dyDescent="0.3">
      <c r="C13" s="2" t="s">
        <v>41</v>
      </c>
      <c r="D13" s="23">
        <f>G7/D12</f>
        <v>0.92469655382738636</v>
      </c>
      <c r="H13" s="49"/>
    </row>
    <row r="14" spans="2:8" x14ac:dyDescent="0.3">
      <c r="H14" s="49"/>
    </row>
    <row r="15" spans="2:8" ht="28.8" x14ac:dyDescent="0.3">
      <c r="B15" s="27" t="s">
        <v>7</v>
      </c>
      <c r="C15" s="27" t="s">
        <v>8</v>
      </c>
      <c r="D15" s="28" t="s">
        <v>37</v>
      </c>
      <c r="E15" s="29" t="s">
        <v>33</v>
      </c>
      <c r="F15" s="29" t="s">
        <v>36</v>
      </c>
      <c r="G15" s="29" t="s">
        <v>35</v>
      </c>
      <c r="H15" s="50" t="s">
        <v>67</v>
      </c>
    </row>
    <row r="16" spans="2:8" s="62" customFormat="1" ht="15" thickBot="1" x14ac:dyDescent="0.35">
      <c r="C16" s="81" t="s">
        <v>204</v>
      </c>
      <c r="D16" s="82"/>
      <c r="G16" s="84"/>
      <c r="H16" s="83" t="s">
        <v>206</v>
      </c>
    </row>
    <row r="17" spans="2:8" ht="15" thickTop="1" x14ac:dyDescent="0.3">
      <c r="F17" s="25"/>
      <c r="G17" s="34">
        <f>183102*2*(225/1588)</f>
        <v>51886.586901763221</v>
      </c>
      <c r="H17" s="49"/>
    </row>
    <row r="18" spans="2:8" x14ac:dyDescent="0.3">
      <c r="C18" s="26" t="s">
        <v>42</v>
      </c>
      <c r="F18" s="25"/>
      <c r="H18" s="49"/>
    </row>
    <row r="19" spans="2:8" x14ac:dyDescent="0.3">
      <c r="C19" t="s">
        <v>43</v>
      </c>
      <c r="D19" s="16">
        <f>34.14*1.51</f>
        <v>51.551400000000001</v>
      </c>
      <c r="E19">
        <v>150</v>
      </c>
      <c r="F19" s="25">
        <v>1</v>
      </c>
      <c r="G19" s="17">
        <f>D19*E19</f>
        <v>7732.71</v>
      </c>
      <c r="H19" s="49" t="s">
        <v>73</v>
      </c>
    </row>
    <row r="20" spans="2:8" ht="15" thickBot="1" x14ac:dyDescent="0.35">
      <c r="C20" t="s">
        <v>44</v>
      </c>
      <c r="D20" s="16">
        <v>19</v>
      </c>
      <c r="E20">
        <v>150</v>
      </c>
      <c r="F20" s="25">
        <v>1</v>
      </c>
      <c r="G20" s="18">
        <f>D20*E20</f>
        <v>2850</v>
      </c>
      <c r="H20" s="49" t="s">
        <v>72</v>
      </c>
    </row>
    <row r="21" spans="2:8" ht="15.6" thickTop="1" thickBot="1" x14ac:dyDescent="0.35">
      <c r="F21" s="25"/>
      <c r="G21" s="20">
        <f>SUM(G19:G20)</f>
        <v>10582.71</v>
      </c>
      <c r="H21" s="49"/>
    </row>
    <row r="22" spans="2:8" ht="15.6" thickTop="1" thickBot="1" x14ac:dyDescent="0.35">
      <c r="G22" s="30"/>
      <c r="H22" s="49"/>
    </row>
    <row r="23" spans="2:8" ht="15.6" thickTop="1" thickBot="1" x14ac:dyDescent="0.35">
      <c r="C23" s="2" t="s">
        <v>45</v>
      </c>
      <c r="G23" s="31">
        <f>G17+G21</f>
        <v>62469.29690176322</v>
      </c>
      <c r="H23" s="49"/>
    </row>
    <row r="24" spans="2:8" ht="15" thickTop="1" x14ac:dyDescent="0.3">
      <c r="C24" s="2" t="s">
        <v>46</v>
      </c>
      <c r="G24" s="23">
        <f>G23/D12</f>
        <v>9.5256628395491347</v>
      </c>
      <c r="H24" s="49" t="s">
        <v>193</v>
      </c>
    </row>
    <row r="25" spans="2:8" x14ac:dyDescent="0.3">
      <c r="C25" s="2" t="s">
        <v>201</v>
      </c>
      <c r="G25" s="20">
        <f>G24*1.03</f>
        <v>9.8114327247356083</v>
      </c>
      <c r="H25" s="25"/>
    </row>
    <row r="26" spans="2:8" x14ac:dyDescent="0.3">
      <c r="H26" s="25"/>
    </row>
    <row r="27" spans="2:8" x14ac:dyDescent="0.3">
      <c r="B27" s="27" t="s">
        <v>13</v>
      </c>
      <c r="C27" s="27" t="s">
        <v>47</v>
      </c>
      <c r="D27" s="32"/>
      <c r="E27" s="32"/>
      <c r="F27" s="32"/>
      <c r="G27" s="32"/>
      <c r="H27" s="50" t="s">
        <v>67</v>
      </c>
    </row>
    <row r="28" spans="2:8" x14ac:dyDescent="0.3">
      <c r="C28" s="2"/>
      <c r="D28" s="2">
        <v>2016</v>
      </c>
    </row>
    <row r="29" spans="2:8" x14ac:dyDescent="0.3">
      <c r="C29" t="s">
        <v>48</v>
      </c>
      <c r="D29" s="34">
        <v>0</v>
      </c>
    </row>
    <row r="30" spans="2:8" ht="15" thickBot="1" x14ac:dyDescent="0.35">
      <c r="C30" t="s">
        <v>49</v>
      </c>
      <c r="D30" s="35">
        <v>0</v>
      </c>
    </row>
    <row r="31" spans="2:8" ht="15.6" thickTop="1" thickBot="1" x14ac:dyDescent="0.35">
      <c r="C31" t="s">
        <v>190</v>
      </c>
      <c r="D31" s="36">
        <v>9022429</v>
      </c>
      <c r="H31" t="s">
        <v>189</v>
      </c>
    </row>
    <row r="32" spans="2:8" ht="15.6" thickTop="1" thickBot="1" x14ac:dyDescent="0.35">
      <c r="C32" t="s">
        <v>200</v>
      </c>
      <c r="D32" s="36">
        <f>D31*0.95</f>
        <v>8571307.5499999989</v>
      </c>
      <c r="H32" t="s">
        <v>178</v>
      </c>
    </row>
    <row r="33" spans="2:8" ht="15.6" thickTop="1" thickBot="1" x14ac:dyDescent="0.35">
      <c r="C33" t="s">
        <v>52</v>
      </c>
      <c r="D33" s="38">
        <f>D32/D9</f>
        <v>839.50122918707143</v>
      </c>
      <c r="H33" t="s">
        <v>57</v>
      </c>
    </row>
    <row r="34" spans="2:8" ht="15" thickTop="1" x14ac:dyDescent="0.3"/>
    <row r="35" spans="2:8" ht="15" thickBot="1" x14ac:dyDescent="0.35">
      <c r="B35" s="27" t="s">
        <v>15</v>
      </c>
      <c r="C35" s="27" t="s">
        <v>51</v>
      </c>
      <c r="D35" s="27" t="s">
        <v>53</v>
      </c>
      <c r="E35" s="32"/>
      <c r="F35" s="32"/>
      <c r="G35" s="32"/>
      <c r="H35" s="51" t="s">
        <v>67</v>
      </c>
    </row>
    <row r="36" spans="2:8" ht="15" thickTop="1" x14ac:dyDescent="0.3">
      <c r="D36" s="2">
        <v>2016</v>
      </c>
    </row>
    <row r="37" spans="2:8" x14ac:dyDescent="0.3">
      <c r="C37" t="s">
        <v>64</v>
      </c>
      <c r="D37" s="48">
        <v>255275</v>
      </c>
      <c r="H37" t="s">
        <v>74</v>
      </c>
    </row>
    <row r="38" spans="2:8" ht="15" thickBot="1" x14ac:dyDescent="0.35">
      <c r="C38" t="s">
        <v>65</v>
      </c>
      <c r="D38" s="77">
        <v>-1043</v>
      </c>
      <c r="H38" t="s">
        <v>74</v>
      </c>
    </row>
    <row r="39" spans="2:8" ht="15.6" thickTop="1" thickBot="1" x14ac:dyDescent="0.35">
      <c r="C39" t="s">
        <v>54</v>
      </c>
      <c r="D39" s="43">
        <f>SUM(D37:D38)</f>
        <v>254232</v>
      </c>
      <c r="H39" t="s">
        <v>78</v>
      </c>
    </row>
    <row r="40" spans="2:8" ht="15.6" thickTop="1" thickBot="1" x14ac:dyDescent="0.35">
      <c r="C40" t="s">
        <v>55</v>
      </c>
      <c r="D40" s="41">
        <f>D39*0.95</f>
        <v>241520.4</v>
      </c>
      <c r="E40" s="78"/>
      <c r="H40" t="s">
        <v>178</v>
      </c>
    </row>
    <row r="41" spans="2:8" ht="15.6" thickTop="1" thickBot="1" x14ac:dyDescent="0.35">
      <c r="C41" t="s">
        <v>56</v>
      </c>
      <c r="D41" s="42">
        <f>D40/D9</f>
        <v>23.655279138099903</v>
      </c>
      <c r="E41" s="17"/>
      <c r="H41" t="s">
        <v>58</v>
      </c>
    </row>
    <row r="42" spans="2:8" ht="15" thickTop="1" x14ac:dyDescent="0.3"/>
    <row r="43" spans="2:8" x14ac:dyDescent="0.3">
      <c r="B43" s="27" t="s">
        <v>16</v>
      </c>
      <c r="C43" s="27" t="s">
        <v>59</v>
      </c>
      <c r="D43" s="27"/>
      <c r="E43" s="27"/>
      <c r="F43" s="27"/>
      <c r="G43" s="27"/>
      <c r="H43" s="50" t="s">
        <v>67</v>
      </c>
    </row>
    <row r="44" spans="2:8" x14ac:dyDescent="0.3">
      <c r="D44" s="2">
        <v>2016</v>
      </c>
    </row>
    <row r="45" spans="2:8" x14ac:dyDescent="0.3">
      <c r="C45" t="s">
        <v>207</v>
      </c>
      <c r="D45" s="34">
        <v>26464.17</v>
      </c>
      <c r="H45" t="s">
        <v>209</v>
      </c>
    </row>
    <row r="46" spans="2:8" x14ac:dyDescent="0.3">
      <c r="C46" t="s">
        <v>196</v>
      </c>
      <c r="D46" s="76">
        <v>6055.7</v>
      </c>
      <c r="H46" t="s">
        <v>198</v>
      </c>
    </row>
    <row r="47" spans="2:8" ht="15" thickBot="1" x14ac:dyDescent="0.35">
      <c r="C47" t="s">
        <v>197</v>
      </c>
      <c r="D47" s="35">
        <v>0</v>
      </c>
      <c r="H47" t="s">
        <v>203</v>
      </c>
    </row>
    <row r="48" spans="2:8" ht="15.6" thickTop="1" thickBot="1" x14ac:dyDescent="0.35">
      <c r="C48" t="s">
        <v>60</v>
      </c>
      <c r="D48" s="43">
        <f>SUM(D45:D46)</f>
        <v>32519.87</v>
      </c>
    </row>
    <row r="49" spans="2:10" ht="15.6" thickTop="1" thickBot="1" x14ac:dyDescent="0.35">
      <c r="C49" t="s">
        <v>75</v>
      </c>
      <c r="D49" s="44">
        <f>D48*0.95</f>
        <v>30893.876499999998</v>
      </c>
      <c r="H49" t="s">
        <v>178</v>
      </c>
    </row>
    <row r="50" spans="2:10" ht="15.6" thickTop="1" thickBot="1" x14ac:dyDescent="0.35">
      <c r="C50" t="s">
        <v>61</v>
      </c>
      <c r="D50" s="45">
        <f>D49/D9</f>
        <v>3.0258449069539664</v>
      </c>
      <c r="H50" t="s">
        <v>62</v>
      </c>
    </row>
    <row r="51" spans="2:10" ht="15" thickTop="1" x14ac:dyDescent="0.3"/>
    <row r="52" spans="2:10" x14ac:dyDescent="0.3">
      <c r="B52" s="27" t="s">
        <v>18</v>
      </c>
      <c r="C52" s="27" t="s">
        <v>63</v>
      </c>
      <c r="D52" s="27"/>
      <c r="E52" s="27"/>
      <c r="F52" s="27"/>
      <c r="G52" s="27"/>
      <c r="H52" s="50" t="s">
        <v>67</v>
      </c>
    </row>
    <row r="53" spans="2:10" x14ac:dyDescent="0.3">
      <c r="C53" t="s">
        <v>53</v>
      </c>
      <c r="D53" s="2">
        <v>2016</v>
      </c>
      <c r="H53" t="s">
        <v>53</v>
      </c>
    </row>
    <row r="54" spans="2:10" ht="15" thickBot="1" x14ac:dyDescent="0.35">
      <c r="C54" t="s">
        <v>194</v>
      </c>
      <c r="D54" s="80">
        <v>6.7799999999999999E-2</v>
      </c>
      <c r="H54" t="s">
        <v>202</v>
      </c>
    </row>
    <row r="55" spans="2:10" ht="15.6" thickTop="1" thickBot="1" x14ac:dyDescent="0.35">
      <c r="C55" t="s">
        <v>76</v>
      </c>
      <c r="D55" s="31">
        <f>D33*D54</f>
        <v>56.918183338883445</v>
      </c>
      <c r="H55" t="s">
        <v>77</v>
      </c>
    </row>
    <row r="56" spans="2:10" ht="15" thickTop="1" x14ac:dyDescent="0.3"/>
    <row r="58" spans="2:10" x14ac:dyDescent="0.3">
      <c r="B58" s="27" t="s">
        <v>23</v>
      </c>
      <c r="C58" s="27" t="s">
        <v>24</v>
      </c>
      <c r="D58" s="50" t="s">
        <v>164</v>
      </c>
      <c r="E58" s="50" t="s">
        <v>161</v>
      </c>
      <c r="F58" s="50" t="s">
        <v>170</v>
      </c>
      <c r="G58" s="27" t="s">
        <v>171</v>
      </c>
      <c r="H58" s="50" t="s">
        <v>67</v>
      </c>
    </row>
    <row r="59" spans="2:10" x14ac:dyDescent="0.3">
      <c r="E59" s="25"/>
      <c r="F59" s="25"/>
      <c r="H59" t="s">
        <v>158</v>
      </c>
    </row>
    <row r="60" spans="2:10" x14ac:dyDescent="0.3">
      <c r="C60" t="s">
        <v>157</v>
      </c>
      <c r="D60">
        <v>40</v>
      </c>
      <c r="E60" s="25"/>
      <c r="F60" s="25"/>
      <c r="H60" t="s">
        <v>159</v>
      </c>
      <c r="J60" t="s">
        <v>188</v>
      </c>
    </row>
    <row r="61" spans="2:10" x14ac:dyDescent="0.3">
      <c r="C61" t="s">
        <v>160</v>
      </c>
      <c r="D61">
        <v>6</v>
      </c>
      <c r="E61" s="25">
        <v>1</v>
      </c>
      <c r="F61" s="25">
        <v>1.38</v>
      </c>
      <c r="G61" s="69">
        <f>D61/(E61+F61)</f>
        <v>2.5210084033613445</v>
      </c>
      <c r="H61" t="s">
        <v>174</v>
      </c>
    </row>
    <row r="62" spans="2:10" x14ac:dyDescent="0.3">
      <c r="C62" t="s">
        <v>162</v>
      </c>
      <c r="D62">
        <v>17.25</v>
      </c>
      <c r="E62" s="25">
        <v>1</v>
      </c>
      <c r="F62" s="25">
        <v>1.38</v>
      </c>
      <c r="G62" s="69">
        <f>D62/(E62+F62)</f>
        <v>7.2478991596638656</v>
      </c>
      <c r="H62" t="s">
        <v>174</v>
      </c>
    </row>
    <row r="63" spans="2:10" x14ac:dyDescent="0.3">
      <c r="C63" t="s">
        <v>163</v>
      </c>
      <c r="D63">
        <v>2</v>
      </c>
      <c r="E63" s="25">
        <v>0</v>
      </c>
      <c r="F63" s="25">
        <v>1.38</v>
      </c>
      <c r="G63" s="69">
        <f>D63/F63</f>
        <v>1.4492753623188408</v>
      </c>
      <c r="H63" t="s">
        <v>175</v>
      </c>
    </row>
    <row r="64" spans="2:10" x14ac:dyDescent="0.3">
      <c r="C64" t="s">
        <v>165</v>
      </c>
      <c r="D64">
        <v>3.25</v>
      </c>
      <c r="E64" s="25">
        <v>0</v>
      </c>
      <c r="F64" s="25">
        <v>1.38</v>
      </c>
      <c r="G64" s="69">
        <f>D64/F64</f>
        <v>2.3550724637681162</v>
      </c>
      <c r="H64" t="s">
        <v>176</v>
      </c>
    </row>
    <row r="65" spans="3:8" x14ac:dyDescent="0.3">
      <c r="C65" t="s">
        <v>166</v>
      </c>
      <c r="D65">
        <v>11.5</v>
      </c>
      <c r="E65" s="25">
        <v>1</v>
      </c>
      <c r="F65" s="25">
        <v>0</v>
      </c>
      <c r="H65" t="s">
        <v>177</v>
      </c>
    </row>
    <row r="66" spans="3:8" ht="15" thickBot="1" x14ac:dyDescent="0.35">
      <c r="C66" t="s">
        <v>172</v>
      </c>
      <c r="E66" s="25"/>
      <c r="F66" s="25"/>
      <c r="G66" s="75">
        <f>SUM(G61:G65)</f>
        <v>13.573255389112166</v>
      </c>
    </row>
    <row r="67" spans="3:8" ht="15" thickBot="1" x14ac:dyDescent="0.35">
      <c r="C67" t="s">
        <v>173</v>
      </c>
      <c r="E67" s="25"/>
      <c r="F67" s="25"/>
      <c r="G67" s="74">
        <f>G66/D60</f>
        <v>0.33933138472780416</v>
      </c>
    </row>
    <row r="68" spans="3:8" x14ac:dyDescent="0.3">
      <c r="E68" s="25"/>
      <c r="F68" s="25"/>
      <c r="G68" s="69"/>
    </row>
    <row r="69" spans="3:8" x14ac:dyDescent="0.3">
      <c r="E69" s="25"/>
      <c r="F69" s="25"/>
    </row>
    <row r="70" spans="3:8" x14ac:dyDescent="0.3">
      <c r="C70" t="s">
        <v>167</v>
      </c>
      <c r="D70">
        <v>1</v>
      </c>
      <c r="E70" s="25"/>
      <c r="F70" s="25"/>
    </row>
    <row r="71" spans="3:8" ht="15" thickBot="1" x14ac:dyDescent="0.35">
      <c r="C71" t="s">
        <v>168</v>
      </c>
      <c r="D71" s="14">
        <v>1.38</v>
      </c>
      <c r="E71" s="25"/>
      <c r="F71" s="25"/>
    </row>
    <row r="72" spans="3:8" x14ac:dyDescent="0.3">
      <c r="C72" t="s">
        <v>169</v>
      </c>
      <c r="D72" s="2">
        <f>SUM(D70:D71)</f>
        <v>2.38</v>
      </c>
      <c r="E72" s="25"/>
      <c r="F72" s="25"/>
    </row>
    <row r="73" spans="3:8" x14ac:dyDescent="0.3">
      <c r="E73" s="25"/>
      <c r="F73" s="25"/>
    </row>
    <row r="74" spans="3:8" x14ac:dyDescent="0.3">
      <c r="D74" s="69"/>
      <c r="E74" s="25"/>
      <c r="F74" s="25"/>
    </row>
  </sheetData>
  <pageMargins left="0.7" right="0.7" top="0.75" bottom="0.75" header="0.3" footer="0.3"/>
  <pageSetup paperSize="3"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80"/>
  <sheetViews>
    <sheetView tabSelected="1" topLeftCell="B62" zoomScale="145" zoomScaleNormal="145" workbookViewId="0">
      <selection activeCell="G70" sqref="G70"/>
    </sheetView>
  </sheetViews>
  <sheetFormatPr defaultRowHeight="14.4" x14ac:dyDescent="0.3"/>
  <cols>
    <col min="2" max="2" width="8.88671875" style="25"/>
    <col min="3" max="3" width="26" style="53" customWidth="1"/>
    <col min="4" max="4" width="19.6640625" style="52" customWidth="1"/>
    <col min="5" max="5" width="11.6640625" style="52" customWidth="1"/>
    <col min="6" max="6" width="8.44140625" style="52" customWidth="1"/>
    <col min="7" max="7" width="10.88671875" customWidth="1"/>
    <col min="8" max="8" width="16.44140625" customWidth="1"/>
    <col min="9" max="9" width="20.109375" customWidth="1"/>
    <col min="10" max="10" width="10.21875" customWidth="1"/>
    <col min="11" max="11" width="11.77734375" customWidth="1"/>
    <col min="12" max="12" width="8.109375" customWidth="1"/>
    <col min="13" max="13" width="12.5546875" customWidth="1"/>
  </cols>
  <sheetData>
    <row r="1" spans="2:11" ht="43.2" x14ac:dyDescent="0.3">
      <c r="B1" s="71" t="s">
        <v>155</v>
      </c>
      <c r="C1" s="70" t="s">
        <v>154</v>
      </c>
      <c r="D1" s="70" t="s">
        <v>153</v>
      </c>
      <c r="E1" s="70" t="s">
        <v>152</v>
      </c>
      <c r="F1" s="70" t="s">
        <v>151</v>
      </c>
      <c r="G1" s="70" t="s">
        <v>150</v>
      </c>
      <c r="H1" s="70" t="s">
        <v>149</v>
      </c>
      <c r="I1" s="70" t="s">
        <v>179</v>
      </c>
      <c r="J1" s="70"/>
      <c r="K1" s="70" t="s">
        <v>186</v>
      </c>
    </row>
    <row r="2" spans="2:11" x14ac:dyDescent="0.3">
      <c r="B2" s="25">
        <f>SUM(B1) +1</f>
        <v>1</v>
      </c>
      <c r="C2" s="53" t="s">
        <v>148</v>
      </c>
      <c r="D2" s="52">
        <v>3</v>
      </c>
      <c r="E2" s="52">
        <v>40</v>
      </c>
      <c r="F2" s="52">
        <v>1430</v>
      </c>
      <c r="G2" s="69">
        <f t="shared" ref="G2:G41" si="0">SUM(F2)/E2</f>
        <v>35.75</v>
      </c>
      <c r="H2" s="69">
        <f t="shared" ref="H2:H33" si="1">D2*G2</f>
        <v>107.25</v>
      </c>
      <c r="I2" t="s">
        <v>180</v>
      </c>
      <c r="K2">
        <v>50</v>
      </c>
    </row>
    <row r="3" spans="2:11" x14ac:dyDescent="0.3">
      <c r="B3" s="25">
        <v>1</v>
      </c>
      <c r="C3" s="53" t="s">
        <v>147</v>
      </c>
      <c r="D3" s="52">
        <v>2</v>
      </c>
      <c r="E3" s="52">
        <v>60</v>
      </c>
      <c r="F3" s="52">
        <v>1350</v>
      </c>
      <c r="G3" s="69">
        <f t="shared" si="0"/>
        <v>22.5</v>
      </c>
      <c r="H3" s="69">
        <f t="shared" si="1"/>
        <v>45</v>
      </c>
      <c r="I3" t="s">
        <v>181</v>
      </c>
      <c r="K3">
        <v>40</v>
      </c>
    </row>
    <row r="4" spans="2:11" x14ac:dyDescent="0.3">
      <c r="B4" s="25">
        <f t="shared" ref="B4:B35" si="2">SUM(B3) +1</f>
        <v>2</v>
      </c>
      <c r="C4" s="53" t="s">
        <v>133</v>
      </c>
      <c r="D4" s="52">
        <v>2</v>
      </c>
      <c r="E4" s="52">
        <v>60</v>
      </c>
      <c r="F4" s="52">
        <v>3070</v>
      </c>
      <c r="G4" s="69">
        <f t="shared" si="0"/>
        <v>51.166666666666664</v>
      </c>
      <c r="H4" s="69">
        <f t="shared" si="1"/>
        <v>102.33333333333333</v>
      </c>
      <c r="I4" t="s">
        <v>181</v>
      </c>
      <c r="K4">
        <v>70</v>
      </c>
    </row>
    <row r="5" spans="2:11" x14ac:dyDescent="0.3">
      <c r="B5" s="25">
        <f t="shared" si="2"/>
        <v>3</v>
      </c>
      <c r="C5" s="53" t="s">
        <v>146</v>
      </c>
      <c r="D5" s="52">
        <v>2</v>
      </c>
      <c r="E5" s="52">
        <v>70</v>
      </c>
      <c r="F5" s="52">
        <v>1410</v>
      </c>
      <c r="G5" s="69">
        <f t="shared" si="0"/>
        <v>20.142857142857142</v>
      </c>
      <c r="H5" s="69">
        <f t="shared" si="1"/>
        <v>40.285714285714285</v>
      </c>
      <c r="I5" t="s">
        <v>181</v>
      </c>
      <c r="K5">
        <v>40</v>
      </c>
    </row>
    <row r="6" spans="2:11" x14ac:dyDescent="0.3">
      <c r="B6" s="25">
        <f t="shared" si="2"/>
        <v>4</v>
      </c>
      <c r="C6" s="53" t="s">
        <v>145</v>
      </c>
      <c r="D6" s="52">
        <v>2</v>
      </c>
      <c r="E6" s="52">
        <v>60</v>
      </c>
      <c r="F6" s="52">
        <v>1320</v>
      </c>
      <c r="G6" s="69">
        <f t="shared" si="0"/>
        <v>22</v>
      </c>
      <c r="H6" s="69">
        <f t="shared" si="1"/>
        <v>44</v>
      </c>
      <c r="I6" t="s">
        <v>181</v>
      </c>
      <c r="K6">
        <v>55</v>
      </c>
    </row>
    <row r="7" spans="2:11" x14ac:dyDescent="0.3">
      <c r="B7" s="25">
        <f t="shared" si="2"/>
        <v>5</v>
      </c>
      <c r="C7" s="53" t="s">
        <v>144</v>
      </c>
      <c r="D7" s="52">
        <v>2</v>
      </c>
      <c r="E7" s="52">
        <v>50</v>
      </c>
      <c r="F7" s="52">
        <v>801.32</v>
      </c>
      <c r="G7" s="69">
        <f t="shared" si="0"/>
        <v>16.026400000000002</v>
      </c>
      <c r="H7" s="69">
        <f t="shared" si="1"/>
        <v>32.052800000000005</v>
      </c>
      <c r="I7" t="s">
        <v>181</v>
      </c>
      <c r="K7">
        <v>55</v>
      </c>
    </row>
    <row r="8" spans="2:11" x14ac:dyDescent="0.3">
      <c r="B8" s="25">
        <f t="shared" si="2"/>
        <v>6</v>
      </c>
      <c r="C8" s="53" t="s">
        <v>143</v>
      </c>
      <c r="D8" s="52">
        <v>2</v>
      </c>
      <c r="E8" s="52">
        <v>60</v>
      </c>
      <c r="F8" s="52">
        <v>606.23</v>
      </c>
      <c r="G8" s="69">
        <f t="shared" si="0"/>
        <v>10.103833333333334</v>
      </c>
      <c r="H8" s="69">
        <f t="shared" si="1"/>
        <v>20.207666666666668</v>
      </c>
      <c r="I8" t="s">
        <v>181</v>
      </c>
      <c r="K8">
        <v>65</v>
      </c>
    </row>
    <row r="9" spans="2:11" x14ac:dyDescent="0.3">
      <c r="B9" s="25">
        <f t="shared" si="2"/>
        <v>7</v>
      </c>
      <c r="C9" s="53" t="s">
        <v>142</v>
      </c>
      <c r="D9" s="52">
        <v>2</v>
      </c>
      <c r="E9" s="52">
        <v>50</v>
      </c>
      <c r="F9" s="52">
        <v>1320</v>
      </c>
      <c r="G9" s="69">
        <f t="shared" si="0"/>
        <v>26.4</v>
      </c>
      <c r="H9" s="69">
        <f t="shared" si="1"/>
        <v>52.8</v>
      </c>
      <c r="I9" t="s">
        <v>181</v>
      </c>
      <c r="K9">
        <v>65</v>
      </c>
    </row>
    <row r="10" spans="2:11" x14ac:dyDescent="0.3">
      <c r="B10" s="25">
        <f t="shared" si="2"/>
        <v>8</v>
      </c>
      <c r="C10" s="53" t="s">
        <v>141</v>
      </c>
      <c r="D10" s="52">
        <v>2</v>
      </c>
      <c r="E10" s="52">
        <v>60</v>
      </c>
      <c r="F10" s="52">
        <v>1550</v>
      </c>
      <c r="G10" s="69">
        <f t="shared" si="0"/>
        <v>25.833333333333332</v>
      </c>
      <c r="H10" s="69">
        <f t="shared" si="1"/>
        <v>51.666666666666664</v>
      </c>
      <c r="I10" t="s">
        <v>181</v>
      </c>
      <c r="K10">
        <v>65</v>
      </c>
    </row>
    <row r="11" spans="2:11" x14ac:dyDescent="0.3">
      <c r="B11" s="25">
        <f t="shared" si="2"/>
        <v>9</v>
      </c>
      <c r="C11" s="53" t="s">
        <v>140</v>
      </c>
      <c r="D11" s="52">
        <v>2</v>
      </c>
      <c r="E11" s="52">
        <v>60</v>
      </c>
      <c r="F11" s="52">
        <v>1360</v>
      </c>
      <c r="G11" s="69">
        <f t="shared" si="0"/>
        <v>22.666666666666668</v>
      </c>
      <c r="H11" s="69">
        <f t="shared" si="1"/>
        <v>45.333333333333336</v>
      </c>
      <c r="I11" t="s">
        <v>181</v>
      </c>
      <c r="K11">
        <v>55</v>
      </c>
    </row>
    <row r="12" spans="2:11" x14ac:dyDescent="0.3">
      <c r="B12" s="25">
        <f t="shared" si="2"/>
        <v>10</v>
      </c>
      <c r="C12" s="53" t="s">
        <v>139</v>
      </c>
      <c r="D12" s="52">
        <v>2</v>
      </c>
      <c r="E12" s="52">
        <v>40</v>
      </c>
      <c r="F12" s="52">
        <v>3020</v>
      </c>
      <c r="G12" s="69">
        <f t="shared" si="0"/>
        <v>75.5</v>
      </c>
      <c r="H12" s="69">
        <f t="shared" si="1"/>
        <v>151</v>
      </c>
      <c r="I12" t="s">
        <v>181</v>
      </c>
      <c r="K12">
        <v>45</v>
      </c>
    </row>
    <row r="13" spans="2:11" x14ac:dyDescent="0.3">
      <c r="B13" s="25">
        <f t="shared" si="2"/>
        <v>11</v>
      </c>
      <c r="C13" s="53" t="s">
        <v>138</v>
      </c>
      <c r="D13" s="52">
        <v>2</v>
      </c>
      <c r="E13" s="52">
        <v>60</v>
      </c>
      <c r="F13" s="52">
        <v>1320</v>
      </c>
      <c r="G13" s="69">
        <f t="shared" si="0"/>
        <v>22</v>
      </c>
      <c r="H13" s="69">
        <f t="shared" si="1"/>
        <v>44</v>
      </c>
      <c r="I13" t="s">
        <v>181</v>
      </c>
      <c r="K13">
        <v>55</v>
      </c>
    </row>
    <row r="14" spans="2:11" x14ac:dyDescent="0.3">
      <c r="B14" s="25">
        <f t="shared" si="2"/>
        <v>12</v>
      </c>
      <c r="C14" s="53" t="s">
        <v>137</v>
      </c>
      <c r="D14" s="52">
        <v>2</v>
      </c>
      <c r="E14" s="52">
        <v>50</v>
      </c>
      <c r="F14" s="52">
        <v>856.58</v>
      </c>
      <c r="G14" s="69">
        <f t="shared" si="0"/>
        <v>17.131600000000002</v>
      </c>
      <c r="H14" s="69">
        <f t="shared" si="1"/>
        <v>34.263200000000005</v>
      </c>
      <c r="I14" t="s">
        <v>181</v>
      </c>
      <c r="K14">
        <v>40</v>
      </c>
    </row>
    <row r="15" spans="2:11" x14ac:dyDescent="0.3">
      <c r="B15" s="25">
        <f t="shared" si="2"/>
        <v>13</v>
      </c>
      <c r="C15" s="53" t="s">
        <v>136</v>
      </c>
      <c r="D15" s="52">
        <v>2</v>
      </c>
      <c r="E15" s="52">
        <v>40</v>
      </c>
      <c r="F15" s="52">
        <v>515.78</v>
      </c>
      <c r="G15" s="69">
        <f t="shared" si="0"/>
        <v>12.894499999999999</v>
      </c>
      <c r="H15" s="69">
        <f t="shared" si="1"/>
        <v>25.788999999999998</v>
      </c>
      <c r="I15" t="s">
        <v>181</v>
      </c>
      <c r="K15">
        <v>40</v>
      </c>
    </row>
    <row r="16" spans="2:11" x14ac:dyDescent="0.3">
      <c r="B16" s="25">
        <f t="shared" si="2"/>
        <v>14</v>
      </c>
      <c r="C16" s="53" t="s">
        <v>106</v>
      </c>
      <c r="D16" s="52">
        <v>2</v>
      </c>
      <c r="E16" s="52">
        <v>60</v>
      </c>
      <c r="F16" s="52">
        <v>3030</v>
      </c>
      <c r="G16" s="69">
        <f t="shared" si="0"/>
        <v>50.5</v>
      </c>
      <c r="H16" s="69">
        <f t="shared" si="1"/>
        <v>101</v>
      </c>
      <c r="I16" t="s">
        <v>181</v>
      </c>
      <c r="K16">
        <v>55</v>
      </c>
    </row>
    <row r="17" spans="2:11" x14ac:dyDescent="0.3">
      <c r="B17" s="25">
        <f t="shared" si="2"/>
        <v>15</v>
      </c>
      <c r="C17" s="53" t="s">
        <v>135</v>
      </c>
      <c r="D17" s="52">
        <v>2</v>
      </c>
      <c r="E17" s="52">
        <v>60</v>
      </c>
      <c r="F17" s="52">
        <v>1330</v>
      </c>
      <c r="G17" s="69">
        <f t="shared" si="0"/>
        <v>22.166666666666668</v>
      </c>
      <c r="H17" s="69">
        <f t="shared" si="1"/>
        <v>44.333333333333336</v>
      </c>
      <c r="I17" t="s">
        <v>181</v>
      </c>
      <c r="K17">
        <v>65</v>
      </c>
    </row>
    <row r="18" spans="2:11" x14ac:dyDescent="0.3">
      <c r="B18" s="25">
        <f t="shared" si="2"/>
        <v>16</v>
      </c>
      <c r="C18" s="53" t="s">
        <v>134</v>
      </c>
      <c r="D18" s="52">
        <v>2</v>
      </c>
      <c r="E18" s="52">
        <v>60</v>
      </c>
      <c r="F18" s="52">
        <v>3050</v>
      </c>
      <c r="G18" s="69">
        <f t="shared" si="0"/>
        <v>50.833333333333336</v>
      </c>
      <c r="H18" s="69">
        <f t="shared" si="1"/>
        <v>101.66666666666667</v>
      </c>
      <c r="I18" t="s">
        <v>181</v>
      </c>
      <c r="K18">
        <v>40</v>
      </c>
    </row>
    <row r="19" spans="2:11" x14ac:dyDescent="0.3">
      <c r="B19" s="25">
        <f t="shared" si="2"/>
        <v>17</v>
      </c>
      <c r="C19" s="53" t="s">
        <v>133</v>
      </c>
      <c r="D19" s="52">
        <v>2</v>
      </c>
      <c r="E19" s="52">
        <v>60</v>
      </c>
      <c r="F19" s="52">
        <v>2980</v>
      </c>
      <c r="G19" s="69">
        <f t="shared" si="0"/>
        <v>49.666666666666664</v>
      </c>
      <c r="H19" s="69">
        <f t="shared" si="1"/>
        <v>99.333333333333329</v>
      </c>
      <c r="I19" t="s">
        <v>181</v>
      </c>
      <c r="K19">
        <v>65</v>
      </c>
    </row>
    <row r="20" spans="2:11" x14ac:dyDescent="0.3">
      <c r="B20" s="25">
        <f t="shared" si="2"/>
        <v>18</v>
      </c>
      <c r="C20" s="53" t="s">
        <v>132</v>
      </c>
      <c r="D20" s="52">
        <v>2</v>
      </c>
      <c r="E20" s="52">
        <v>60</v>
      </c>
      <c r="F20" s="52">
        <v>705.04</v>
      </c>
      <c r="G20" s="69">
        <f t="shared" si="0"/>
        <v>11.750666666666666</v>
      </c>
      <c r="H20" s="69">
        <f t="shared" si="1"/>
        <v>23.501333333333331</v>
      </c>
      <c r="I20" t="s">
        <v>181</v>
      </c>
      <c r="K20">
        <v>75</v>
      </c>
    </row>
    <row r="21" spans="2:11" x14ac:dyDescent="0.3">
      <c r="B21" s="25">
        <f t="shared" si="2"/>
        <v>19</v>
      </c>
      <c r="C21" s="53" t="s">
        <v>131</v>
      </c>
      <c r="D21" s="52">
        <v>1</v>
      </c>
      <c r="E21" s="52">
        <v>40</v>
      </c>
      <c r="F21" s="52">
        <v>2900</v>
      </c>
      <c r="G21" s="69">
        <f t="shared" si="0"/>
        <v>72.5</v>
      </c>
      <c r="H21" s="69">
        <f t="shared" si="1"/>
        <v>72.5</v>
      </c>
      <c r="I21" t="s">
        <v>182</v>
      </c>
      <c r="K21">
        <v>40</v>
      </c>
    </row>
    <row r="22" spans="2:11" x14ac:dyDescent="0.3">
      <c r="B22" s="25">
        <f t="shared" si="2"/>
        <v>20</v>
      </c>
      <c r="C22" s="53" t="s">
        <v>130</v>
      </c>
      <c r="D22" s="52">
        <v>1</v>
      </c>
      <c r="E22" s="52">
        <v>60</v>
      </c>
      <c r="F22" s="52">
        <v>2060</v>
      </c>
      <c r="G22" s="69">
        <f t="shared" si="0"/>
        <v>34.333333333333336</v>
      </c>
      <c r="H22" s="69">
        <f t="shared" si="1"/>
        <v>34.333333333333336</v>
      </c>
      <c r="I22" t="s">
        <v>182</v>
      </c>
      <c r="K22">
        <v>65</v>
      </c>
    </row>
    <row r="23" spans="2:11" x14ac:dyDescent="0.3">
      <c r="B23" s="25">
        <f t="shared" si="2"/>
        <v>21</v>
      </c>
      <c r="C23" s="53" t="s">
        <v>129</v>
      </c>
      <c r="D23" s="52">
        <v>1</v>
      </c>
      <c r="E23" s="52">
        <v>60</v>
      </c>
      <c r="F23" s="52">
        <v>2180</v>
      </c>
      <c r="G23" s="69">
        <f t="shared" si="0"/>
        <v>36.333333333333336</v>
      </c>
      <c r="H23" s="69">
        <f t="shared" si="1"/>
        <v>36.333333333333336</v>
      </c>
      <c r="I23" t="s">
        <v>182</v>
      </c>
      <c r="K23" t="s">
        <v>187</v>
      </c>
    </row>
    <row r="24" spans="2:11" ht="28.8" x14ac:dyDescent="0.3">
      <c r="B24" s="25">
        <f t="shared" si="2"/>
        <v>22</v>
      </c>
      <c r="C24" s="53" t="s">
        <v>128</v>
      </c>
      <c r="D24" s="52">
        <v>1</v>
      </c>
      <c r="E24" s="52">
        <v>60</v>
      </c>
      <c r="F24" s="52">
        <v>1370</v>
      </c>
      <c r="G24" s="69">
        <f t="shared" si="0"/>
        <v>22.833333333333332</v>
      </c>
      <c r="H24" s="69">
        <f t="shared" si="1"/>
        <v>22.833333333333332</v>
      </c>
      <c r="I24" t="s">
        <v>182</v>
      </c>
      <c r="K24">
        <v>35</v>
      </c>
    </row>
    <row r="25" spans="2:11" x14ac:dyDescent="0.3">
      <c r="B25" s="25">
        <f t="shared" si="2"/>
        <v>23</v>
      </c>
      <c r="C25" s="53" t="s">
        <v>127</v>
      </c>
      <c r="D25" s="52">
        <v>1</v>
      </c>
      <c r="E25" s="52">
        <v>50</v>
      </c>
      <c r="F25" s="52">
        <v>1360</v>
      </c>
      <c r="G25" s="69">
        <f t="shared" si="0"/>
        <v>27.2</v>
      </c>
      <c r="H25" s="69">
        <f t="shared" si="1"/>
        <v>27.2</v>
      </c>
      <c r="I25" t="s">
        <v>182</v>
      </c>
      <c r="K25">
        <v>55</v>
      </c>
    </row>
    <row r="26" spans="2:11" x14ac:dyDescent="0.3">
      <c r="B26" s="25">
        <f t="shared" si="2"/>
        <v>24</v>
      </c>
      <c r="C26" s="53" t="s">
        <v>126</v>
      </c>
      <c r="D26" s="52">
        <v>1</v>
      </c>
      <c r="E26" s="52">
        <v>60</v>
      </c>
      <c r="F26" s="52">
        <v>3040</v>
      </c>
      <c r="G26" s="69">
        <f t="shared" si="0"/>
        <v>50.666666666666664</v>
      </c>
      <c r="H26" s="69">
        <f t="shared" si="1"/>
        <v>50.666666666666664</v>
      </c>
      <c r="I26" t="s">
        <v>182</v>
      </c>
      <c r="K26">
        <v>40</v>
      </c>
    </row>
    <row r="27" spans="2:11" x14ac:dyDescent="0.3">
      <c r="B27" s="25">
        <f t="shared" si="2"/>
        <v>25</v>
      </c>
      <c r="C27" s="53" t="s">
        <v>125</v>
      </c>
      <c r="D27" s="52">
        <v>1</v>
      </c>
      <c r="E27" s="52">
        <v>60</v>
      </c>
      <c r="F27" s="52">
        <v>1380</v>
      </c>
      <c r="G27" s="69">
        <f t="shared" si="0"/>
        <v>23</v>
      </c>
      <c r="H27" s="69">
        <f t="shared" si="1"/>
        <v>23</v>
      </c>
      <c r="I27" t="s">
        <v>182</v>
      </c>
      <c r="K27">
        <v>55</v>
      </c>
    </row>
    <row r="28" spans="2:11" x14ac:dyDescent="0.3">
      <c r="B28" s="25">
        <f t="shared" si="2"/>
        <v>26</v>
      </c>
      <c r="C28" s="53" t="s">
        <v>124</v>
      </c>
      <c r="D28" s="52">
        <v>1</v>
      </c>
      <c r="E28" s="52">
        <v>60</v>
      </c>
      <c r="F28" s="52">
        <v>1420</v>
      </c>
      <c r="G28" s="69">
        <f t="shared" si="0"/>
        <v>23.666666666666668</v>
      </c>
      <c r="H28" s="69">
        <f t="shared" si="1"/>
        <v>23.666666666666668</v>
      </c>
      <c r="I28" t="s">
        <v>183</v>
      </c>
      <c r="K28">
        <v>55</v>
      </c>
    </row>
    <row r="29" spans="2:11" x14ac:dyDescent="0.3">
      <c r="B29" s="25">
        <f t="shared" si="2"/>
        <v>27</v>
      </c>
      <c r="C29" s="53" t="s">
        <v>123</v>
      </c>
      <c r="D29" s="52">
        <v>1</v>
      </c>
      <c r="E29" s="52">
        <v>60</v>
      </c>
      <c r="F29" s="52">
        <v>3050</v>
      </c>
      <c r="G29" s="69">
        <f t="shared" si="0"/>
        <v>50.833333333333336</v>
      </c>
      <c r="H29" s="69">
        <f t="shared" si="1"/>
        <v>50.833333333333336</v>
      </c>
      <c r="I29" t="s">
        <v>182</v>
      </c>
      <c r="K29">
        <v>55</v>
      </c>
    </row>
    <row r="30" spans="2:11" x14ac:dyDescent="0.3">
      <c r="B30" s="25">
        <f t="shared" si="2"/>
        <v>28</v>
      </c>
      <c r="C30" s="53" t="s">
        <v>122</v>
      </c>
      <c r="D30" s="52">
        <v>1</v>
      </c>
      <c r="E30" s="52">
        <v>50</v>
      </c>
      <c r="F30" s="52">
        <v>1120</v>
      </c>
      <c r="G30" s="69">
        <f t="shared" si="0"/>
        <v>22.4</v>
      </c>
      <c r="H30" s="69">
        <f t="shared" si="1"/>
        <v>22.4</v>
      </c>
      <c r="I30" t="s">
        <v>183</v>
      </c>
      <c r="K30">
        <v>55</v>
      </c>
    </row>
    <row r="31" spans="2:11" x14ac:dyDescent="0.3">
      <c r="B31" s="25">
        <f t="shared" si="2"/>
        <v>29</v>
      </c>
      <c r="C31" s="53" t="s">
        <v>121</v>
      </c>
      <c r="D31" s="52">
        <v>1</v>
      </c>
      <c r="E31" s="52">
        <v>60</v>
      </c>
      <c r="F31" s="52">
        <v>3050</v>
      </c>
      <c r="G31" s="69">
        <f t="shared" si="0"/>
        <v>50.833333333333336</v>
      </c>
      <c r="H31" s="69">
        <f t="shared" si="1"/>
        <v>50.833333333333336</v>
      </c>
      <c r="I31" t="s">
        <v>183</v>
      </c>
      <c r="K31">
        <v>65</v>
      </c>
    </row>
    <row r="32" spans="2:11" x14ac:dyDescent="0.3">
      <c r="B32" s="25">
        <f t="shared" si="2"/>
        <v>30</v>
      </c>
      <c r="C32" s="53" t="s">
        <v>120</v>
      </c>
      <c r="D32" s="52">
        <v>1</v>
      </c>
      <c r="E32" s="52">
        <v>60</v>
      </c>
      <c r="F32" s="52">
        <v>1240</v>
      </c>
      <c r="G32" s="69">
        <f t="shared" si="0"/>
        <v>20.666666666666668</v>
      </c>
      <c r="H32" s="69">
        <f t="shared" si="1"/>
        <v>20.666666666666668</v>
      </c>
      <c r="I32" t="s">
        <v>184</v>
      </c>
      <c r="K32">
        <v>55</v>
      </c>
    </row>
    <row r="33" spans="2:11" x14ac:dyDescent="0.3">
      <c r="B33" s="25">
        <f t="shared" si="2"/>
        <v>31</v>
      </c>
      <c r="C33" s="53" t="s">
        <v>119</v>
      </c>
      <c r="D33" s="52">
        <v>1</v>
      </c>
      <c r="E33" s="52">
        <v>60</v>
      </c>
      <c r="F33" s="52">
        <v>1200</v>
      </c>
      <c r="G33" s="69">
        <f t="shared" si="0"/>
        <v>20</v>
      </c>
      <c r="H33" s="69">
        <f t="shared" si="1"/>
        <v>20</v>
      </c>
      <c r="I33" t="s">
        <v>184</v>
      </c>
      <c r="K33">
        <v>60</v>
      </c>
    </row>
    <row r="34" spans="2:11" x14ac:dyDescent="0.3">
      <c r="B34" s="25">
        <f t="shared" si="2"/>
        <v>32</v>
      </c>
      <c r="C34" s="53" t="s">
        <v>118</v>
      </c>
      <c r="D34" s="52">
        <v>1</v>
      </c>
      <c r="E34" s="52">
        <v>70</v>
      </c>
      <c r="F34" s="52">
        <v>3060</v>
      </c>
      <c r="G34" s="69">
        <f t="shared" si="0"/>
        <v>43.714285714285715</v>
      </c>
      <c r="H34" s="69">
        <f t="shared" ref="H34:H62" si="3">D34*G34</f>
        <v>43.714285714285715</v>
      </c>
      <c r="I34" t="s">
        <v>183</v>
      </c>
      <c r="K34">
        <v>35</v>
      </c>
    </row>
    <row r="35" spans="2:11" x14ac:dyDescent="0.3">
      <c r="B35" s="25">
        <f t="shared" si="2"/>
        <v>33</v>
      </c>
      <c r="C35" s="53" t="s">
        <v>117</v>
      </c>
      <c r="D35" s="52">
        <v>1</v>
      </c>
      <c r="E35" s="52">
        <v>70</v>
      </c>
      <c r="F35" s="52">
        <v>1730</v>
      </c>
      <c r="G35" s="69">
        <f t="shared" si="0"/>
        <v>24.714285714285715</v>
      </c>
      <c r="H35" s="69">
        <f t="shared" si="3"/>
        <v>24.714285714285715</v>
      </c>
      <c r="I35" t="s">
        <v>182</v>
      </c>
      <c r="K35">
        <v>40</v>
      </c>
    </row>
    <row r="36" spans="2:11" x14ac:dyDescent="0.3">
      <c r="B36" s="25">
        <f t="shared" ref="B36:B62" si="4">SUM(B35) +1</f>
        <v>34</v>
      </c>
      <c r="C36" s="53" t="s">
        <v>116</v>
      </c>
      <c r="D36" s="52">
        <v>1</v>
      </c>
      <c r="E36" s="52">
        <v>70</v>
      </c>
      <c r="F36" s="52">
        <v>1050</v>
      </c>
      <c r="G36" s="69">
        <f t="shared" si="0"/>
        <v>15</v>
      </c>
      <c r="H36" s="69">
        <f t="shared" si="3"/>
        <v>15</v>
      </c>
      <c r="I36" t="s">
        <v>182</v>
      </c>
      <c r="K36">
        <v>40</v>
      </c>
    </row>
    <row r="37" spans="2:11" x14ac:dyDescent="0.3">
      <c r="B37" s="25">
        <f t="shared" si="4"/>
        <v>35</v>
      </c>
      <c r="C37" s="53" t="s">
        <v>115</v>
      </c>
      <c r="D37" s="52">
        <v>1</v>
      </c>
      <c r="E37" s="52">
        <v>70</v>
      </c>
      <c r="F37" s="52">
        <v>1320</v>
      </c>
      <c r="G37" s="69">
        <f t="shared" si="0"/>
        <v>18.857142857142858</v>
      </c>
      <c r="H37" s="69">
        <f t="shared" si="3"/>
        <v>18.857142857142858</v>
      </c>
      <c r="I37" t="s">
        <v>182</v>
      </c>
      <c r="K37">
        <v>40</v>
      </c>
    </row>
    <row r="38" spans="2:11" x14ac:dyDescent="0.3">
      <c r="B38" s="25">
        <f t="shared" si="4"/>
        <v>36</v>
      </c>
      <c r="C38" s="53" t="s">
        <v>114</v>
      </c>
      <c r="D38" s="52">
        <v>1</v>
      </c>
      <c r="E38" s="52">
        <v>70</v>
      </c>
      <c r="F38" s="52">
        <v>1420</v>
      </c>
      <c r="G38" s="69">
        <f t="shared" si="0"/>
        <v>20.285714285714285</v>
      </c>
      <c r="H38" s="69">
        <f t="shared" si="3"/>
        <v>20.285714285714285</v>
      </c>
      <c r="I38" t="s">
        <v>182</v>
      </c>
      <c r="K38">
        <v>40</v>
      </c>
    </row>
    <row r="39" spans="2:11" x14ac:dyDescent="0.3">
      <c r="B39" s="25">
        <f t="shared" si="4"/>
        <v>37</v>
      </c>
      <c r="C39" s="53" t="s">
        <v>113</v>
      </c>
      <c r="D39" s="52">
        <v>1</v>
      </c>
      <c r="E39" s="52">
        <v>60</v>
      </c>
      <c r="F39" s="52">
        <v>3040</v>
      </c>
      <c r="G39" s="69">
        <f t="shared" si="0"/>
        <v>50.666666666666664</v>
      </c>
      <c r="H39" s="69">
        <f t="shared" si="3"/>
        <v>50.666666666666664</v>
      </c>
      <c r="I39" t="s">
        <v>184</v>
      </c>
      <c r="K39">
        <v>65</v>
      </c>
    </row>
    <row r="40" spans="2:11" x14ac:dyDescent="0.3">
      <c r="B40" s="25">
        <f t="shared" si="4"/>
        <v>38</v>
      </c>
      <c r="C40" s="53" t="s">
        <v>112</v>
      </c>
      <c r="D40" s="52">
        <v>1</v>
      </c>
      <c r="E40" s="52">
        <v>60</v>
      </c>
      <c r="F40" s="52">
        <v>1850</v>
      </c>
      <c r="G40" s="69">
        <f t="shared" si="0"/>
        <v>30.833333333333332</v>
      </c>
      <c r="H40" s="69">
        <f t="shared" si="3"/>
        <v>30.833333333333332</v>
      </c>
      <c r="I40" t="s">
        <v>182</v>
      </c>
      <c r="K40">
        <v>75</v>
      </c>
    </row>
    <row r="41" spans="2:11" x14ac:dyDescent="0.3">
      <c r="B41" s="25">
        <f t="shared" si="4"/>
        <v>39</v>
      </c>
      <c r="C41" s="53" t="s">
        <v>111</v>
      </c>
      <c r="D41" s="52">
        <v>1</v>
      </c>
      <c r="E41" s="52">
        <v>60</v>
      </c>
      <c r="F41" s="52">
        <v>3070</v>
      </c>
      <c r="G41" s="69">
        <f t="shared" si="0"/>
        <v>51.166666666666664</v>
      </c>
      <c r="H41" s="69">
        <f t="shared" si="3"/>
        <v>51.166666666666664</v>
      </c>
      <c r="I41" t="s">
        <v>182</v>
      </c>
      <c r="K41">
        <v>75</v>
      </c>
    </row>
    <row r="42" spans="2:11" ht="28.8" x14ac:dyDescent="0.3">
      <c r="B42" s="25">
        <f t="shared" si="4"/>
        <v>40</v>
      </c>
      <c r="C42" s="53" t="s">
        <v>110</v>
      </c>
      <c r="D42" s="52">
        <v>0</v>
      </c>
      <c r="E42" s="52" t="s">
        <v>109</v>
      </c>
      <c r="F42" s="52">
        <v>3040</v>
      </c>
      <c r="G42" s="69">
        <v>0</v>
      </c>
      <c r="H42" s="69">
        <f t="shared" si="3"/>
        <v>0</v>
      </c>
      <c r="I42" t="s">
        <v>185</v>
      </c>
      <c r="K42">
        <v>35</v>
      </c>
    </row>
    <row r="43" spans="2:11" x14ac:dyDescent="0.3">
      <c r="B43" s="25">
        <f t="shared" si="4"/>
        <v>41</v>
      </c>
      <c r="C43" s="53" t="s">
        <v>108</v>
      </c>
      <c r="D43" s="52">
        <v>0</v>
      </c>
      <c r="E43" s="52">
        <v>65</v>
      </c>
      <c r="F43" s="52">
        <v>3210</v>
      </c>
      <c r="G43" s="69">
        <f t="shared" ref="G43:G62" si="5">SUM(F43)/E43</f>
        <v>49.384615384615387</v>
      </c>
      <c r="H43" s="69">
        <f t="shared" si="3"/>
        <v>0</v>
      </c>
      <c r="I43" t="s">
        <v>185</v>
      </c>
      <c r="K43">
        <v>55</v>
      </c>
    </row>
    <row r="44" spans="2:11" x14ac:dyDescent="0.3">
      <c r="B44" s="25">
        <f t="shared" si="4"/>
        <v>42</v>
      </c>
      <c r="C44" s="53" t="s">
        <v>107</v>
      </c>
      <c r="D44" s="52">
        <v>0</v>
      </c>
      <c r="E44" s="52">
        <v>60</v>
      </c>
      <c r="F44" s="52">
        <v>1400</v>
      </c>
      <c r="G44" s="69">
        <f t="shared" si="5"/>
        <v>23.333333333333332</v>
      </c>
      <c r="H44" s="69">
        <f t="shared" si="3"/>
        <v>0</v>
      </c>
      <c r="I44" t="s">
        <v>185</v>
      </c>
      <c r="K44">
        <v>65</v>
      </c>
    </row>
    <row r="45" spans="2:11" x14ac:dyDescent="0.3">
      <c r="B45" s="25">
        <f t="shared" si="4"/>
        <v>43</v>
      </c>
      <c r="C45" s="53" t="s">
        <v>106</v>
      </c>
      <c r="D45" s="52">
        <v>0</v>
      </c>
      <c r="E45" s="52">
        <v>60</v>
      </c>
      <c r="F45" s="52">
        <v>3030</v>
      </c>
      <c r="G45" s="69">
        <f t="shared" si="5"/>
        <v>50.5</v>
      </c>
      <c r="H45" s="69">
        <f t="shared" si="3"/>
        <v>0</v>
      </c>
      <c r="I45" t="s">
        <v>185</v>
      </c>
      <c r="K45">
        <v>55</v>
      </c>
    </row>
    <row r="46" spans="2:11" x14ac:dyDescent="0.3">
      <c r="B46" s="25">
        <f t="shared" si="4"/>
        <v>44</v>
      </c>
      <c r="C46" s="53" t="s">
        <v>105</v>
      </c>
      <c r="D46" s="52">
        <v>0</v>
      </c>
      <c r="E46" s="52">
        <v>60</v>
      </c>
      <c r="F46" s="52">
        <v>3050</v>
      </c>
      <c r="G46" s="69">
        <f t="shared" si="5"/>
        <v>50.833333333333336</v>
      </c>
      <c r="H46" s="69">
        <f t="shared" si="3"/>
        <v>0</v>
      </c>
      <c r="I46" t="s">
        <v>185</v>
      </c>
      <c r="K46">
        <v>35</v>
      </c>
    </row>
    <row r="47" spans="2:11" x14ac:dyDescent="0.3">
      <c r="B47" s="25">
        <f t="shared" si="4"/>
        <v>45</v>
      </c>
      <c r="C47" s="53" t="s">
        <v>104</v>
      </c>
      <c r="D47" s="52">
        <v>0</v>
      </c>
      <c r="E47" s="52">
        <v>60</v>
      </c>
      <c r="F47" s="52">
        <v>1410</v>
      </c>
      <c r="G47" s="69">
        <f t="shared" si="5"/>
        <v>23.5</v>
      </c>
      <c r="H47" s="69">
        <f t="shared" si="3"/>
        <v>0</v>
      </c>
      <c r="I47" t="s">
        <v>185</v>
      </c>
      <c r="K47">
        <v>65</v>
      </c>
    </row>
    <row r="48" spans="2:11" x14ac:dyDescent="0.3">
      <c r="B48" s="25">
        <f t="shared" si="4"/>
        <v>46</v>
      </c>
      <c r="C48" s="53" t="s">
        <v>103</v>
      </c>
      <c r="D48" s="52">
        <v>0</v>
      </c>
      <c r="E48" s="52">
        <v>60</v>
      </c>
      <c r="F48" s="52">
        <v>3070</v>
      </c>
      <c r="G48" s="69">
        <f t="shared" si="5"/>
        <v>51.166666666666664</v>
      </c>
      <c r="H48" s="69">
        <f t="shared" si="3"/>
        <v>0</v>
      </c>
      <c r="I48" t="s">
        <v>185</v>
      </c>
      <c r="K48">
        <v>50</v>
      </c>
    </row>
    <row r="49" spans="2:13" x14ac:dyDescent="0.3">
      <c r="B49" s="25">
        <f t="shared" si="4"/>
        <v>47</v>
      </c>
      <c r="C49" s="53" t="s">
        <v>102</v>
      </c>
      <c r="D49" s="52">
        <v>0</v>
      </c>
      <c r="E49" s="52">
        <v>60</v>
      </c>
      <c r="F49" s="52">
        <v>3050</v>
      </c>
      <c r="G49" s="69">
        <f t="shared" si="5"/>
        <v>50.833333333333336</v>
      </c>
      <c r="H49" s="69">
        <f t="shared" si="3"/>
        <v>0</v>
      </c>
      <c r="I49" t="s">
        <v>185</v>
      </c>
      <c r="K49">
        <v>55</v>
      </c>
    </row>
    <row r="50" spans="2:13" x14ac:dyDescent="0.3">
      <c r="B50" s="25">
        <f t="shared" si="4"/>
        <v>48</v>
      </c>
      <c r="C50" s="53" t="s">
        <v>101</v>
      </c>
      <c r="D50" s="52">
        <v>0</v>
      </c>
      <c r="E50" s="52">
        <v>70</v>
      </c>
      <c r="F50" s="52">
        <v>3050</v>
      </c>
      <c r="G50" s="69">
        <f t="shared" si="5"/>
        <v>43.571428571428569</v>
      </c>
      <c r="H50" s="69">
        <f t="shared" si="3"/>
        <v>0</v>
      </c>
      <c r="I50" t="s">
        <v>185</v>
      </c>
      <c r="K50">
        <v>40</v>
      </c>
    </row>
    <row r="51" spans="2:13" x14ac:dyDescent="0.3">
      <c r="B51" s="25">
        <f t="shared" si="4"/>
        <v>49</v>
      </c>
      <c r="C51" s="53" t="s">
        <v>100</v>
      </c>
      <c r="D51" s="52">
        <v>0</v>
      </c>
      <c r="E51" s="52">
        <v>70</v>
      </c>
      <c r="F51" s="52">
        <v>3210</v>
      </c>
      <c r="G51" s="69">
        <f t="shared" si="5"/>
        <v>45.857142857142854</v>
      </c>
      <c r="H51" s="69">
        <f t="shared" si="3"/>
        <v>0</v>
      </c>
      <c r="I51" t="s">
        <v>185</v>
      </c>
      <c r="K51">
        <v>35</v>
      </c>
    </row>
    <row r="52" spans="2:13" x14ac:dyDescent="0.3">
      <c r="B52" s="25">
        <f t="shared" si="4"/>
        <v>50</v>
      </c>
      <c r="C52" s="53" t="s">
        <v>99</v>
      </c>
      <c r="D52" s="52">
        <v>0</v>
      </c>
      <c r="E52" s="52">
        <v>60</v>
      </c>
      <c r="F52" s="52">
        <v>1350</v>
      </c>
      <c r="G52" s="69">
        <f t="shared" si="5"/>
        <v>22.5</v>
      </c>
      <c r="H52" s="69">
        <f t="shared" si="3"/>
        <v>0</v>
      </c>
      <c r="I52" t="s">
        <v>185</v>
      </c>
      <c r="K52">
        <v>65</v>
      </c>
    </row>
    <row r="53" spans="2:13" x14ac:dyDescent="0.3">
      <c r="B53" s="25">
        <f t="shared" si="4"/>
        <v>51</v>
      </c>
      <c r="C53" s="53" t="s">
        <v>98</v>
      </c>
      <c r="D53" s="52">
        <v>0</v>
      </c>
      <c r="E53" s="52">
        <v>60</v>
      </c>
      <c r="F53" s="52">
        <v>1420</v>
      </c>
      <c r="G53" s="69">
        <f t="shared" si="5"/>
        <v>23.666666666666668</v>
      </c>
      <c r="H53" s="69">
        <f t="shared" si="3"/>
        <v>0</v>
      </c>
      <c r="I53" t="s">
        <v>185</v>
      </c>
      <c r="K53">
        <v>50</v>
      </c>
    </row>
    <row r="54" spans="2:13" x14ac:dyDescent="0.3">
      <c r="B54" s="25">
        <f t="shared" si="4"/>
        <v>52</v>
      </c>
      <c r="C54" s="53" t="s">
        <v>97</v>
      </c>
      <c r="D54" s="52">
        <v>0</v>
      </c>
      <c r="E54" s="52">
        <v>60</v>
      </c>
      <c r="F54" s="52">
        <v>3070</v>
      </c>
      <c r="G54" s="69">
        <f t="shared" si="5"/>
        <v>51.166666666666664</v>
      </c>
      <c r="H54" s="69">
        <f t="shared" si="3"/>
        <v>0</v>
      </c>
      <c r="I54" t="s">
        <v>185</v>
      </c>
      <c r="K54">
        <v>40</v>
      </c>
    </row>
    <row r="55" spans="2:13" x14ac:dyDescent="0.3">
      <c r="B55" s="25">
        <f t="shared" si="4"/>
        <v>53</v>
      </c>
      <c r="C55" s="53" t="s">
        <v>96</v>
      </c>
      <c r="D55" s="52">
        <v>0</v>
      </c>
      <c r="E55" s="52">
        <v>60</v>
      </c>
      <c r="F55" s="52">
        <v>3070</v>
      </c>
      <c r="G55" s="69">
        <f t="shared" si="5"/>
        <v>51.166666666666664</v>
      </c>
      <c r="H55" s="69">
        <f t="shared" si="3"/>
        <v>0</v>
      </c>
      <c r="I55" t="s">
        <v>185</v>
      </c>
      <c r="K55">
        <v>40</v>
      </c>
    </row>
    <row r="56" spans="2:13" x14ac:dyDescent="0.3">
      <c r="B56" s="25">
        <f t="shared" si="4"/>
        <v>54</v>
      </c>
      <c r="C56" s="53" t="s">
        <v>95</v>
      </c>
      <c r="D56" s="52">
        <v>0</v>
      </c>
      <c r="E56" s="52">
        <v>60</v>
      </c>
      <c r="F56" s="52">
        <v>1330</v>
      </c>
      <c r="G56" s="69">
        <f t="shared" si="5"/>
        <v>22.166666666666668</v>
      </c>
      <c r="H56" s="69">
        <f t="shared" si="3"/>
        <v>0</v>
      </c>
      <c r="I56" t="s">
        <v>185</v>
      </c>
      <c r="K56">
        <v>55</v>
      </c>
    </row>
    <row r="57" spans="2:13" x14ac:dyDescent="0.3">
      <c r="B57" s="25">
        <f t="shared" si="4"/>
        <v>55</v>
      </c>
      <c r="C57" s="53" t="s">
        <v>94</v>
      </c>
      <c r="D57" s="52">
        <v>0</v>
      </c>
      <c r="E57" s="52">
        <v>60</v>
      </c>
      <c r="F57" s="52">
        <v>2420</v>
      </c>
      <c r="G57" s="69">
        <f t="shared" si="5"/>
        <v>40.333333333333336</v>
      </c>
      <c r="H57" s="69">
        <f t="shared" si="3"/>
        <v>0</v>
      </c>
      <c r="I57" t="s">
        <v>185</v>
      </c>
      <c r="K57">
        <v>45</v>
      </c>
    </row>
    <row r="58" spans="2:13" x14ac:dyDescent="0.3">
      <c r="B58" s="25">
        <f t="shared" si="4"/>
        <v>56</v>
      </c>
      <c r="C58" s="53" t="s">
        <v>93</v>
      </c>
      <c r="D58" s="52">
        <v>0</v>
      </c>
      <c r="E58" s="52">
        <v>60</v>
      </c>
      <c r="F58" s="52">
        <v>1440</v>
      </c>
      <c r="G58" s="69">
        <f t="shared" si="5"/>
        <v>24</v>
      </c>
      <c r="H58" s="69">
        <f t="shared" si="3"/>
        <v>0</v>
      </c>
      <c r="I58" t="s">
        <v>185</v>
      </c>
      <c r="K58">
        <v>50</v>
      </c>
    </row>
    <row r="59" spans="2:13" x14ac:dyDescent="0.3">
      <c r="B59" s="25">
        <f t="shared" si="4"/>
        <v>57</v>
      </c>
      <c r="C59" s="53" t="s">
        <v>92</v>
      </c>
      <c r="D59" s="52">
        <v>0</v>
      </c>
      <c r="E59" s="52">
        <v>60</v>
      </c>
      <c r="F59" s="52">
        <v>3050</v>
      </c>
      <c r="G59" s="69">
        <f t="shared" si="5"/>
        <v>50.833333333333336</v>
      </c>
      <c r="H59" s="69">
        <f t="shared" si="3"/>
        <v>0</v>
      </c>
      <c r="I59" t="s">
        <v>185</v>
      </c>
      <c r="K59">
        <v>35</v>
      </c>
    </row>
    <row r="60" spans="2:13" x14ac:dyDescent="0.3">
      <c r="B60" s="25">
        <f t="shared" si="4"/>
        <v>58</v>
      </c>
      <c r="C60" s="53" t="s">
        <v>91</v>
      </c>
      <c r="D60" s="52">
        <v>0</v>
      </c>
      <c r="E60" s="52">
        <v>60</v>
      </c>
      <c r="F60" s="52">
        <v>1320</v>
      </c>
      <c r="G60" s="69">
        <f t="shared" si="5"/>
        <v>22</v>
      </c>
      <c r="H60" s="69">
        <f t="shared" si="3"/>
        <v>0</v>
      </c>
      <c r="I60" t="s">
        <v>185</v>
      </c>
      <c r="K60">
        <v>50</v>
      </c>
    </row>
    <row r="61" spans="2:13" x14ac:dyDescent="0.3">
      <c r="B61" s="25">
        <f t="shared" si="4"/>
        <v>59</v>
      </c>
      <c r="C61" s="53" t="s">
        <v>90</v>
      </c>
      <c r="D61" s="52">
        <v>0</v>
      </c>
      <c r="E61" s="52">
        <v>60</v>
      </c>
      <c r="F61" s="52">
        <v>1430</v>
      </c>
      <c r="G61" s="69">
        <f t="shared" si="5"/>
        <v>23.833333333333332</v>
      </c>
      <c r="H61" s="69">
        <f t="shared" si="3"/>
        <v>0</v>
      </c>
      <c r="I61" t="s">
        <v>185</v>
      </c>
      <c r="K61">
        <v>50</v>
      </c>
    </row>
    <row r="62" spans="2:13" x14ac:dyDescent="0.3">
      <c r="B62" s="25">
        <f t="shared" si="4"/>
        <v>60</v>
      </c>
      <c r="C62" s="53" t="s">
        <v>89</v>
      </c>
      <c r="D62" s="52">
        <v>0</v>
      </c>
      <c r="E62" s="52">
        <v>70</v>
      </c>
      <c r="F62" s="52">
        <v>3070</v>
      </c>
      <c r="G62" s="69">
        <f t="shared" si="5"/>
        <v>43.857142857142854</v>
      </c>
      <c r="H62" s="69">
        <f t="shared" si="3"/>
        <v>0</v>
      </c>
      <c r="I62" t="s">
        <v>185</v>
      </c>
      <c r="K62">
        <v>40</v>
      </c>
      <c r="M62" s="52"/>
    </row>
    <row r="63" spans="2:13" x14ac:dyDescent="0.3">
      <c r="D63" s="52">
        <f>SUM(D2:D62)</f>
        <v>60</v>
      </c>
      <c r="H63" s="69">
        <f>SUM(H2:H62)</f>
        <v>1876.3211428571431</v>
      </c>
    </row>
    <row r="64" spans="2:13" ht="15" thickBot="1" x14ac:dyDescent="0.35">
      <c r="H64" s="69"/>
    </row>
    <row r="65" spans="4:13" ht="28.8" x14ac:dyDescent="0.3">
      <c r="D65" s="133" t="s">
        <v>88</v>
      </c>
      <c r="E65" s="134"/>
      <c r="F65" s="68"/>
      <c r="G65" s="67"/>
      <c r="H65" s="66" t="s">
        <v>156</v>
      </c>
      <c r="I65" s="65" t="s">
        <v>87</v>
      </c>
      <c r="J65" s="79"/>
    </row>
    <row r="66" spans="4:13" ht="28.8" x14ac:dyDescent="0.3">
      <c r="D66" s="59" t="s">
        <v>86</v>
      </c>
      <c r="E66" s="58"/>
      <c r="F66" s="58"/>
      <c r="G66" s="61">
        <f>SUM(G2:G41)</f>
        <v>1275.5379523809527</v>
      </c>
      <c r="H66" s="60">
        <f>G66/G70</f>
        <v>0.62525094721681507</v>
      </c>
      <c r="I66" s="64">
        <f>G74*H66</f>
        <v>6383.8121710836822</v>
      </c>
      <c r="J66" s="61"/>
      <c r="K66" s="63"/>
      <c r="L66" t="s">
        <v>53</v>
      </c>
    </row>
    <row r="67" spans="4:13" x14ac:dyDescent="0.3">
      <c r="D67" s="59"/>
      <c r="E67" s="58"/>
      <c r="F67" s="58"/>
      <c r="G67" s="61"/>
      <c r="H67" s="8"/>
      <c r="I67" s="64"/>
      <c r="J67" s="61"/>
      <c r="K67" s="63"/>
    </row>
    <row r="68" spans="4:13" ht="28.8" x14ac:dyDescent="0.3">
      <c r="D68" s="59" t="s">
        <v>85</v>
      </c>
      <c r="E68" s="58"/>
      <c r="F68" s="58"/>
      <c r="G68" s="61">
        <f>SUM(G42:G62)</f>
        <v>764.50366300366306</v>
      </c>
      <c r="H68" s="60">
        <f>G68/G70</f>
        <v>0.37474905278318482</v>
      </c>
      <c r="I68" s="64">
        <f>G74*H68</f>
        <v>3826.1878289163169</v>
      </c>
      <c r="J68" s="61"/>
      <c r="K68" s="63" t="s">
        <v>53</v>
      </c>
    </row>
    <row r="69" spans="4:13" x14ac:dyDescent="0.3">
      <c r="D69" s="59"/>
      <c r="E69" s="58"/>
      <c r="F69" s="58"/>
      <c r="G69" s="61"/>
      <c r="H69" s="8"/>
      <c r="I69" s="9"/>
      <c r="J69" s="8"/>
      <c r="K69" s="63"/>
    </row>
    <row r="70" spans="4:13" ht="43.2" x14ac:dyDescent="0.3">
      <c r="D70" s="59" t="s">
        <v>84</v>
      </c>
      <c r="E70" s="58"/>
      <c r="F70" s="58"/>
      <c r="G70" s="61">
        <f>SUM(G66+G68)</f>
        <v>2040.0416153846159</v>
      </c>
      <c r="H70" s="8"/>
      <c r="I70" s="9"/>
      <c r="J70" s="8"/>
      <c r="K70" s="63"/>
    </row>
    <row r="71" spans="4:13" x14ac:dyDescent="0.3">
      <c r="D71" s="59"/>
      <c r="E71" s="58"/>
      <c r="F71" s="58"/>
      <c r="G71" s="61"/>
      <c r="H71" s="8"/>
      <c r="I71" s="9"/>
      <c r="J71" s="8"/>
    </row>
    <row r="72" spans="4:13" ht="28.8" x14ac:dyDescent="0.3">
      <c r="D72" s="59" t="s">
        <v>83</v>
      </c>
      <c r="E72" s="58"/>
      <c r="F72" s="58"/>
      <c r="G72" s="61">
        <f>H63</f>
        <v>1876.3211428571431</v>
      </c>
      <c r="H72" s="8" t="s">
        <v>53</v>
      </c>
      <c r="I72" s="9"/>
      <c r="J72" s="8"/>
      <c r="K72" s="62" t="s">
        <v>53</v>
      </c>
      <c r="M72" t="s">
        <v>53</v>
      </c>
    </row>
    <row r="73" spans="4:13" x14ac:dyDescent="0.3">
      <c r="D73" s="59"/>
      <c r="E73" s="58"/>
      <c r="F73" s="58"/>
      <c r="G73" s="61"/>
      <c r="H73" s="8"/>
      <c r="I73" s="9"/>
      <c r="J73" s="8"/>
    </row>
    <row r="74" spans="4:13" ht="28.8" x14ac:dyDescent="0.3">
      <c r="D74" s="59" t="s">
        <v>82</v>
      </c>
      <c r="E74" s="58"/>
      <c r="F74" s="58"/>
      <c r="G74" s="61">
        <v>10210</v>
      </c>
      <c r="H74" s="8"/>
      <c r="I74" s="9"/>
      <c r="J74" s="8"/>
    </row>
    <row r="75" spans="4:13" x14ac:dyDescent="0.3">
      <c r="D75" s="59"/>
      <c r="E75" s="58"/>
      <c r="F75" s="58"/>
      <c r="G75" s="8"/>
      <c r="H75" s="8"/>
      <c r="I75" s="9"/>
      <c r="J75" s="8"/>
    </row>
    <row r="76" spans="4:13" x14ac:dyDescent="0.3">
      <c r="D76" s="59" t="s">
        <v>81</v>
      </c>
      <c r="E76" s="58"/>
      <c r="F76" s="58"/>
      <c r="G76" s="60">
        <f>G70/G74</f>
        <v>0.19980818955774887</v>
      </c>
      <c r="H76" s="8"/>
      <c r="I76" s="9"/>
      <c r="J76" s="8"/>
    </row>
    <row r="77" spans="4:13" x14ac:dyDescent="0.3">
      <c r="D77" s="59"/>
      <c r="E77" s="58"/>
      <c r="F77" s="58"/>
      <c r="G77" s="8"/>
      <c r="H77" s="8"/>
      <c r="I77" s="9"/>
      <c r="J77" s="8"/>
    </row>
    <row r="78" spans="4:13" ht="29.4" thickBot="1" x14ac:dyDescent="0.35">
      <c r="D78" s="57" t="s">
        <v>80</v>
      </c>
      <c r="E78" s="56"/>
      <c r="F78" s="56"/>
      <c r="G78" s="55">
        <f>G70/H63</f>
        <v>1.0872561038661908</v>
      </c>
      <c r="H78" s="14"/>
      <c r="I78" s="15"/>
      <c r="J78" s="8"/>
    </row>
    <row r="80" spans="4:13" x14ac:dyDescent="0.3">
      <c r="D80" s="52" t="s">
        <v>53</v>
      </c>
      <c r="G80" s="54" t="s">
        <v>53</v>
      </c>
    </row>
  </sheetData>
  <mergeCells count="1">
    <mergeCell ref="D65:E65"/>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1"/>
  <sheetViews>
    <sheetView workbookViewId="0">
      <selection activeCell="E17" sqref="E17"/>
    </sheetView>
  </sheetViews>
  <sheetFormatPr defaultRowHeight="14.4" x14ac:dyDescent="0.3"/>
  <cols>
    <col min="2" max="2" width="94.88671875" bestFit="1" customWidth="1"/>
    <col min="11" max="11" width="12.5546875" bestFit="1" customWidth="1"/>
  </cols>
  <sheetData>
    <row r="3" spans="2:11" ht="18" thickBot="1" x14ac:dyDescent="0.4">
      <c r="B3" s="85" t="s">
        <v>210</v>
      </c>
    </row>
    <row r="4" spans="2:11" ht="15" thickTop="1" x14ac:dyDescent="0.3">
      <c r="B4" s="86" t="s">
        <v>211</v>
      </c>
      <c r="C4" s="86">
        <v>10210</v>
      </c>
      <c r="E4" s="2"/>
    </row>
    <row r="5" spans="2:11" x14ac:dyDescent="0.3">
      <c r="B5" s="86" t="s">
        <v>212</v>
      </c>
      <c r="C5" s="86">
        <v>2040</v>
      </c>
    </row>
    <row r="6" spans="2:11" ht="18" thickBot="1" x14ac:dyDescent="0.4">
      <c r="B6" s="86" t="s">
        <v>213</v>
      </c>
      <c r="C6" s="86">
        <v>1276</v>
      </c>
      <c r="E6" s="85" t="s">
        <v>214</v>
      </c>
    </row>
    <row r="7" spans="2:11" ht="15" thickTop="1" x14ac:dyDescent="0.3">
      <c r="B7" s="86" t="s">
        <v>215</v>
      </c>
      <c r="C7" s="86">
        <v>1876</v>
      </c>
      <c r="E7" s="86" t="s">
        <v>216</v>
      </c>
      <c r="F7" s="86"/>
      <c r="G7" s="86"/>
      <c r="H7" s="86">
        <v>1176</v>
      </c>
    </row>
    <row r="8" spans="2:11" x14ac:dyDescent="0.3">
      <c r="B8" s="86" t="s">
        <v>217</v>
      </c>
      <c r="C8" s="86">
        <v>6627</v>
      </c>
      <c r="E8" s="135" t="s">
        <v>218</v>
      </c>
      <c r="F8" s="136"/>
      <c r="G8" s="137"/>
      <c r="H8" s="86">
        <v>69</v>
      </c>
    </row>
    <row r="9" spans="2:11" x14ac:dyDescent="0.3">
      <c r="B9" s="86" t="s">
        <v>219</v>
      </c>
      <c r="C9" s="86">
        <v>6558</v>
      </c>
      <c r="E9" s="86" t="s">
        <v>220</v>
      </c>
      <c r="F9" s="86"/>
      <c r="G9" s="86"/>
      <c r="H9" s="86">
        <f>H7+H8</f>
        <v>1245</v>
      </c>
    </row>
    <row r="11" spans="2:11" x14ac:dyDescent="0.3">
      <c r="B11" s="87"/>
      <c r="C11" s="87"/>
      <c r="E11" s="87"/>
      <c r="F11" s="87"/>
      <c r="G11" s="87"/>
      <c r="H11" s="87"/>
      <c r="I11" s="87"/>
      <c r="J11" s="87"/>
      <c r="K11" s="87"/>
    </row>
    <row r="12" spans="2:11" x14ac:dyDescent="0.3">
      <c r="B12" s="87" t="s">
        <v>221</v>
      </c>
      <c r="C12" s="87"/>
      <c r="E12" s="87" t="s">
        <v>222</v>
      </c>
      <c r="F12" s="87"/>
      <c r="G12" s="87"/>
      <c r="H12" s="87"/>
      <c r="I12" s="87"/>
      <c r="J12" s="87"/>
      <c r="K12" s="87"/>
    </row>
    <row r="13" spans="2:11" ht="15" thickBot="1" x14ac:dyDescent="0.35">
      <c r="B13" s="88" t="s">
        <v>231</v>
      </c>
      <c r="E13" s="88" t="s">
        <v>231</v>
      </c>
    </row>
    <row r="14" spans="2:11" x14ac:dyDescent="0.3">
      <c r="B14" t="s">
        <v>223</v>
      </c>
      <c r="C14" s="89">
        <f>C7/C6</f>
        <v>1.4702194357366771</v>
      </c>
      <c r="E14" t="s">
        <v>224</v>
      </c>
      <c r="K14" s="90">
        <f>C15/C4*H9</f>
        <v>543.91728707797245</v>
      </c>
    </row>
    <row r="15" spans="2:11" x14ac:dyDescent="0.3">
      <c r="B15" t="s">
        <v>225</v>
      </c>
      <c r="C15" s="89">
        <f>C9/C14</f>
        <v>4460.5586353944564</v>
      </c>
      <c r="E15" t="s">
        <v>226</v>
      </c>
      <c r="K15" s="90">
        <f>(K14+C9)/C15</f>
        <v>1.5921587109570492</v>
      </c>
    </row>
    <row r="16" spans="2:11" ht="15" thickBot="1" x14ac:dyDescent="0.35">
      <c r="B16" s="88" t="s">
        <v>232</v>
      </c>
      <c r="E16" s="88" t="s">
        <v>232</v>
      </c>
      <c r="K16" s="90"/>
    </row>
    <row r="17" spans="2:11" x14ac:dyDescent="0.3">
      <c r="B17" t="s">
        <v>227</v>
      </c>
      <c r="C17" s="91">
        <f>C6/C5</f>
        <v>0.62549019607843137</v>
      </c>
      <c r="E17" t="s">
        <v>224</v>
      </c>
      <c r="K17" s="90">
        <f>C17*H9</f>
        <v>778.73529411764707</v>
      </c>
    </row>
    <row r="18" spans="2:11" x14ac:dyDescent="0.3">
      <c r="B18" t="s">
        <v>228</v>
      </c>
      <c r="C18" s="89">
        <f>C17*C4</f>
        <v>6386.2549019607841</v>
      </c>
      <c r="E18" t="s">
        <v>226</v>
      </c>
      <c r="K18" s="90">
        <f>(K17+C9)/C18</f>
        <v>1.148832203967467</v>
      </c>
    </row>
    <row r="19" spans="2:11" x14ac:dyDescent="0.3">
      <c r="B19" t="s">
        <v>223</v>
      </c>
      <c r="C19" s="89">
        <f>C9/C18</f>
        <v>1.0268929287470947</v>
      </c>
      <c r="K19" s="90"/>
    </row>
    <row r="20" spans="2:11" ht="15" thickBot="1" x14ac:dyDescent="0.35">
      <c r="B20" s="88" t="s">
        <v>229</v>
      </c>
      <c r="E20" s="88" t="s">
        <v>229</v>
      </c>
      <c r="K20" s="90"/>
    </row>
    <row r="21" spans="2:11" x14ac:dyDescent="0.3">
      <c r="B21" t="s">
        <v>223</v>
      </c>
      <c r="C21">
        <f>AVERAGE(C14,C19)</f>
        <v>1.2485561822418858</v>
      </c>
      <c r="E21" s="92" t="s">
        <v>230</v>
      </c>
      <c r="F21" s="92"/>
      <c r="G21" s="92"/>
      <c r="H21" s="92"/>
      <c r="I21" s="92"/>
      <c r="J21" s="92"/>
      <c r="K21" s="93">
        <f>(K15+K18)/2</f>
        <v>1.3704954574622581</v>
      </c>
    </row>
  </sheetData>
  <mergeCells count="1">
    <mergeCell ref="E8:G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N34"/>
  <sheetViews>
    <sheetView zoomScale="80" zoomScaleNormal="80" workbookViewId="0">
      <pane ySplit="8" topLeftCell="A9" activePane="bottomLeft" state="frozen"/>
      <selection pane="bottomLeft" activeCell="D39" sqref="D39"/>
    </sheetView>
  </sheetViews>
  <sheetFormatPr defaultColWidth="9.109375" defaultRowHeight="15" x14ac:dyDescent="0.25"/>
  <cols>
    <col min="1" max="1" width="5.109375" style="94" customWidth="1"/>
    <col min="2" max="2" width="44.109375" style="94" customWidth="1"/>
    <col min="3" max="3" width="4" style="94" customWidth="1"/>
    <col min="4" max="4" width="17.5546875" style="94" customWidth="1"/>
    <col min="5" max="5" width="18" style="94" customWidth="1"/>
    <col min="6" max="6" width="22.109375" style="94" customWidth="1"/>
    <col min="7" max="7" width="22.6640625" style="94" bestFit="1" customWidth="1"/>
    <col min="8" max="8" width="18.5546875" style="94" customWidth="1"/>
    <col min="9" max="9" width="21" style="94" customWidth="1"/>
    <col min="10" max="10" width="2.88671875" style="94" customWidth="1"/>
    <col min="11" max="11" width="47.5546875" style="94" customWidth="1"/>
    <col min="12" max="16384" width="9.109375" style="94"/>
  </cols>
  <sheetData>
    <row r="1" spans="2:14" x14ac:dyDescent="0.25">
      <c r="I1" s="130" t="s">
        <v>283</v>
      </c>
      <c r="J1" s="129"/>
      <c r="K1" s="131" t="s">
        <v>282</v>
      </c>
    </row>
    <row r="2" spans="2:14" x14ac:dyDescent="0.25">
      <c r="I2" s="130" t="s">
        <v>281</v>
      </c>
      <c r="J2" s="129"/>
      <c r="K2" s="131"/>
    </row>
    <row r="3" spans="2:14" x14ac:dyDescent="0.25">
      <c r="I3" s="130" t="s">
        <v>280</v>
      </c>
      <c r="J3" s="129"/>
      <c r="K3" s="131"/>
    </row>
    <row r="4" spans="2:14" x14ac:dyDescent="0.25">
      <c r="I4" s="130" t="s">
        <v>279</v>
      </c>
      <c r="J4" s="129"/>
      <c r="K4" s="131"/>
    </row>
    <row r="5" spans="2:14" x14ac:dyDescent="0.25">
      <c r="I5" s="130" t="s">
        <v>278</v>
      </c>
      <c r="J5" s="129"/>
      <c r="K5" s="128"/>
    </row>
    <row r="6" spans="2:14" ht="13.95" customHeight="1" x14ac:dyDescent="0.25"/>
    <row r="7" spans="2:14" ht="24.6" customHeight="1" x14ac:dyDescent="0.3">
      <c r="B7" s="127" t="s">
        <v>277</v>
      </c>
      <c r="C7" s="95"/>
    </row>
    <row r="8" spans="2:14" ht="127.8" customHeight="1" x14ac:dyDescent="0.25">
      <c r="B8" s="141" t="s">
        <v>276</v>
      </c>
      <c r="C8" s="141"/>
      <c r="D8" s="141"/>
      <c r="E8" s="141"/>
      <c r="F8" s="141"/>
      <c r="G8" s="141"/>
      <c r="H8" s="141"/>
      <c r="I8" s="141"/>
      <c r="J8" s="105"/>
      <c r="K8" s="105"/>
      <c r="L8" s="105"/>
      <c r="M8" s="105"/>
      <c r="N8" s="105"/>
    </row>
    <row r="9" spans="2:14" ht="16.2" customHeight="1" x14ac:dyDescent="0.25">
      <c r="B9" s="126"/>
      <c r="C9" s="126"/>
      <c r="D9" s="126"/>
      <c r="E9" s="126"/>
      <c r="F9" s="126"/>
      <c r="G9" s="126"/>
      <c r="H9" s="126"/>
      <c r="I9" s="126"/>
      <c r="J9" s="105"/>
      <c r="K9" s="105"/>
      <c r="L9" s="105"/>
      <c r="M9" s="105"/>
      <c r="N9" s="105"/>
    </row>
    <row r="10" spans="2:14" ht="15.6" x14ac:dyDescent="0.3">
      <c r="B10" s="125" t="s">
        <v>275</v>
      </c>
      <c r="C10" s="124"/>
      <c r="D10" s="123"/>
      <c r="E10" s="123"/>
      <c r="F10" s="122"/>
      <c r="G10" s="122"/>
      <c r="H10" s="122"/>
      <c r="I10" s="122"/>
      <c r="J10" s="121"/>
      <c r="K10" s="119"/>
    </row>
    <row r="11" spans="2:14" x14ac:dyDescent="0.25">
      <c r="F11" s="105"/>
      <c r="G11" s="105"/>
      <c r="H11" s="105"/>
      <c r="I11" s="105"/>
      <c r="J11" s="105"/>
      <c r="K11" s="105"/>
    </row>
    <row r="12" spans="2:14" x14ac:dyDescent="0.25">
      <c r="B12" s="94" t="s">
        <v>274</v>
      </c>
      <c r="F12" s="105"/>
      <c r="G12" s="105"/>
      <c r="H12" s="105"/>
      <c r="I12" s="105"/>
      <c r="J12" s="105"/>
      <c r="K12" s="105"/>
    </row>
    <row r="13" spans="2:14" ht="9" customHeight="1" x14ac:dyDescent="0.25">
      <c r="D13" s="105"/>
      <c r="E13" s="105"/>
      <c r="F13" s="105"/>
      <c r="G13" s="105"/>
      <c r="H13" s="105"/>
      <c r="I13" s="105"/>
      <c r="J13" s="105"/>
      <c r="K13" s="105"/>
      <c r="L13" s="105"/>
      <c r="M13" s="105"/>
      <c r="N13" s="105"/>
    </row>
    <row r="14" spans="2:14" ht="15.6" x14ac:dyDescent="0.3">
      <c r="B14" s="120" t="s">
        <v>273</v>
      </c>
      <c r="C14" s="95"/>
      <c r="D14" s="138" t="s">
        <v>272</v>
      </c>
      <c r="E14" s="139"/>
      <c r="F14" s="140"/>
      <c r="H14" s="105"/>
      <c r="I14" s="119"/>
      <c r="J14" s="119"/>
      <c r="K14" s="119"/>
      <c r="L14" s="105"/>
      <c r="M14" s="105"/>
      <c r="N14" s="105"/>
    </row>
    <row r="15" spans="2:14" x14ac:dyDescent="0.25">
      <c r="B15" s="118"/>
      <c r="D15" s="117"/>
      <c r="E15" s="116"/>
      <c r="F15" s="115"/>
      <c r="I15" s="105"/>
      <c r="J15" s="105"/>
      <c r="K15" s="105"/>
      <c r="L15" s="105"/>
      <c r="M15" s="105"/>
      <c r="N15" s="105"/>
    </row>
    <row r="16" spans="2:14" ht="15.6" x14ac:dyDescent="0.25">
      <c r="B16" s="113" t="s">
        <v>271</v>
      </c>
      <c r="C16" s="105"/>
      <c r="D16" s="112" t="s">
        <v>270</v>
      </c>
      <c r="E16" s="105"/>
      <c r="F16" s="114" t="s">
        <v>269</v>
      </c>
      <c r="H16" s="105"/>
      <c r="I16" s="105"/>
      <c r="J16" s="105"/>
      <c r="K16" s="105"/>
      <c r="L16" s="105"/>
      <c r="M16" s="105"/>
      <c r="N16" s="105"/>
    </row>
    <row r="17" spans="2:14" ht="15.6" x14ac:dyDescent="0.25">
      <c r="B17" s="113" t="s">
        <v>268</v>
      </c>
      <c r="C17" s="105"/>
      <c r="D17" s="112" t="s">
        <v>267</v>
      </c>
      <c r="E17" s="105"/>
      <c r="F17" s="114" t="s">
        <v>266</v>
      </c>
      <c r="H17" s="105"/>
      <c r="I17" s="105"/>
      <c r="J17" s="105"/>
      <c r="K17" s="105"/>
      <c r="L17" s="105"/>
      <c r="M17" s="105"/>
      <c r="N17" s="105"/>
    </row>
    <row r="18" spans="2:14" ht="15.6" x14ac:dyDescent="0.25">
      <c r="B18" s="113" t="s">
        <v>265</v>
      </c>
      <c r="C18" s="105"/>
      <c r="D18" s="112" t="s">
        <v>264</v>
      </c>
      <c r="E18" s="105"/>
      <c r="F18" s="114" t="s">
        <v>263</v>
      </c>
      <c r="H18" s="105"/>
      <c r="J18" s="105"/>
      <c r="K18" s="105"/>
      <c r="L18" s="105"/>
      <c r="M18" s="105"/>
      <c r="N18" s="105"/>
    </row>
    <row r="19" spans="2:14" ht="15.6" x14ac:dyDescent="0.25">
      <c r="B19" s="113" t="s">
        <v>262</v>
      </c>
      <c r="C19" s="105"/>
      <c r="D19" s="112" t="s">
        <v>261</v>
      </c>
      <c r="E19" s="105"/>
      <c r="F19" s="114" t="s">
        <v>260</v>
      </c>
      <c r="H19" s="105"/>
      <c r="I19" s="105"/>
      <c r="J19" s="105"/>
      <c r="K19" s="105"/>
      <c r="L19" s="105"/>
      <c r="M19" s="105"/>
      <c r="N19" s="105"/>
    </row>
    <row r="20" spans="2:14" ht="15.6" x14ac:dyDescent="0.25">
      <c r="B20" s="113" t="s">
        <v>259</v>
      </c>
      <c r="C20" s="105"/>
      <c r="D20" s="112" t="s">
        <v>258</v>
      </c>
      <c r="E20" s="105"/>
      <c r="F20" s="111"/>
      <c r="H20" s="105"/>
      <c r="I20" s="105"/>
      <c r="J20" s="105"/>
      <c r="K20" s="105"/>
      <c r="L20" s="105"/>
      <c r="M20" s="105"/>
      <c r="N20" s="105"/>
    </row>
    <row r="21" spans="2:14" ht="15.6" x14ac:dyDescent="0.25">
      <c r="B21" s="113" t="s">
        <v>257</v>
      </c>
      <c r="C21" s="105"/>
      <c r="D21" s="112" t="s">
        <v>256</v>
      </c>
      <c r="E21" s="105"/>
      <c r="F21" s="111"/>
      <c r="H21" s="105"/>
      <c r="I21" s="105"/>
      <c r="J21" s="105"/>
      <c r="K21" s="105"/>
      <c r="L21" s="105"/>
      <c r="M21" s="105"/>
      <c r="N21" s="105"/>
    </row>
    <row r="22" spans="2:14" ht="15.6" x14ac:dyDescent="0.25">
      <c r="B22" s="113" t="s">
        <v>255</v>
      </c>
      <c r="C22" s="105"/>
      <c r="D22" s="112" t="s">
        <v>254</v>
      </c>
      <c r="E22" s="105"/>
      <c r="F22" s="111"/>
      <c r="H22" s="105"/>
      <c r="I22" s="105"/>
      <c r="J22" s="105"/>
      <c r="K22" s="105"/>
      <c r="L22" s="105"/>
      <c r="M22" s="105"/>
      <c r="N22" s="105"/>
    </row>
    <row r="23" spans="2:14" ht="15.6" x14ac:dyDescent="0.25">
      <c r="B23" s="110" t="s">
        <v>253</v>
      </c>
      <c r="C23" s="105"/>
      <c r="D23" s="109" t="s">
        <v>252</v>
      </c>
      <c r="E23" s="108"/>
      <c r="F23" s="107"/>
      <c r="H23" s="105"/>
      <c r="I23" s="105"/>
      <c r="J23" s="105"/>
      <c r="K23" s="105"/>
      <c r="L23" s="105"/>
      <c r="M23" s="105"/>
      <c r="N23" s="105"/>
    </row>
    <row r="24" spans="2:14" x14ac:dyDescent="0.25">
      <c r="B24" s="105"/>
      <c r="C24" s="105"/>
      <c r="D24" s="105"/>
      <c r="E24" s="105"/>
      <c r="F24" s="105"/>
      <c r="H24" s="105"/>
      <c r="I24" s="105"/>
      <c r="J24" s="105"/>
      <c r="K24" s="105"/>
      <c r="L24" s="105"/>
      <c r="M24" s="105"/>
      <c r="N24" s="105"/>
    </row>
    <row r="25" spans="2:14" ht="11.25" customHeight="1" x14ac:dyDescent="0.25">
      <c r="D25" s="105"/>
      <c r="E25" s="105"/>
      <c r="F25" s="105"/>
      <c r="G25" s="105"/>
      <c r="H25" s="105"/>
      <c r="I25" s="105"/>
      <c r="J25" s="105"/>
      <c r="K25" s="105"/>
      <c r="L25" s="105"/>
      <c r="M25" s="105"/>
      <c r="N25" s="105"/>
    </row>
    <row r="26" spans="2:14" ht="17.25" customHeight="1" x14ac:dyDescent="0.3">
      <c r="B26" s="106" t="s">
        <v>251</v>
      </c>
      <c r="D26" s="105"/>
      <c r="E26" s="105"/>
      <c r="F26" s="105"/>
      <c r="G26" s="105"/>
      <c r="H26" s="105"/>
      <c r="I26" s="105"/>
      <c r="J26" s="105"/>
      <c r="K26" s="105"/>
      <c r="L26" s="105"/>
      <c r="M26" s="105"/>
      <c r="N26" s="105"/>
    </row>
    <row r="28" spans="2:14" s="95" customFormat="1" ht="46.8" x14ac:dyDescent="0.3">
      <c r="B28" s="95" t="s">
        <v>250</v>
      </c>
      <c r="D28" s="104" t="s">
        <v>249</v>
      </c>
      <c r="E28" s="104" t="s">
        <v>248</v>
      </c>
      <c r="F28" s="104" t="s">
        <v>247</v>
      </c>
      <c r="G28" s="104" t="s">
        <v>246</v>
      </c>
      <c r="H28" s="104" t="s">
        <v>245</v>
      </c>
      <c r="I28" s="104" t="s">
        <v>244</v>
      </c>
    </row>
    <row r="29" spans="2:14" ht="19.5" customHeight="1" x14ac:dyDescent="0.25">
      <c r="D29" s="103" t="s">
        <v>243</v>
      </c>
      <c r="E29" s="103" t="s">
        <v>242</v>
      </c>
      <c r="F29" s="102" t="s">
        <v>241</v>
      </c>
      <c r="G29" s="102" t="s">
        <v>240</v>
      </c>
      <c r="H29" s="101" t="s">
        <v>239</v>
      </c>
      <c r="I29" s="101" t="s">
        <v>238</v>
      </c>
    </row>
    <row r="30" spans="2:14" ht="18.899999999999999" customHeight="1" x14ac:dyDescent="0.25">
      <c r="B30" s="94" t="s">
        <v>237</v>
      </c>
      <c r="D30" s="98">
        <f>F30+G30</f>
        <v>7116.5390000000007</v>
      </c>
      <c r="E30" s="100">
        <f>'[1]Power Specific Factor'!$O$16</f>
        <v>54</v>
      </c>
      <c r="F30" s="99">
        <f>'[1]Power Specific Factor'!$O$17</f>
        <v>6817.1079333333337</v>
      </c>
      <c r="G30" s="99">
        <f>'[1]Power Specific Factor'!$O$25</f>
        <v>299.43106666666671</v>
      </c>
      <c r="H30" s="98">
        <f>F30*E30</f>
        <v>368123.8284</v>
      </c>
      <c r="I30" s="98">
        <f>G30*E30</f>
        <v>16169.277600000003</v>
      </c>
    </row>
    <row r="31" spans="2:14" ht="18.899999999999999" customHeight="1" x14ac:dyDescent="0.25">
      <c r="B31" s="94" t="s">
        <v>236</v>
      </c>
      <c r="D31" s="98">
        <f>F31+G31</f>
        <v>0</v>
      </c>
      <c r="E31" s="100">
        <v>0</v>
      </c>
      <c r="F31" s="99"/>
      <c r="G31" s="99"/>
      <c r="H31" s="98">
        <f>F31*E31</f>
        <v>0</v>
      </c>
      <c r="I31" s="98">
        <f>G31*E31</f>
        <v>0</v>
      </c>
    </row>
    <row r="32" spans="2:14" ht="18.899999999999999" customHeight="1" x14ac:dyDescent="0.25">
      <c r="B32" s="94" t="s">
        <v>235</v>
      </c>
      <c r="D32" s="98">
        <f>F32+G32</f>
        <v>7116.5390000000007</v>
      </c>
      <c r="E32" s="100">
        <f>'[1]Power Specific Factor'!$O$20</f>
        <v>96</v>
      </c>
      <c r="F32" s="99">
        <f>'[1]Power Specific Factor'!$O$21</f>
        <v>6817.1079333333337</v>
      </c>
      <c r="G32" s="99">
        <f>'[1]Power Specific Factor'!$O$29</f>
        <v>299.43106666666671</v>
      </c>
      <c r="H32" s="98">
        <f>F32*E32</f>
        <v>654442.36160000006</v>
      </c>
      <c r="I32" s="98">
        <f>G32*E32</f>
        <v>28745.382400000002</v>
      </c>
    </row>
    <row r="33" spans="2:9" ht="22.5" customHeight="1" x14ac:dyDescent="0.25">
      <c r="B33" s="94" t="s">
        <v>234</v>
      </c>
      <c r="H33" s="97">
        <f>SUM(H30:H32)</f>
        <v>1022566.1900000001</v>
      </c>
      <c r="I33" s="97">
        <f>SUM(I30:I32)</f>
        <v>44914.66</v>
      </c>
    </row>
    <row r="34" spans="2:9" s="95" customFormat="1" ht="20.25" customHeight="1" x14ac:dyDescent="0.3">
      <c r="B34" s="95" t="s">
        <v>233</v>
      </c>
      <c r="H34" s="96">
        <f>H33/(H33+I33)</f>
        <v>0.95792462225434771</v>
      </c>
      <c r="I34" s="96">
        <f>I33/(H33+I33)</f>
        <v>4.2075377745652301E-2</v>
      </c>
    </row>
  </sheetData>
  <sheetProtection algorithmName="SHA-512" hashValue="IT9mKhhKBBzOuWpq9G4iVMFEivBEPS7T54Hlp3XKoKnWCNtK1VaiJLUicLaMP/8HufTn81o/kmPihztwYoErXA==" saltValue="2E6rNMuw36vcjCKPInIzGw==" spinCount="100000" sheet="1" scenarios="1" formatCells="0" formatColumns="0" formatRows="0" insertColumns="0" insertRows="0" deleteColumns="0" deleteRows="0" sort="0"/>
  <mergeCells count="2">
    <mergeCell ref="D14:F14"/>
    <mergeCell ref="B8:I8"/>
  </mergeCells>
  <pageMargins left="0.7" right="0.7" top="0.75" bottom="0.75" header="0.3" footer="0.3"/>
  <pageSetup scale="48"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8:J16"/>
  <sheetViews>
    <sheetView workbookViewId="0">
      <selection activeCell="I12" sqref="I12"/>
    </sheetView>
  </sheetViews>
  <sheetFormatPr defaultRowHeight="14.4" x14ac:dyDescent="0.3"/>
  <cols>
    <col min="3" max="7" width="9.77734375" bestFit="1" customWidth="1"/>
    <col min="8" max="8" width="10.77734375" bestFit="1" customWidth="1"/>
    <col min="9" max="9" width="12.21875" customWidth="1"/>
    <col min="10" max="10" width="14.21875" customWidth="1"/>
  </cols>
  <sheetData>
    <row r="8" spans="3:10" x14ac:dyDescent="0.3">
      <c r="C8" s="2" t="s">
        <v>287</v>
      </c>
    </row>
    <row r="9" spans="3:10" x14ac:dyDescent="0.3">
      <c r="C9">
        <v>2012</v>
      </c>
      <c r="D9">
        <v>2013</v>
      </c>
      <c r="E9">
        <v>2014</v>
      </c>
      <c r="F9">
        <v>2015</v>
      </c>
      <c r="G9">
        <v>2016</v>
      </c>
      <c r="H9">
        <v>2017</v>
      </c>
      <c r="I9" t="s">
        <v>285</v>
      </c>
      <c r="J9" t="s">
        <v>284</v>
      </c>
    </row>
    <row r="10" spans="3:10" x14ac:dyDescent="0.3">
      <c r="C10" s="132">
        <v>5731523</v>
      </c>
      <c r="D10" s="132">
        <v>6625717</v>
      </c>
      <c r="E10" s="132">
        <v>6976538</v>
      </c>
      <c r="F10" s="132">
        <v>8260731</v>
      </c>
      <c r="G10" s="132">
        <v>9022429</v>
      </c>
      <c r="H10" s="132">
        <v>11631214</v>
      </c>
      <c r="I10" s="132">
        <f>AVERAGE(C10:G10)</f>
        <v>7323387.5999999996</v>
      </c>
      <c r="J10" s="132">
        <f>AVERAGE(D10:H10)</f>
        <v>8503325.8000000007</v>
      </c>
    </row>
    <row r="14" spans="3:10" x14ac:dyDescent="0.3">
      <c r="C14" s="2" t="s">
        <v>286</v>
      </c>
    </row>
    <row r="15" spans="3:10" x14ac:dyDescent="0.3">
      <c r="C15">
        <v>2012</v>
      </c>
      <c r="D15">
        <v>2013</v>
      </c>
      <c r="E15">
        <v>2014</v>
      </c>
      <c r="F15">
        <v>2015</v>
      </c>
      <c r="G15">
        <v>2016</v>
      </c>
      <c r="H15">
        <v>2017</v>
      </c>
      <c r="I15" t="s">
        <v>285</v>
      </c>
      <c r="J15" t="s">
        <v>284</v>
      </c>
    </row>
    <row r="16" spans="3:10" x14ac:dyDescent="0.3">
      <c r="C16" s="132">
        <v>92811</v>
      </c>
      <c r="D16" s="132">
        <v>125952</v>
      </c>
      <c r="E16" s="132">
        <v>196567</v>
      </c>
      <c r="F16" s="132">
        <v>236524</v>
      </c>
      <c r="G16" s="132">
        <v>254232</v>
      </c>
      <c r="H16" s="132">
        <v>299803.77</v>
      </c>
      <c r="I16" s="132">
        <f>AVERAGE(C16:G16)</f>
        <v>181217.2</v>
      </c>
      <c r="J16" s="132">
        <f>AVERAGE(D16:H16)</f>
        <v>222615.75400000002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IPC Pole Attach Calc</vt:lpstr>
      <vt:lpstr>Data &amp; Calculations</vt:lpstr>
      <vt:lpstr>Field Verification</vt:lpstr>
      <vt:lpstr>Attachers per Pole Calcualtion</vt:lpstr>
      <vt:lpstr>Power Deduction Factor</vt:lpstr>
      <vt:lpstr>Average NVB for Account 1830</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lastModifiedBy/>
  <cp:lastPrinted>2017-11-27T19:45:58Z</cp:lastPrinted>
  <dcterms:created xsi:type="dcterms:W3CDTF">2017-11-27T19:45:58Z</dcterms:created>
  <dcterms:modified xsi:type="dcterms:W3CDTF">2018-01-31T20:00:52Z</dcterms:modified>
</cp:coreProperties>
</file>