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60" windowWidth="19440" windowHeight="11760" activeTab="2"/>
  </bookViews>
  <sheets>
    <sheet name="Residential" sheetId="1" r:id="rId1"/>
    <sheet name="GS&lt;50 kW" sheetId="2" r:id="rId2"/>
    <sheet name="GS 50-4,999 kW" sheetId="3" r:id="rId3"/>
  </sheets>
  <definedNames>
    <definedName name="_xlnm.Print_Area" localSheetId="2">'GS 50-4,999 kW'!$A$1:$J$29</definedName>
    <definedName name="_xlnm.Print_Area" localSheetId="1">'GS&lt;50 kW'!$A$1:$J$39</definedName>
    <definedName name="_xlnm.Print_Area" localSheetId="0">Residential!$A$1:$J$38</definedName>
  </definedNames>
  <calcPr calcId="145621"/>
</workbook>
</file>

<file path=xl/calcChain.xml><?xml version="1.0" encoding="utf-8"?>
<calcChain xmlns="http://schemas.openxmlformats.org/spreadsheetml/2006/main">
  <c r="D24" i="3" l="1"/>
  <c r="D23" i="3"/>
  <c r="D22" i="3"/>
  <c r="D21" i="3"/>
  <c r="D25" i="3" s="1"/>
  <c r="D18" i="3"/>
  <c r="D17" i="3"/>
  <c r="D19" i="3" s="1"/>
  <c r="C14" i="3"/>
  <c r="D14" i="3" s="1"/>
  <c r="D13" i="3"/>
  <c r="D12" i="3"/>
  <c r="D11" i="3"/>
  <c r="D10" i="3"/>
  <c r="D15" i="3" s="1"/>
  <c r="D7" i="3"/>
  <c r="D8" i="3" s="1"/>
  <c r="H24" i="3"/>
  <c r="I24" i="3" s="1"/>
  <c r="F24" i="3"/>
  <c r="H23" i="3"/>
  <c r="G23" i="3"/>
  <c r="I23" i="3" s="1"/>
  <c r="B23" i="3"/>
  <c r="F23" i="3" s="1"/>
  <c r="G22" i="3"/>
  <c r="I22" i="3" s="1"/>
  <c r="B22" i="3"/>
  <c r="F22" i="3" s="1"/>
  <c r="H21" i="3"/>
  <c r="I21" i="3" s="1"/>
  <c r="I25" i="3" s="1"/>
  <c r="G21" i="3"/>
  <c r="B21" i="3"/>
  <c r="F21" i="3" s="1"/>
  <c r="I18" i="3"/>
  <c r="G18" i="3"/>
  <c r="B18" i="3"/>
  <c r="G17" i="3"/>
  <c r="F17" i="3"/>
  <c r="B17" i="3"/>
  <c r="H14" i="3"/>
  <c r="G14" i="3"/>
  <c r="I14" i="3" s="1"/>
  <c r="B14" i="3"/>
  <c r="F14" i="3" s="1"/>
  <c r="G13" i="3"/>
  <c r="I13" i="3" s="1"/>
  <c r="B13" i="3"/>
  <c r="F13" i="3" s="1"/>
  <c r="I12" i="3"/>
  <c r="G12" i="3"/>
  <c r="B12" i="3"/>
  <c r="H11" i="3"/>
  <c r="I11" i="3" s="1"/>
  <c r="F11" i="3"/>
  <c r="M12" i="3"/>
  <c r="I10" i="3"/>
  <c r="H7" i="3"/>
  <c r="G7" i="3"/>
  <c r="I7" i="3" s="1"/>
  <c r="F7" i="3"/>
  <c r="B7" i="3"/>
  <c r="D32" i="2"/>
  <c r="D31" i="2"/>
  <c r="D30" i="2"/>
  <c r="D29" i="2"/>
  <c r="D33" i="2" s="1"/>
  <c r="D26" i="2"/>
  <c r="D27" i="2" s="1"/>
  <c r="D25" i="2"/>
  <c r="D20" i="2"/>
  <c r="D22" i="2" s="1"/>
  <c r="C20" i="2"/>
  <c r="D19" i="2"/>
  <c r="D15" i="2"/>
  <c r="C15" i="2"/>
  <c r="D14" i="2"/>
  <c r="D13" i="2"/>
  <c r="D12" i="2"/>
  <c r="D17" i="2" s="1"/>
  <c r="D11" i="2"/>
  <c r="D8" i="2"/>
  <c r="D7" i="2"/>
  <c r="D6" i="2"/>
  <c r="D9" i="2" s="1"/>
  <c r="H32" i="2"/>
  <c r="I32" i="2" s="1"/>
  <c r="F32" i="2"/>
  <c r="H31" i="2"/>
  <c r="G31" i="2"/>
  <c r="I31" i="2" s="1"/>
  <c r="F31" i="2"/>
  <c r="B31" i="2"/>
  <c r="G30" i="2"/>
  <c r="I30" i="2" s="1"/>
  <c r="F30" i="2"/>
  <c r="B30" i="2"/>
  <c r="H29" i="2"/>
  <c r="I29" i="2" s="1"/>
  <c r="G29" i="2"/>
  <c r="B29" i="2"/>
  <c r="F29" i="2" s="1"/>
  <c r="F33" i="2" s="1"/>
  <c r="I26" i="2"/>
  <c r="G26" i="2"/>
  <c r="B26" i="2"/>
  <c r="G25" i="2"/>
  <c r="F25" i="2"/>
  <c r="B25" i="2"/>
  <c r="G20" i="2"/>
  <c r="F20" i="2"/>
  <c r="E20" i="2"/>
  <c r="B20" i="2"/>
  <c r="I19" i="2"/>
  <c r="F19" i="2"/>
  <c r="F22" i="2" s="1"/>
  <c r="I15" i="2"/>
  <c r="H15" i="2"/>
  <c r="G15" i="2"/>
  <c r="B15" i="2"/>
  <c r="F15" i="2" s="1"/>
  <c r="I14" i="2"/>
  <c r="G14" i="2"/>
  <c r="B14" i="2"/>
  <c r="F14" i="2" s="1"/>
  <c r="G13" i="2"/>
  <c r="B13" i="2"/>
  <c r="I12" i="2"/>
  <c r="H12" i="2"/>
  <c r="F12" i="2"/>
  <c r="M13" i="2"/>
  <c r="I11" i="2"/>
  <c r="H8" i="2"/>
  <c r="I8" i="2" s="1"/>
  <c r="G8" i="2"/>
  <c r="B8" i="2"/>
  <c r="F8" i="2" s="1"/>
  <c r="I7" i="2"/>
  <c r="H7" i="2"/>
  <c r="G7" i="2"/>
  <c r="B7" i="2"/>
  <c r="F7" i="2" s="1"/>
  <c r="H6" i="2"/>
  <c r="H20" i="2" s="1"/>
  <c r="G6" i="2"/>
  <c r="I6" i="2" s="1"/>
  <c r="I9" i="2" s="1"/>
  <c r="F6" i="2"/>
  <c r="F9" i="2" s="1"/>
  <c r="B6" i="2"/>
  <c r="D31" i="1"/>
  <c r="D30" i="1"/>
  <c r="D29" i="1"/>
  <c r="D32" i="1" s="1"/>
  <c r="D26" i="1"/>
  <c r="D25" i="1"/>
  <c r="D27" i="1" s="1"/>
  <c r="C20" i="1"/>
  <c r="D20" i="1" s="1"/>
  <c r="D19" i="1"/>
  <c r="D22" i="1" s="1"/>
  <c r="C15" i="1"/>
  <c r="D15" i="1" s="1"/>
  <c r="D14" i="1"/>
  <c r="D13" i="1"/>
  <c r="D12" i="1"/>
  <c r="D11" i="1"/>
  <c r="D8" i="1"/>
  <c r="D7" i="1"/>
  <c r="D6" i="1"/>
  <c r="D9" i="1" s="1"/>
  <c r="H31" i="1"/>
  <c r="I31" i="1" s="1"/>
  <c r="F31" i="1"/>
  <c r="H30" i="1"/>
  <c r="G30" i="1"/>
  <c r="I30" i="1" s="1"/>
  <c r="B30" i="1"/>
  <c r="F30" i="1" s="1"/>
  <c r="H29" i="1"/>
  <c r="I29" i="1" s="1"/>
  <c r="G29" i="1"/>
  <c r="B29" i="1"/>
  <c r="F29" i="1" s="1"/>
  <c r="F32" i="1" s="1"/>
  <c r="I26" i="1"/>
  <c r="G26" i="1"/>
  <c r="B26" i="1"/>
  <c r="G25" i="1"/>
  <c r="F25" i="1"/>
  <c r="B25" i="1"/>
  <c r="H20" i="1"/>
  <c r="G20" i="1"/>
  <c r="I20" i="1" s="1"/>
  <c r="F20" i="1"/>
  <c r="E20" i="1"/>
  <c r="B20" i="1"/>
  <c r="I19" i="1"/>
  <c r="I22" i="1" s="1"/>
  <c r="F19" i="1"/>
  <c r="F22" i="1" s="1"/>
  <c r="I15" i="1"/>
  <c r="G15" i="1"/>
  <c r="B15" i="1"/>
  <c r="F15" i="1" s="1"/>
  <c r="I14" i="1"/>
  <c r="G14" i="1"/>
  <c r="B14" i="1"/>
  <c r="F14" i="1" s="1"/>
  <c r="G13" i="1"/>
  <c r="B13" i="1"/>
  <c r="H12" i="1"/>
  <c r="I12" i="1" s="1"/>
  <c r="F12" i="1"/>
  <c r="M13" i="1"/>
  <c r="F13" i="1" s="1"/>
  <c r="I11" i="1"/>
  <c r="H8" i="1"/>
  <c r="G8" i="1"/>
  <c r="I8" i="1" s="1"/>
  <c r="B8" i="1"/>
  <c r="F8" i="1" s="1"/>
  <c r="H7" i="1"/>
  <c r="I7" i="1" s="1"/>
  <c r="G7" i="1"/>
  <c r="B7" i="1"/>
  <c r="F7" i="1" s="1"/>
  <c r="I6" i="1"/>
  <c r="H6" i="1"/>
  <c r="G6" i="1"/>
  <c r="B6" i="1"/>
  <c r="F6" i="1" s="1"/>
  <c r="F9" i="1" s="1"/>
  <c r="F12" i="3" l="1"/>
  <c r="F26" i="1"/>
  <c r="F27" i="1" s="1"/>
  <c r="F18" i="3"/>
  <c r="F19" i="3" s="1"/>
  <c r="F10" i="3"/>
  <c r="F26" i="2"/>
  <c r="F27" i="2" s="1"/>
  <c r="I25" i="1"/>
  <c r="I13" i="2"/>
  <c r="I17" i="2" s="1"/>
  <c r="I17" i="3"/>
  <c r="I19" i="3" s="1"/>
  <c r="D27" i="3"/>
  <c r="I8" i="3"/>
  <c r="I15" i="3"/>
  <c r="F25" i="3"/>
  <c r="J25" i="3" s="1"/>
  <c r="F8" i="3"/>
  <c r="D35" i="2"/>
  <c r="D23" i="2"/>
  <c r="I25" i="2"/>
  <c r="J9" i="2"/>
  <c r="I22" i="2"/>
  <c r="J22" i="2" s="1"/>
  <c r="I20" i="2"/>
  <c r="I27" i="2"/>
  <c r="I33" i="2"/>
  <c r="J33" i="2" s="1"/>
  <c r="F13" i="2"/>
  <c r="F11" i="2"/>
  <c r="D17" i="1"/>
  <c r="D23" i="1" s="1"/>
  <c r="D34" i="1" s="1"/>
  <c r="F11" i="1"/>
  <c r="F17" i="1" s="1"/>
  <c r="F23" i="1" s="1"/>
  <c r="I13" i="1"/>
  <c r="I17" i="1" s="1"/>
  <c r="J22" i="1"/>
  <c r="I9" i="1"/>
  <c r="I27" i="1"/>
  <c r="I32" i="1"/>
  <c r="J32" i="1" s="1"/>
  <c r="F34" i="1" l="1"/>
  <c r="F35" i="1" s="1"/>
  <c r="F36" i="1" s="1"/>
  <c r="F15" i="3"/>
  <c r="J27" i="2"/>
  <c r="F17" i="2"/>
  <c r="F23" i="2" s="1"/>
  <c r="F35" i="2" s="1"/>
  <c r="F36" i="2" s="1"/>
  <c r="F37" i="2" s="1"/>
  <c r="J19" i="3"/>
  <c r="D29" i="3"/>
  <c r="D28" i="3"/>
  <c r="F27" i="3"/>
  <c r="F28" i="3" s="1"/>
  <c r="J15" i="3"/>
  <c r="J8" i="3"/>
  <c r="I27" i="3"/>
  <c r="D36" i="2"/>
  <c r="D37" i="2" s="1"/>
  <c r="I23" i="2"/>
  <c r="D35" i="1"/>
  <c r="D36" i="1" s="1"/>
  <c r="J27" i="1"/>
  <c r="J9" i="1"/>
  <c r="J17" i="1"/>
  <c r="I23" i="1"/>
  <c r="J23" i="1" s="1"/>
  <c r="F29" i="3" l="1"/>
  <c r="J17" i="2"/>
  <c r="I28" i="3"/>
  <c r="I29" i="3" s="1"/>
  <c r="I34" i="1"/>
  <c r="I35" i="1" s="1"/>
  <c r="I36" i="1" s="1"/>
  <c r="D39" i="2"/>
  <c r="D38" i="2"/>
  <c r="F38" i="2"/>
  <c r="F39" i="2" s="1"/>
  <c r="J23" i="2"/>
  <c r="I35" i="2"/>
  <c r="D38" i="1"/>
  <c r="D37" i="1"/>
  <c r="F37" i="1"/>
  <c r="F38" i="1" s="1"/>
  <c r="J29" i="3" l="1"/>
  <c r="I36" i="2"/>
  <c r="I37" i="2" s="1"/>
  <c r="I37" i="1"/>
  <c r="I38" i="1" s="1"/>
  <c r="J38" i="1" s="1"/>
  <c r="I38" i="2" l="1"/>
  <c r="I39" i="2" s="1"/>
  <c r="J39" i="2" s="1"/>
</calcChain>
</file>

<file path=xl/sharedStrings.xml><?xml version="1.0" encoding="utf-8"?>
<sst xmlns="http://schemas.openxmlformats.org/spreadsheetml/2006/main" count="112" uniqueCount="47">
  <si>
    <t>Volume</t>
  </si>
  <si>
    <t>Assumed Growth Rate for No Acquisition Scenario</t>
  </si>
  <si>
    <t>Monthly Consumption (kWh)</t>
  </si>
  <si>
    <t>Total Loss Factors</t>
  </si>
  <si>
    <t>TOU - Off Peak Consumption</t>
  </si>
  <si>
    <t>TOU - Mid Peak Consumption</t>
  </si>
  <si>
    <t>TOU - On Peak Consumption</t>
  </si>
  <si>
    <t>Total: Commodity</t>
  </si>
  <si>
    <t>DX Fixed Charge ($)</t>
  </si>
  <si>
    <t>DX Fixed Charge Rate Riders ($)</t>
  </si>
  <si>
    <t>DX Vol. Charge ($/kWh)</t>
  </si>
  <si>
    <t>DX Low Voltage Charge ($/kWh)</t>
  </si>
  <si>
    <t>DX Vol. Rate Riders ($/kWh)</t>
  </si>
  <si>
    <t>Smart Meter Entity Charge ($)</t>
  </si>
  <si>
    <t>Cost of Losses ($/kWh)</t>
  </si>
  <si>
    <t>Distribution Pass-through Charges</t>
  </si>
  <si>
    <t>Total: Distribution</t>
  </si>
  <si>
    <t>TX-Network ($/kWh)</t>
  </si>
  <si>
    <t>TX-Connection ($/kWh)</t>
  </si>
  <si>
    <t>Total: Transmission</t>
  </si>
  <si>
    <t>WMSC ($/kWh)</t>
  </si>
  <si>
    <t>RRRP ($/kWh)</t>
  </si>
  <si>
    <t>SSA ($)</t>
  </si>
  <si>
    <t>Total: Regulatory</t>
  </si>
  <si>
    <t>Total Bill (Before Taxes)</t>
  </si>
  <si>
    <t xml:space="preserve">    HST</t>
  </si>
  <si>
    <t>Total Bill (Including HST)</t>
  </si>
  <si>
    <t xml:space="preserve">   OREC</t>
  </si>
  <si>
    <t>Total Bill (Including HST &amp; OREC)</t>
  </si>
  <si>
    <t>Charges ($)</t>
  </si>
  <si>
    <t>2021 Escalated Acquired Utility Rates</t>
  </si>
  <si>
    <t>2021 Hydro One Proposed Rates</t>
  </si>
  <si>
    <t xml:space="preserve"> Charges ($)</t>
  </si>
  <si>
    <t>2021 Hydro One Proposed VS Escalated Acquired Utility Charges (%)</t>
  </si>
  <si>
    <t>DRC ($/kWh)</t>
  </si>
  <si>
    <t>Peak (kW)</t>
  </si>
  <si>
    <t>Avg IESO WMP (Per 2018 IRM Model)</t>
  </si>
  <si>
    <t>DX Vol. Charge ($/kW)</t>
  </si>
  <si>
    <t>DX Low Voltage Charge ($/kW)</t>
  </si>
  <si>
    <t>DX Vol. Rate Riders ($/kW)</t>
  </si>
  <si>
    <t>TX-Network ($/kW)</t>
  </si>
  <si>
    <t>TX-Connection ($/kW)</t>
  </si>
  <si>
    <t>Distribution (Excl. Pass-through Charges)</t>
  </si>
  <si>
    <t>Haldimand_Residential</t>
  </si>
  <si>
    <t>Haldimand_General Service Less Than 50 kW</t>
  </si>
  <si>
    <t>Haldimand_General Service 50-4,999 kW</t>
  </si>
  <si>
    <t>Acquired Utility Rates at the time of Acquisition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</si>
</sst>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0"/>
    <numFmt numFmtId="165" formatCode="0.000"/>
    <numFmt numFmtId="166" formatCode="&quot;$&quot;#,##0.00"/>
    <numFmt numFmtId="167" formatCode="0.0000"/>
    <numFmt numFmtId="168" formatCode="0.0%"/>
    <numFmt numFmtId="169" formatCode="#,##0.000_);\(#,##0.000\)"/>
    <numFmt numFmtId="170" formatCode="#,##0.0000_);\(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0" fontId="4" fillId="0" borderId="8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0" fontId="4" fillId="0" borderId="12" xfId="2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16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0" fontId="1" fillId="0" borderId="0" xfId="2" applyNumberFormat="1" applyFont="1"/>
    <xf numFmtId="10" fontId="0" fillId="2" borderId="0" xfId="0" applyNumberFormat="1" applyFill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0" fontId="2" fillId="0" borderId="0" xfId="2" applyNumberFormat="1" applyFont="1"/>
    <xf numFmtId="1" fontId="3" fillId="0" borderId="11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9" fontId="4" fillId="0" borderId="11" xfId="2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3" fillId="0" borderId="3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10" fontId="1" fillId="0" borderId="0" xfId="2" applyNumberFormat="1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7" fontId="4" fillId="0" borderId="11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3" fillId="0" borderId="3" xfId="2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center"/>
    </xf>
    <xf numFmtId="168" fontId="3" fillId="0" borderId="12" xfId="2" applyNumberFormat="1" applyFont="1" applyBorder="1" applyAlignment="1">
      <alignment horizontal="center"/>
    </xf>
    <xf numFmtId="168" fontId="4" fillId="0" borderId="12" xfId="2" applyNumberFormat="1" applyFont="1" applyBorder="1" applyAlignment="1">
      <alignment horizontal="center"/>
    </xf>
    <xf numFmtId="168" fontId="3" fillId="0" borderId="1" xfId="2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0" fontId="4" fillId="0" borderId="9" xfId="2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0" fontId="4" fillId="0" borderId="10" xfId="2" applyNumberFormat="1" applyFont="1" applyBorder="1" applyAlignment="1">
      <alignment horizontal="center"/>
    </xf>
    <xf numFmtId="9" fontId="1" fillId="0" borderId="0" xfId="2" applyFont="1"/>
    <xf numFmtId="9" fontId="4" fillId="0" borderId="13" xfId="2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2" xfId="2" applyNumberFormat="1" applyFont="1" applyBorder="1" applyAlignment="1">
      <alignment horizontal="center"/>
    </xf>
    <xf numFmtId="166" fontId="4" fillId="0" borderId="1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4" fillId="0" borderId="15" xfId="2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8" fontId="3" fillId="0" borderId="10" xfId="2" applyNumberFormat="1" applyFont="1" applyBorder="1" applyAlignment="1">
      <alignment horizontal="center"/>
    </xf>
    <xf numFmtId="168" fontId="4" fillId="0" borderId="10" xfId="2" applyNumberFormat="1" applyFont="1" applyBorder="1" applyAlignment="1">
      <alignment horizontal="center"/>
    </xf>
    <xf numFmtId="37" fontId="3" fillId="0" borderId="7" xfId="1" applyNumberFormat="1" applyFont="1" applyBorder="1" applyAlignment="1">
      <alignment horizontal="center"/>
    </xf>
    <xf numFmtId="37" fontId="3" fillId="0" borderId="9" xfId="1" applyNumberFormat="1" applyFont="1" applyBorder="1" applyAlignment="1">
      <alignment horizontal="center"/>
    </xf>
    <xf numFmtId="37" fontId="3" fillId="0" borderId="11" xfId="1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7" fontId="3" fillId="0" borderId="10" xfId="1" applyNumberFormat="1" applyFont="1" applyBorder="1" applyAlignment="1">
      <alignment horizontal="center"/>
    </xf>
    <xf numFmtId="37" fontId="4" fillId="0" borderId="10" xfId="0" applyNumberFormat="1" applyFont="1" applyBorder="1" applyAlignment="1">
      <alignment horizontal="center"/>
    </xf>
    <xf numFmtId="37" fontId="3" fillId="0" borderId="10" xfId="0" applyNumberFormat="1" applyFont="1" applyBorder="1" applyAlignment="1">
      <alignment horizontal="center"/>
    </xf>
    <xf numFmtId="37" fontId="4" fillId="0" borderId="10" xfId="0" applyNumberFormat="1" applyFont="1" applyFill="1" applyBorder="1" applyAlignment="1">
      <alignment horizontal="center"/>
    </xf>
    <xf numFmtId="37" fontId="4" fillId="0" borderId="11" xfId="0" applyNumberFormat="1" applyFont="1" applyBorder="1" applyAlignment="1">
      <alignment horizontal="center"/>
    </xf>
    <xf numFmtId="37" fontId="3" fillId="0" borderId="11" xfId="0" applyNumberFormat="1" applyFont="1" applyBorder="1" applyAlignment="1">
      <alignment horizontal="center"/>
    </xf>
    <xf numFmtId="37" fontId="3" fillId="0" borderId="12" xfId="1" applyNumberFormat="1" applyFont="1" applyBorder="1" applyAlignment="1">
      <alignment horizontal="center"/>
    </xf>
    <xf numFmtId="39" fontId="4" fillId="0" borderId="11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3" fillId="0" borderId="1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8" fontId="3" fillId="0" borderId="4" xfId="2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C2" sqref="C2"/>
    </sheetView>
  </sheetViews>
  <sheetFormatPr defaultRowHeight="14.4" x14ac:dyDescent="0.3"/>
  <cols>
    <col min="1" max="1" width="34.88671875" style="54" bestFit="1" customWidth="1"/>
    <col min="2" max="4" width="12.33203125" style="16" customWidth="1"/>
    <col min="5" max="6" width="12.33203125" customWidth="1"/>
    <col min="7" max="10" width="12.33203125" style="16" customWidth="1"/>
    <col min="13" max="13" width="17.5546875" hidden="1" customWidth="1"/>
  </cols>
  <sheetData>
    <row r="1" spans="1:13" s="2" customFormat="1" ht="15.75" thickBot="1" x14ac:dyDescent="0.3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20"/>
      <c r="M1" s="3"/>
    </row>
    <row r="2" spans="1:13" s="6" customFormat="1" ht="77.25" thickBot="1" x14ac:dyDescent="0.3">
      <c r="A2" s="4"/>
      <c r="B2" s="5" t="s">
        <v>0</v>
      </c>
      <c r="C2" s="66" t="s">
        <v>46</v>
      </c>
      <c r="D2" s="67" t="s">
        <v>29</v>
      </c>
      <c r="E2" s="68" t="s">
        <v>30</v>
      </c>
      <c r="F2" s="68" t="s">
        <v>29</v>
      </c>
      <c r="G2" s="5" t="s">
        <v>0</v>
      </c>
      <c r="H2" s="66" t="s">
        <v>31</v>
      </c>
      <c r="I2" s="67" t="s">
        <v>32</v>
      </c>
      <c r="J2" s="5" t="s">
        <v>33</v>
      </c>
      <c r="M2" s="7" t="s">
        <v>1</v>
      </c>
    </row>
    <row r="3" spans="1:13" s="16" customFormat="1" ht="15" x14ac:dyDescent="0.25">
      <c r="A3" s="8" t="s">
        <v>2</v>
      </c>
      <c r="B3" s="9">
        <v>750</v>
      </c>
      <c r="C3" s="9"/>
      <c r="D3" s="64"/>
      <c r="E3" s="11"/>
      <c r="F3" s="11"/>
      <c r="G3" s="12">
        <v>750</v>
      </c>
      <c r="H3" s="13"/>
      <c r="I3" s="14"/>
      <c r="J3" s="15"/>
      <c r="M3" s="17"/>
    </row>
    <row r="4" spans="1:13" s="16" customFormat="1" ht="15" x14ac:dyDescent="0.25">
      <c r="A4" s="18" t="s">
        <v>3</v>
      </c>
      <c r="B4" s="19">
        <v>1.0654999999999999</v>
      </c>
      <c r="C4" s="19"/>
      <c r="D4" s="65"/>
      <c r="E4" s="20"/>
      <c r="F4" s="20"/>
      <c r="G4" s="21">
        <v>1.0667</v>
      </c>
      <c r="H4" s="22"/>
      <c r="I4" s="23"/>
      <c r="J4" s="24"/>
      <c r="M4" s="17"/>
    </row>
    <row r="5" spans="1:13" ht="15" x14ac:dyDescent="0.25">
      <c r="A5" s="25"/>
      <c r="B5" s="26"/>
      <c r="C5" s="26"/>
      <c r="D5" s="23"/>
      <c r="E5" s="22"/>
      <c r="F5" s="22"/>
      <c r="G5" s="27"/>
      <c r="H5" s="22"/>
      <c r="I5" s="23"/>
      <c r="J5" s="24"/>
      <c r="M5" s="17"/>
    </row>
    <row r="6" spans="1:13" ht="15" x14ac:dyDescent="0.25">
      <c r="A6" s="25" t="s">
        <v>4</v>
      </c>
      <c r="B6" s="28">
        <f>($B$3)*0.65</f>
        <v>487.5</v>
      </c>
      <c r="C6" s="29">
        <v>6.5000000000000002E-2</v>
      </c>
      <c r="D6" s="33">
        <f>B6*C6</f>
        <v>31.6875</v>
      </c>
      <c r="E6" s="32">
        <v>6.5000000000000002E-2</v>
      </c>
      <c r="F6" s="30">
        <f>B6*E6</f>
        <v>31.6875</v>
      </c>
      <c r="G6" s="31">
        <f>($B$3)*0.65</f>
        <v>487.5</v>
      </c>
      <c r="H6" s="32">
        <f>E6</f>
        <v>6.5000000000000002E-2</v>
      </c>
      <c r="I6" s="33">
        <f>G6*H6</f>
        <v>31.6875</v>
      </c>
      <c r="J6" s="24"/>
      <c r="M6" s="17"/>
    </row>
    <row r="7" spans="1:13" ht="15" x14ac:dyDescent="0.25">
      <c r="A7" s="25" t="s">
        <v>5</v>
      </c>
      <c r="B7" s="28">
        <f>($B$3)*0.17</f>
        <v>127.50000000000001</v>
      </c>
      <c r="C7" s="29">
        <v>9.5000000000000001E-2</v>
      </c>
      <c r="D7" s="33">
        <f>B7*C7</f>
        <v>12.112500000000001</v>
      </c>
      <c r="E7" s="32">
        <v>9.5000000000000001E-2</v>
      </c>
      <c r="F7" s="30">
        <f>B7*E7</f>
        <v>12.112500000000001</v>
      </c>
      <c r="G7" s="31">
        <f>($B$3)*0.17</f>
        <v>127.50000000000001</v>
      </c>
      <c r="H7" s="32">
        <f>E7</f>
        <v>9.5000000000000001E-2</v>
      </c>
      <c r="I7" s="33">
        <f>G7*H7</f>
        <v>12.112500000000001</v>
      </c>
      <c r="J7" s="24"/>
      <c r="M7" s="17"/>
    </row>
    <row r="8" spans="1:13" ht="15" x14ac:dyDescent="0.25">
      <c r="A8" s="25" t="s">
        <v>6</v>
      </c>
      <c r="B8" s="28">
        <f>($B$3)*0.18</f>
        <v>135</v>
      </c>
      <c r="C8" s="29">
        <v>0.13200000000000001</v>
      </c>
      <c r="D8" s="33">
        <f>B8*C8</f>
        <v>17.82</v>
      </c>
      <c r="E8" s="32">
        <v>0.13200000000000001</v>
      </c>
      <c r="F8" s="30">
        <f>B8*E8</f>
        <v>17.82</v>
      </c>
      <c r="G8" s="31">
        <f>($B$3)*0.18</f>
        <v>135</v>
      </c>
      <c r="H8" s="32">
        <f>E8</f>
        <v>0.13200000000000001</v>
      </c>
      <c r="I8" s="33">
        <f>G8*H8</f>
        <v>17.82</v>
      </c>
      <c r="J8" s="24"/>
      <c r="M8" s="17"/>
    </row>
    <row r="9" spans="1:13" s="2" customFormat="1" ht="15" x14ac:dyDescent="0.25">
      <c r="A9" s="34" t="s">
        <v>7</v>
      </c>
      <c r="B9" s="19"/>
      <c r="C9" s="19"/>
      <c r="D9" s="37">
        <f>SUM(D6:D8)</f>
        <v>61.62</v>
      </c>
      <c r="E9" s="36"/>
      <c r="F9" s="35">
        <f>SUM(F6:F8)</f>
        <v>61.62</v>
      </c>
      <c r="G9" s="21"/>
      <c r="H9" s="36"/>
      <c r="I9" s="37">
        <f>SUM(I6:I8)</f>
        <v>61.62</v>
      </c>
      <c r="J9" s="70">
        <f>(I9-F9)/F9</f>
        <v>0</v>
      </c>
      <c r="M9" s="38"/>
    </row>
    <row r="10" spans="1:13" s="2" customFormat="1" ht="15" x14ac:dyDescent="0.25">
      <c r="A10" s="34"/>
      <c r="B10" s="19"/>
      <c r="C10" s="19"/>
      <c r="D10" s="37"/>
      <c r="E10" s="36"/>
      <c r="F10" s="35"/>
      <c r="G10" s="21"/>
      <c r="H10" s="36"/>
      <c r="I10" s="37"/>
      <c r="J10" s="70"/>
      <c r="M10" s="38"/>
    </row>
    <row r="11" spans="1:13" ht="15" x14ac:dyDescent="0.25">
      <c r="A11" s="25" t="s">
        <v>8</v>
      </c>
      <c r="B11" s="26">
        <v>1</v>
      </c>
      <c r="C11" s="26">
        <v>17.010000000000002</v>
      </c>
      <c r="D11" s="33">
        <f>B11*C11</f>
        <v>17.010000000000002</v>
      </c>
      <c r="E11" s="59">
        <v>41.12</v>
      </c>
      <c r="F11" s="56">
        <f>B11*E11</f>
        <v>41.12</v>
      </c>
      <c r="G11" s="57">
        <v>1</v>
      </c>
      <c r="H11" s="59">
        <v>37.700000000000003</v>
      </c>
      <c r="I11" s="33">
        <f>G11*H11</f>
        <v>37.700000000000003</v>
      </c>
      <c r="J11" s="71"/>
      <c r="K11" s="39"/>
      <c r="M11" s="40">
        <v>1.0500000000000001E-2</v>
      </c>
    </row>
    <row r="12" spans="1:13" ht="15" x14ac:dyDescent="0.25">
      <c r="A12" s="25" t="s">
        <v>9</v>
      </c>
      <c r="B12" s="26">
        <v>1</v>
      </c>
      <c r="C12" s="44">
        <v>0</v>
      </c>
      <c r="D12" s="33">
        <f>B12*C12</f>
        <v>0</v>
      </c>
      <c r="E12" s="59">
        <v>0</v>
      </c>
      <c r="F12" s="56">
        <f>B12*E12</f>
        <v>0</v>
      </c>
      <c r="G12" s="57">
        <v>1</v>
      </c>
      <c r="H12" s="59">
        <f>E12</f>
        <v>0</v>
      </c>
      <c r="I12" s="33">
        <f>G12*H12</f>
        <v>0</v>
      </c>
      <c r="J12" s="71"/>
      <c r="K12" s="39"/>
      <c r="M12" s="17"/>
    </row>
    <row r="13" spans="1:13" ht="15" x14ac:dyDescent="0.25">
      <c r="A13" s="25" t="s">
        <v>10</v>
      </c>
      <c r="B13" s="26">
        <f>B3</f>
        <v>750</v>
      </c>
      <c r="C13" s="26">
        <v>2.4799999999999999E-2</v>
      </c>
      <c r="D13" s="33">
        <f>B13*C13</f>
        <v>18.599999999999998</v>
      </c>
      <c r="E13" s="61">
        <v>0</v>
      </c>
      <c r="F13" s="56">
        <f>B13*E13</f>
        <v>0</v>
      </c>
      <c r="G13" s="57">
        <f>G3</f>
        <v>750</v>
      </c>
      <c r="H13" s="61">
        <v>0</v>
      </c>
      <c r="I13" s="33">
        <f>G13*H13</f>
        <v>0</v>
      </c>
      <c r="J13" s="71"/>
      <c r="K13" s="39"/>
      <c r="M13" s="40">
        <f>M11</f>
        <v>1.0500000000000001E-2</v>
      </c>
    </row>
    <row r="14" spans="1:13" ht="15" x14ac:dyDescent="0.25">
      <c r="A14" s="25" t="s">
        <v>11</v>
      </c>
      <c r="B14" s="26">
        <f>B3</f>
        <v>750</v>
      </c>
      <c r="C14" s="26">
        <v>4.0000000000000002E-4</v>
      </c>
      <c r="D14" s="33">
        <f>B14*C14</f>
        <v>0.3</v>
      </c>
      <c r="E14" s="22">
        <v>4.0000000000000002E-4</v>
      </c>
      <c r="F14" s="30">
        <f>B14*E14</f>
        <v>0.3</v>
      </c>
      <c r="G14" s="27">
        <f>G3</f>
        <v>750</v>
      </c>
      <c r="H14" s="42">
        <v>0</v>
      </c>
      <c r="I14" s="33">
        <f>G14*H14</f>
        <v>0</v>
      </c>
      <c r="J14" s="71"/>
      <c r="K14" s="39"/>
    </row>
    <row r="15" spans="1:13" ht="15" x14ac:dyDescent="0.25">
      <c r="A15" s="25" t="s">
        <v>12</v>
      </c>
      <c r="B15" s="26">
        <f>B3</f>
        <v>750</v>
      </c>
      <c r="C15" s="26">
        <f>-0.0014+0.0021-0.0015+0.0002</f>
        <v>-6.0000000000000016E-4</v>
      </c>
      <c r="D15" s="33">
        <f>B15*C15</f>
        <v>-0.45000000000000012</v>
      </c>
      <c r="E15" s="42">
        <v>0</v>
      </c>
      <c r="F15" s="30">
        <f>B15*E15</f>
        <v>0</v>
      </c>
      <c r="G15" s="27">
        <f>G3</f>
        <v>750</v>
      </c>
      <c r="H15" s="42">
        <v>0</v>
      </c>
      <c r="I15" s="33">
        <f>G15*H15</f>
        <v>0</v>
      </c>
      <c r="J15" s="71"/>
      <c r="K15" s="39"/>
    </row>
    <row r="16" spans="1:13" ht="15.75" thickBot="1" x14ac:dyDescent="0.3">
      <c r="A16" s="25"/>
      <c r="B16" s="26"/>
      <c r="C16" s="26"/>
      <c r="D16" s="33"/>
      <c r="E16" s="42"/>
      <c r="F16" s="30"/>
      <c r="G16" s="27"/>
      <c r="H16" s="42"/>
      <c r="I16" s="33"/>
      <c r="J16" s="71"/>
    </row>
    <row r="17" spans="1:11" ht="15.75" thickBot="1" x14ac:dyDescent="0.3">
      <c r="A17" s="108" t="s">
        <v>42</v>
      </c>
      <c r="B17" s="109"/>
      <c r="C17" s="109"/>
      <c r="D17" s="52">
        <f>SUM(D11,D12,D13,D14,D15)</f>
        <v>35.459999999999994</v>
      </c>
      <c r="E17" s="110"/>
      <c r="F17" s="81">
        <f>SUM(F11,F12,F13,F14,F15)</f>
        <v>41.419999999999995</v>
      </c>
      <c r="G17" s="111"/>
      <c r="H17" s="110"/>
      <c r="I17" s="52">
        <f>SUM(I11,I12,I13,I14,I15)</f>
        <v>37.700000000000003</v>
      </c>
      <c r="J17" s="112">
        <f>(I17-F17)/F17</f>
        <v>-8.9811685176243175E-2</v>
      </c>
    </row>
    <row r="18" spans="1:11" ht="15" x14ac:dyDescent="0.25">
      <c r="A18" s="34"/>
      <c r="B18" s="26"/>
      <c r="C18" s="26"/>
      <c r="D18" s="33"/>
      <c r="E18" s="42"/>
      <c r="F18" s="35"/>
      <c r="G18" s="27"/>
      <c r="H18" s="42"/>
      <c r="I18" s="37"/>
      <c r="J18" s="70"/>
    </row>
    <row r="19" spans="1:11" ht="15" x14ac:dyDescent="0.25">
      <c r="A19" s="25" t="s">
        <v>13</v>
      </c>
      <c r="B19" s="26">
        <v>1</v>
      </c>
      <c r="C19" s="26">
        <v>0.79</v>
      </c>
      <c r="D19" s="33">
        <f>B19*C19</f>
        <v>0.79</v>
      </c>
      <c r="E19" s="41">
        <v>0.79</v>
      </c>
      <c r="F19" s="30">
        <f>B19*E19</f>
        <v>0.79</v>
      </c>
      <c r="G19" s="27">
        <v>1</v>
      </c>
      <c r="H19" s="41">
        <v>0.79</v>
      </c>
      <c r="I19" s="33">
        <f>G19*H19</f>
        <v>0.79</v>
      </c>
      <c r="J19" s="70"/>
    </row>
    <row r="20" spans="1:11" ht="15" x14ac:dyDescent="0.25">
      <c r="A20" s="25" t="s">
        <v>14</v>
      </c>
      <c r="B20" s="28">
        <f>(B3*B4)-B3</f>
        <v>49.124999999999886</v>
      </c>
      <c r="C20" s="43">
        <f>C6*0.65+C7*0.17+C8*0.18</f>
        <v>8.2160000000000011E-2</v>
      </c>
      <c r="D20" s="33">
        <f>B20*C20</f>
        <v>4.036109999999991</v>
      </c>
      <c r="E20" s="42">
        <f>E6*0.65+E7*0.17+E8*0.18</f>
        <v>8.2160000000000011E-2</v>
      </c>
      <c r="F20" s="30">
        <f>B20*E20</f>
        <v>4.036109999999991</v>
      </c>
      <c r="G20" s="31">
        <f>(G3*G4)-G3</f>
        <v>50.024999999999977</v>
      </c>
      <c r="H20" s="42">
        <f>E20</f>
        <v>8.2160000000000011E-2</v>
      </c>
      <c r="I20" s="33">
        <f>G20*H20</f>
        <v>4.110053999999999</v>
      </c>
      <c r="J20" s="70"/>
    </row>
    <row r="21" spans="1:11" ht="15" x14ac:dyDescent="0.25">
      <c r="A21" s="25"/>
      <c r="B21" s="26"/>
      <c r="C21" s="26"/>
      <c r="D21" s="33"/>
      <c r="E21" s="42"/>
      <c r="F21" s="35"/>
      <c r="G21" s="27"/>
      <c r="H21" s="42"/>
      <c r="I21" s="37"/>
      <c r="J21" s="70"/>
    </row>
    <row r="22" spans="1:11" ht="15" x14ac:dyDescent="0.25">
      <c r="A22" s="34" t="s">
        <v>15</v>
      </c>
      <c r="B22" s="26"/>
      <c r="C22" s="26"/>
      <c r="D22" s="37">
        <f>D19+D20</f>
        <v>4.826109999999991</v>
      </c>
      <c r="E22" s="42"/>
      <c r="F22" s="35">
        <f>F19+F20</f>
        <v>4.826109999999991</v>
      </c>
      <c r="G22" s="27"/>
      <c r="H22" s="42"/>
      <c r="I22" s="37">
        <f>I19+I20</f>
        <v>4.900053999999999</v>
      </c>
      <c r="J22" s="70">
        <f>(I22-F22)/F22</f>
        <v>1.5321656572272108E-2</v>
      </c>
    </row>
    <row r="23" spans="1:11" s="2" customFormat="1" ht="15" x14ac:dyDescent="0.25">
      <c r="A23" s="34" t="s">
        <v>16</v>
      </c>
      <c r="B23" s="19"/>
      <c r="C23" s="19"/>
      <c r="D23" s="37">
        <f>D17+D22</f>
        <v>40.286109999999987</v>
      </c>
      <c r="E23" s="36"/>
      <c r="F23" s="35">
        <f>F17+F22</f>
        <v>46.246109999999987</v>
      </c>
      <c r="G23" s="21"/>
      <c r="H23" s="36"/>
      <c r="I23" s="37">
        <f>I17+I22</f>
        <v>42.600054</v>
      </c>
      <c r="J23" s="70">
        <f>(I23-F23)/F23</f>
        <v>-7.8840274349561257E-2</v>
      </c>
      <c r="K23" s="45"/>
    </row>
    <row r="24" spans="1:11" s="2" customFormat="1" ht="15" x14ac:dyDescent="0.25">
      <c r="A24" s="34"/>
      <c r="B24" s="19"/>
      <c r="C24" s="19"/>
      <c r="D24" s="37"/>
      <c r="E24" s="36"/>
      <c r="F24" s="35"/>
      <c r="G24" s="21"/>
      <c r="H24" s="36"/>
      <c r="I24" s="37"/>
      <c r="J24" s="70"/>
      <c r="K24" s="45"/>
    </row>
    <row r="25" spans="1:11" ht="15" x14ac:dyDescent="0.25">
      <c r="A25" s="25" t="s">
        <v>17</v>
      </c>
      <c r="B25" s="28">
        <f>B3*B4</f>
        <v>799.12499999999989</v>
      </c>
      <c r="C25" s="43">
        <v>6.7999999999999996E-3</v>
      </c>
      <c r="D25" s="33">
        <f>B25*C25</f>
        <v>5.4340499999999992</v>
      </c>
      <c r="E25" s="22">
        <v>6.4999999999999997E-3</v>
      </c>
      <c r="F25" s="30">
        <f>B25*E25</f>
        <v>5.1943124999999988</v>
      </c>
      <c r="G25" s="31">
        <f>G3*G4</f>
        <v>800.02499999999998</v>
      </c>
      <c r="H25" s="22">
        <v>7.1000000000000004E-3</v>
      </c>
      <c r="I25" s="33">
        <f>G25*H25</f>
        <v>5.6801775000000001</v>
      </c>
      <c r="J25" s="71"/>
    </row>
    <row r="26" spans="1:11" ht="15" x14ac:dyDescent="0.25">
      <c r="A26" s="25" t="s">
        <v>18</v>
      </c>
      <c r="B26" s="28">
        <f>B3*B4</f>
        <v>799.12499999999989</v>
      </c>
      <c r="C26" s="43">
        <v>5.1999999999999998E-3</v>
      </c>
      <c r="D26" s="33">
        <f>B26*C26</f>
        <v>4.1554499999999992</v>
      </c>
      <c r="E26" s="22">
        <v>5.4000000000000003E-3</v>
      </c>
      <c r="F26" s="30">
        <f>B26*E26</f>
        <v>4.3152749999999997</v>
      </c>
      <c r="G26" s="31">
        <f>G3*G4</f>
        <v>800.02499999999998</v>
      </c>
      <c r="H26" s="42">
        <v>6.0000000000000001E-3</v>
      </c>
      <c r="I26" s="33">
        <f>G26*H26</f>
        <v>4.8001500000000004</v>
      </c>
      <c r="J26" s="71"/>
    </row>
    <row r="27" spans="1:11" s="2" customFormat="1" x14ac:dyDescent="0.3">
      <c r="A27" s="34" t="s">
        <v>19</v>
      </c>
      <c r="B27" s="46"/>
      <c r="C27" s="69"/>
      <c r="D27" s="37">
        <f>SUM(D25:D26)</f>
        <v>9.5894999999999975</v>
      </c>
      <c r="E27" s="36"/>
      <c r="F27" s="35">
        <f>SUM(F25:F26)</f>
        <v>9.5095874999999985</v>
      </c>
      <c r="G27" s="47"/>
      <c r="H27" s="36"/>
      <c r="I27" s="37">
        <f>SUM(I25:I26)</f>
        <v>10.480327500000001</v>
      </c>
      <c r="J27" s="70">
        <f>(I27-F27)/F27</f>
        <v>0.10208013754539857</v>
      </c>
    </row>
    <row r="28" spans="1:11" s="2" customFormat="1" x14ac:dyDescent="0.3">
      <c r="A28" s="34"/>
      <c r="B28" s="46"/>
      <c r="C28" s="69"/>
      <c r="D28" s="37"/>
      <c r="E28" s="36"/>
      <c r="F28" s="35"/>
      <c r="G28" s="47"/>
      <c r="H28" s="36"/>
      <c r="I28" s="37"/>
      <c r="J28" s="70"/>
    </row>
    <row r="29" spans="1:11" x14ac:dyDescent="0.3">
      <c r="A29" s="25" t="s">
        <v>20</v>
      </c>
      <c r="B29" s="28">
        <f>B3*B4</f>
        <v>799.12499999999989</v>
      </c>
      <c r="C29" s="43">
        <v>3.5999999999999999E-3</v>
      </c>
      <c r="D29" s="33">
        <f>B29*C29</f>
        <v>2.8768499999999997</v>
      </c>
      <c r="E29" s="22">
        <v>3.5999999999999999E-3</v>
      </c>
      <c r="F29" s="30">
        <f>B29*E29</f>
        <v>2.8768499999999997</v>
      </c>
      <c r="G29" s="31">
        <f>G3*G4</f>
        <v>800.02499999999998</v>
      </c>
      <c r="H29" s="22">
        <f>E29</f>
        <v>3.5999999999999999E-3</v>
      </c>
      <c r="I29" s="33">
        <f>G29*H29</f>
        <v>2.88009</v>
      </c>
      <c r="J29" s="71"/>
    </row>
    <row r="30" spans="1:11" x14ac:dyDescent="0.3">
      <c r="A30" s="25" t="s">
        <v>21</v>
      </c>
      <c r="B30" s="28">
        <f>B3*B4</f>
        <v>799.12499999999989</v>
      </c>
      <c r="C30" s="43">
        <v>2.9999999999999997E-4</v>
      </c>
      <c r="D30" s="33">
        <f>B30*C30</f>
        <v>0.23973749999999994</v>
      </c>
      <c r="E30" s="22">
        <v>2.9999999999999997E-4</v>
      </c>
      <c r="F30" s="30">
        <f>B30*E30</f>
        <v>0.23973749999999994</v>
      </c>
      <c r="G30" s="31">
        <f>G3*G4</f>
        <v>800.02499999999998</v>
      </c>
      <c r="H30" s="22">
        <f>E30</f>
        <v>2.9999999999999997E-4</v>
      </c>
      <c r="I30" s="33">
        <f>G30*H30</f>
        <v>0.24000749999999998</v>
      </c>
      <c r="J30" s="71"/>
    </row>
    <row r="31" spans="1:11" x14ac:dyDescent="0.3">
      <c r="A31" s="25" t="s">
        <v>22</v>
      </c>
      <c r="B31" s="26">
        <v>1</v>
      </c>
      <c r="C31" s="26">
        <v>0.25</v>
      </c>
      <c r="D31" s="33">
        <f>B31*C31</f>
        <v>0.25</v>
      </c>
      <c r="E31" s="22">
        <v>0.25</v>
      </c>
      <c r="F31" s="30">
        <f>B31*E31</f>
        <v>0.25</v>
      </c>
      <c r="G31" s="27">
        <v>1</v>
      </c>
      <c r="H31" s="22">
        <f>E31</f>
        <v>0.25</v>
      </c>
      <c r="I31" s="33">
        <f>G31*H31</f>
        <v>0.25</v>
      </c>
      <c r="J31" s="71"/>
    </row>
    <row r="32" spans="1:11" s="2" customFormat="1" x14ac:dyDescent="0.3">
      <c r="A32" s="34" t="s">
        <v>23</v>
      </c>
      <c r="B32" s="19"/>
      <c r="C32" s="19"/>
      <c r="D32" s="37">
        <f>SUM(D29:D31)</f>
        <v>3.3665874999999996</v>
      </c>
      <c r="E32" s="36"/>
      <c r="F32" s="35">
        <f>SUM(F29:F31)</f>
        <v>3.3665874999999996</v>
      </c>
      <c r="G32" s="21"/>
      <c r="H32" s="36"/>
      <c r="I32" s="37">
        <f>SUM(I29:I31)</f>
        <v>3.3700975</v>
      </c>
      <c r="J32" s="70">
        <f>(I32-F32)/F32</f>
        <v>1.0425987739811743E-3</v>
      </c>
    </row>
    <row r="33" spans="1:10" s="2" customFormat="1" x14ac:dyDescent="0.3">
      <c r="A33" s="34"/>
      <c r="B33" s="19"/>
      <c r="C33" s="19"/>
      <c r="D33" s="37"/>
      <c r="E33" s="36"/>
      <c r="F33" s="35"/>
      <c r="G33" s="21"/>
      <c r="H33" s="36"/>
      <c r="I33" s="37"/>
      <c r="J33" s="70"/>
    </row>
    <row r="34" spans="1:10" x14ac:dyDescent="0.3">
      <c r="A34" s="25" t="s">
        <v>24</v>
      </c>
      <c r="B34" s="26"/>
      <c r="C34" s="26"/>
      <c r="D34" s="33">
        <f>SUM(D9,D23,D27,D32,)</f>
        <v>114.86219749999998</v>
      </c>
      <c r="E34" s="49"/>
      <c r="F34" s="30">
        <f>SUM(F9,F23,F27,F32,)</f>
        <v>120.74228499999998</v>
      </c>
      <c r="G34" s="27"/>
      <c r="H34" s="49"/>
      <c r="I34" s="33">
        <f>SUM(I9,I23,I27,I32,)</f>
        <v>118.07047900000001</v>
      </c>
      <c r="J34" s="71"/>
    </row>
    <row r="35" spans="1:10" x14ac:dyDescent="0.3">
      <c r="A35" s="25" t="s">
        <v>25</v>
      </c>
      <c r="B35" s="26"/>
      <c r="C35" s="48">
        <v>0.13</v>
      </c>
      <c r="D35" s="33">
        <f>D34*C35</f>
        <v>14.932085674999998</v>
      </c>
      <c r="E35" s="49">
        <v>0.13</v>
      </c>
      <c r="F35" s="30">
        <f>F34*E35</f>
        <v>15.696497049999998</v>
      </c>
      <c r="G35" s="27"/>
      <c r="H35" s="49">
        <v>0.13</v>
      </c>
      <c r="I35" s="33">
        <f>I34*H35</f>
        <v>15.349162270000001</v>
      </c>
      <c r="J35" s="71"/>
    </row>
    <row r="36" spans="1:10" x14ac:dyDescent="0.3">
      <c r="A36" s="25" t="s">
        <v>26</v>
      </c>
      <c r="B36" s="26"/>
      <c r="C36" s="48"/>
      <c r="D36" s="33">
        <f>D34+D35</f>
        <v>129.79428317499998</v>
      </c>
      <c r="E36" s="49"/>
      <c r="F36" s="30">
        <f>F34+F35</f>
        <v>136.43878204999999</v>
      </c>
      <c r="G36" s="27"/>
      <c r="H36" s="49"/>
      <c r="I36" s="33">
        <f>I34+I35</f>
        <v>133.41964127</v>
      </c>
      <c r="J36" s="71"/>
    </row>
    <row r="37" spans="1:10" ht="15" thickBot="1" x14ac:dyDescent="0.35">
      <c r="A37" s="25" t="s">
        <v>27</v>
      </c>
      <c r="B37" s="26"/>
      <c r="C37" s="48">
        <v>-0.08</v>
      </c>
      <c r="D37" s="33">
        <f>D36*C37</f>
        <v>-10.383542653999998</v>
      </c>
      <c r="E37" s="49">
        <v>-0.08</v>
      </c>
      <c r="F37" s="30">
        <f>F36*E37</f>
        <v>-10.915102564</v>
      </c>
      <c r="G37" s="50"/>
      <c r="H37" s="49">
        <v>-0.08</v>
      </c>
      <c r="I37" s="33">
        <f>I36*H37</f>
        <v>-10.673571301600001</v>
      </c>
      <c r="J37" s="71"/>
    </row>
    <row r="38" spans="1:10" s="2" customFormat="1" ht="15" thickBot="1" x14ac:dyDescent="0.35">
      <c r="A38" s="1" t="s">
        <v>28</v>
      </c>
      <c r="B38" s="62"/>
      <c r="C38" s="62"/>
      <c r="D38" s="52">
        <f>D36+D37</f>
        <v>119.41074052099998</v>
      </c>
      <c r="E38" s="63"/>
      <c r="F38" s="52">
        <f>F36+F37</f>
        <v>125.52367948599999</v>
      </c>
      <c r="G38" s="51"/>
      <c r="H38" s="53"/>
      <c r="I38" s="52">
        <f>I36+I37</f>
        <v>122.74606996839999</v>
      </c>
      <c r="J38" s="72">
        <f>(I38-F38)/F38</f>
        <v>-2.2128171584627529E-2</v>
      </c>
    </row>
    <row r="40" spans="1:10" x14ac:dyDescent="0.3">
      <c r="I40" s="55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selection activeCell="Q10" sqref="Q10"/>
    </sheetView>
  </sheetViews>
  <sheetFormatPr defaultRowHeight="14.4" x14ac:dyDescent="0.3"/>
  <cols>
    <col min="1" max="1" width="34.88671875" style="54" bestFit="1" customWidth="1"/>
    <col min="2" max="4" width="11.88671875" style="16" customWidth="1"/>
    <col min="5" max="6" width="11.88671875" customWidth="1"/>
    <col min="7" max="10" width="11.88671875" style="16" customWidth="1"/>
    <col min="13" max="13" width="20.33203125" hidden="1" customWidth="1"/>
  </cols>
  <sheetData>
    <row r="1" spans="1:13" s="2" customFormat="1" ht="15.75" thickBot="1" x14ac:dyDescent="0.3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20"/>
      <c r="M1" s="3"/>
    </row>
    <row r="2" spans="1:13" s="6" customFormat="1" ht="77.25" thickBot="1" x14ac:dyDescent="0.3">
      <c r="A2" s="4"/>
      <c r="B2" s="66" t="s">
        <v>0</v>
      </c>
      <c r="C2" s="66" t="s">
        <v>46</v>
      </c>
      <c r="D2" s="67" t="s">
        <v>29</v>
      </c>
      <c r="E2" s="68" t="s">
        <v>30</v>
      </c>
      <c r="F2" s="68" t="s">
        <v>29</v>
      </c>
      <c r="G2" s="5" t="s">
        <v>0</v>
      </c>
      <c r="H2" s="66" t="s">
        <v>31</v>
      </c>
      <c r="I2" s="67" t="s">
        <v>32</v>
      </c>
      <c r="J2" s="5" t="s">
        <v>33</v>
      </c>
      <c r="M2" s="7" t="s">
        <v>1</v>
      </c>
    </row>
    <row r="3" spans="1:13" s="16" customFormat="1" ht="15" x14ac:dyDescent="0.25">
      <c r="A3" s="8" t="s">
        <v>2</v>
      </c>
      <c r="B3" s="10">
        <v>2000</v>
      </c>
      <c r="C3" s="19"/>
      <c r="D3" s="65"/>
      <c r="E3" s="11"/>
      <c r="F3" s="73"/>
      <c r="G3" s="11">
        <v>2000</v>
      </c>
      <c r="H3" s="74"/>
      <c r="I3" s="14"/>
      <c r="J3" s="75"/>
      <c r="M3" s="17"/>
    </row>
    <row r="4" spans="1:13" s="16" customFormat="1" ht="15" x14ac:dyDescent="0.25">
      <c r="A4" s="18" t="s">
        <v>3</v>
      </c>
      <c r="B4" s="19">
        <v>1.0654999999999999</v>
      </c>
      <c r="C4" s="19"/>
      <c r="D4" s="65"/>
      <c r="E4" s="20"/>
      <c r="F4" s="76"/>
      <c r="G4" s="36">
        <v>1.0667</v>
      </c>
      <c r="H4" s="26"/>
      <c r="I4" s="23"/>
      <c r="J4" s="77"/>
      <c r="M4" s="17"/>
    </row>
    <row r="5" spans="1:13" ht="15" x14ac:dyDescent="0.25">
      <c r="A5" s="25"/>
      <c r="B5" s="26"/>
      <c r="C5" s="26"/>
      <c r="D5" s="23"/>
      <c r="E5" s="22"/>
      <c r="F5" s="23"/>
      <c r="G5" s="22"/>
      <c r="H5" s="26"/>
      <c r="I5" s="23"/>
      <c r="J5" s="77"/>
      <c r="M5" s="17"/>
    </row>
    <row r="6" spans="1:13" ht="15" x14ac:dyDescent="0.25">
      <c r="A6" s="25" t="s">
        <v>4</v>
      </c>
      <c r="B6" s="86">
        <f>($B$3)*0.65</f>
        <v>1300</v>
      </c>
      <c r="C6" s="29">
        <v>6.5000000000000002E-2</v>
      </c>
      <c r="D6" s="33">
        <f>B6*C6</f>
        <v>84.5</v>
      </c>
      <c r="E6" s="32">
        <v>6.5000000000000002E-2</v>
      </c>
      <c r="F6" s="33">
        <f>B6*E6</f>
        <v>84.5</v>
      </c>
      <c r="G6" s="88">
        <f>($B$3)*0.65</f>
        <v>1300</v>
      </c>
      <c r="H6" s="29">
        <f>E6</f>
        <v>6.5000000000000002E-2</v>
      </c>
      <c r="I6" s="33">
        <f>G6*H6</f>
        <v>84.5</v>
      </c>
      <c r="J6" s="77"/>
      <c r="K6" s="39"/>
      <c r="M6" s="17"/>
    </row>
    <row r="7" spans="1:13" ht="15" x14ac:dyDescent="0.25">
      <c r="A7" s="25" t="s">
        <v>5</v>
      </c>
      <c r="B7" s="86">
        <f>($B$3)*0.17</f>
        <v>340</v>
      </c>
      <c r="C7" s="29">
        <v>9.5000000000000001E-2</v>
      </c>
      <c r="D7" s="33">
        <f>B7*C7</f>
        <v>32.299999999999997</v>
      </c>
      <c r="E7" s="32">
        <v>9.5000000000000001E-2</v>
      </c>
      <c r="F7" s="33">
        <f>B7*E7</f>
        <v>32.299999999999997</v>
      </c>
      <c r="G7" s="88">
        <f>($B$3)*0.17</f>
        <v>340</v>
      </c>
      <c r="H7" s="29">
        <f>E7</f>
        <v>9.5000000000000001E-2</v>
      </c>
      <c r="I7" s="33">
        <f>G7*H7</f>
        <v>32.299999999999997</v>
      </c>
      <c r="J7" s="77"/>
      <c r="K7" s="39"/>
      <c r="M7" s="17"/>
    </row>
    <row r="8" spans="1:13" ht="15" x14ac:dyDescent="0.25">
      <c r="A8" s="25" t="s">
        <v>6</v>
      </c>
      <c r="B8" s="86">
        <f>($B$3)*0.18</f>
        <v>360</v>
      </c>
      <c r="C8" s="29">
        <v>0.13200000000000001</v>
      </c>
      <c r="D8" s="33">
        <f>B8*C8</f>
        <v>47.52</v>
      </c>
      <c r="E8" s="32">
        <v>0.13200000000000001</v>
      </c>
      <c r="F8" s="33">
        <f>B8*E8</f>
        <v>47.52</v>
      </c>
      <c r="G8" s="88">
        <f>($B$3)*0.18</f>
        <v>360</v>
      </c>
      <c r="H8" s="29">
        <f>E8</f>
        <v>0.13200000000000001</v>
      </c>
      <c r="I8" s="33">
        <f>G8*H8</f>
        <v>47.52</v>
      </c>
      <c r="J8" s="77"/>
      <c r="K8" s="39"/>
      <c r="M8" s="17"/>
    </row>
    <row r="9" spans="1:13" s="2" customFormat="1" ht="15" x14ac:dyDescent="0.25">
      <c r="A9" s="34" t="s">
        <v>7</v>
      </c>
      <c r="B9" s="87"/>
      <c r="C9" s="19"/>
      <c r="D9" s="37">
        <f>SUM(D6:D8)</f>
        <v>164.32</v>
      </c>
      <c r="E9" s="36"/>
      <c r="F9" s="37">
        <f>SUM(F6:F8)</f>
        <v>164.32</v>
      </c>
      <c r="G9" s="89"/>
      <c r="H9" s="19"/>
      <c r="I9" s="37">
        <f>SUM(I6:I8)</f>
        <v>164.32</v>
      </c>
      <c r="J9" s="91">
        <f>(I9-F9)/F9</f>
        <v>0</v>
      </c>
      <c r="K9" s="78"/>
      <c r="M9" s="38"/>
    </row>
    <row r="10" spans="1:13" s="2" customFormat="1" ht="15" x14ac:dyDescent="0.25">
      <c r="A10" s="34"/>
      <c r="B10" s="87"/>
      <c r="C10" s="19"/>
      <c r="D10" s="37"/>
      <c r="E10" s="36"/>
      <c r="F10" s="37"/>
      <c r="G10" s="89"/>
      <c r="H10" s="19"/>
      <c r="I10" s="37"/>
      <c r="J10" s="91"/>
      <c r="M10" s="38"/>
    </row>
    <row r="11" spans="1:13" ht="15" x14ac:dyDescent="0.25">
      <c r="A11" s="25" t="s">
        <v>8</v>
      </c>
      <c r="B11" s="86">
        <v>1</v>
      </c>
      <c r="C11" s="26">
        <v>26.94</v>
      </c>
      <c r="D11" s="33">
        <f>B11*C11</f>
        <v>26.94</v>
      </c>
      <c r="E11" s="59">
        <v>31.1</v>
      </c>
      <c r="F11" s="83">
        <f>B11*E11</f>
        <v>31.1</v>
      </c>
      <c r="G11" s="90">
        <v>1</v>
      </c>
      <c r="H11" s="58">
        <v>38.65</v>
      </c>
      <c r="I11" s="83">
        <f>G11*H11</f>
        <v>38.65</v>
      </c>
      <c r="J11" s="92"/>
      <c r="K11" s="39"/>
      <c r="M11" s="40">
        <v>1.0500000000000001E-2</v>
      </c>
    </row>
    <row r="12" spans="1:13" ht="15" x14ac:dyDescent="0.25">
      <c r="A12" s="25" t="s">
        <v>9</v>
      </c>
      <c r="B12" s="86">
        <v>1</v>
      </c>
      <c r="C12" s="44">
        <v>0</v>
      </c>
      <c r="D12" s="33">
        <f>B12*C12</f>
        <v>0</v>
      </c>
      <c r="E12" s="59">
        <v>0</v>
      </c>
      <c r="F12" s="83">
        <f>B12*E12</f>
        <v>0</v>
      </c>
      <c r="G12" s="90">
        <v>1</v>
      </c>
      <c r="H12" s="58">
        <f>E12</f>
        <v>0</v>
      </c>
      <c r="I12" s="83">
        <f>G12*H12</f>
        <v>0</v>
      </c>
      <c r="J12" s="92"/>
      <c r="K12" s="39"/>
      <c r="M12" s="17"/>
    </row>
    <row r="13" spans="1:13" ht="15" x14ac:dyDescent="0.25">
      <c r="A13" s="25" t="s">
        <v>10</v>
      </c>
      <c r="B13" s="86">
        <f>B3</f>
        <v>2000</v>
      </c>
      <c r="C13" s="26">
        <v>1.9E-2</v>
      </c>
      <c r="D13" s="33">
        <f>B13*C13</f>
        <v>38</v>
      </c>
      <c r="E13" s="61">
        <v>2.1899999999999999E-2</v>
      </c>
      <c r="F13" s="83">
        <f>B13*E13</f>
        <v>43.8</v>
      </c>
      <c r="G13" s="90">
        <f>G3</f>
        <v>2000</v>
      </c>
      <c r="H13" s="60">
        <v>1.77E-2</v>
      </c>
      <c r="I13" s="83">
        <f>G13*H13</f>
        <v>35.4</v>
      </c>
      <c r="J13" s="92"/>
      <c r="K13" s="39"/>
      <c r="M13" s="40">
        <f>M11</f>
        <v>1.0500000000000001E-2</v>
      </c>
    </row>
    <row r="14" spans="1:13" ht="15" x14ac:dyDescent="0.25">
      <c r="A14" s="25" t="s">
        <v>11</v>
      </c>
      <c r="B14" s="86">
        <f>B3</f>
        <v>2000</v>
      </c>
      <c r="C14" s="26">
        <v>4.0000000000000002E-4</v>
      </c>
      <c r="D14" s="33">
        <f>B14*C14</f>
        <v>0.8</v>
      </c>
      <c r="E14" s="84">
        <v>4.0000000000000002E-4</v>
      </c>
      <c r="F14" s="83">
        <f>B14*E14</f>
        <v>0.8</v>
      </c>
      <c r="G14" s="90">
        <f>G3</f>
        <v>2000</v>
      </c>
      <c r="H14" s="60">
        <v>0</v>
      </c>
      <c r="I14" s="83">
        <f>G14*H14</f>
        <v>0</v>
      </c>
      <c r="J14" s="92"/>
      <c r="K14" s="39"/>
    </row>
    <row r="15" spans="1:13" ht="15" x14ac:dyDescent="0.25">
      <c r="A15" s="25" t="s">
        <v>12</v>
      </c>
      <c r="B15" s="86">
        <f>B3</f>
        <v>2000</v>
      </c>
      <c r="C15" s="26">
        <f>-0.002+0.0019-0.001+0.0002</f>
        <v>-9.0000000000000008E-4</v>
      </c>
      <c r="D15" s="33">
        <f>B15*C15</f>
        <v>-1.8000000000000003</v>
      </c>
      <c r="E15" s="42">
        <v>0</v>
      </c>
      <c r="F15" s="33">
        <f>B15*E15</f>
        <v>0</v>
      </c>
      <c r="G15" s="88">
        <f>G3</f>
        <v>2000</v>
      </c>
      <c r="H15" s="43">
        <f>E15</f>
        <v>0</v>
      </c>
      <c r="I15" s="33">
        <f>G15*H15</f>
        <v>0</v>
      </c>
      <c r="J15" s="92"/>
      <c r="K15" s="39"/>
    </row>
    <row r="16" spans="1:13" ht="15.75" thickBot="1" x14ac:dyDescent="0.3">
      <c r="A16" s="25"/>
      <c r="B16" s="86"/>
      <c r="C16" s="26"/>
      <c r="D16" s="33"/>
      <c r="E16" s="42"/>
      <c r="F16" s="33"/>
      <c r="G16" s="88"/>
      <c r="H16" s="43"/>
      <c r="I16" s="33"/>
      <c r="J16" s="92"/>
    </row>
    <row r="17" spans="1:11" ht="15.75" thickBot="1" x14ac:dyDescent="0.3">
      <c r="A17" s="108" t="s">
        <v>42</v>
      </c>
      <c r="B17" s="113"/>
      <c r="C17" s="109"/>
      <c r="D17" s="52">
        <f>SUM(D11,D13,D14,D12,D15)</f>
        <v>63.94</v>
      </c>
      <c r="E17" s="110"/>
      <c r="F17" s="52">
        <f>SUM(F11,F13,F14,F12,F15)</f>
        <v>75.7</v>
      </c>
      <c r="G17" s="114"/>
      <c r="H17" s="115"/>
      <c r="I17" s="52">
        <f>SUM(I11,I13,I14,I12,I15)</f>
        <v>74.05</v>
      </c>
      <c r="J17" s="72">
        <f>(I17-F17)/F17</f>
        <v>-2.1796565389696244E-2</v>
      </c>
    </row>
    <row r="18" spans="1:11" ht="15" x14ac:dyDescent="0.25">
      <c r="A18" s="34"/>
      <c r="B18" s="86"/>
      <c r="C18" s="26"/>
      <c r="D18" s="33"/>
      <c r="E18" s="42"/>
      <c r="F18" s="37"/>
      <c r="G18" s="88"/>
      <c r="H18" s="43"/>
      <c r="I18" s="37"/>
      <c r="J18" s="91"/>
    </row>
    <row r="19" spans="1:11" ht="15" x14ac:dyDescent="0.25">
      <c r="A19" s="25" t="s">
        <v>13</v>
      </c>
      <c r="B19" s="86">
        <v>1</v>
      </c>
      <c r="C19" s="26">
        <v>0.79</v>
      </c>
      <c r="D19" s="33">
        <f>B19*C19</f>
        <v>0.79</v>
      </c>
      <c r="E19" s="41">
        <v>0.79</v>
      </c>
      <c r="F19" s="33">
        <f>B19*E19</f>
        <v>0.79</v>
      </c>
      <c r="G19" s="88">
        <v>1</v>
      </c>
      <c r="H19" s="44">
        <v>0.79</v>
      </c>
      <c r="I19" s="33">
        <f>G19*H19</f>
        <v>0.79</v>
      </c>
      <c r="J19" s="91"/>
      <c r="K19" s="39"/>
    </row>
    <row r="20" spans="1:11" ht="15" x14ac:dyDescent="0.25">
      <c r="A20" s="25" t="s">
        <v>14</v>
      </c>
      <c r="B20" s="86">
        <f>(B3*B4)-B3</f>
        <v>131</v>
      </c>
      <c r="C20" s="43">
        <f>C6*0.65+C7*0.17+C8*0.18</f>
        <v>8.2160000000000011E-2</v>
      </c>
      <c r="D20" s="33">
        <f>B20*C20</f>
        <v>10.762960000000001</v>
      </c>
      <c r="E20" s="42">
        <f>E6*0.65+E7*0.17+E8*0.18</f>
        <v>8.2160000000000011E-2</v>
      </c>
      <c r="F20" s="33">
        <f>B20*E20</f>
        <v>10.762960000000001</v>
      </c>
      <c r="G20" s="88">
        <f>(G3*G4)-G3</f>
        <v>133.40000000000009</v>
      </c>
      <c r="H20" s="43">
        <f>H6*0.65+H7*0.17+H8*0.18</f>
        <v>8.2160000000000011E-2</v>
      </c>
      <c r="I20" s="33">
        <f>G20*H20</f>
        <v>10.960144000000009</v>
      </c>
      <c r="J20" s="91"/>
      <c r="K20" s="39"/>
    </row>
    <row r="21" spans="1:11" ht="15" x14ac:dyDescent="0.25">
      <c r="A21" s="25"/>
      <c r="B21" s="86"/>
      <c r="C21" s="26"/>
      <c r="D21" s="33"/>
      <c r="E21" s="42"/>
      <c r="F21" s="37"/>
      <c r="G21" s="88"/>
      <c r="H21" s="43"/>
      <c r="I21" s="37"/>
      <c r="J21" s="91"/>
    </row>
    <row r="22" spans="1:11" ht="15" x14ac:dyDescent="0.25">
      <c r="A22" s="34" t="s">
        <v>15</v>
      </c>
      <c r="B22" s="86"/>
      <c r="C22" s="26"/>
      <c r="D22" s="37">
        <f>D19+D20</f>
        <v>11.552960000000002</v>
      </c>
      <c r="E22" s="42"/>
      <c r="F22" s="37">
        <f>F19+F20</f>
        <v>11.552960000000002</v>
      </c>
      <c r="G22" s="88"/>
      <c r="H22" s="43"/>
      <c r="I22" s="37">
        <f>I19+I20</f>
        <v>11.750144000000009</v>
      </c>
      <c r="J22" s="91">
        <f>(I22-F22)/F22</f>
        <v>1.7067833698031248E-2</v>
      </c>
    </row>
    <row r="23" spans="1:11" s="2" customFormat="1" ht="15" x14ac:dyDescent="0.25">
      <c r="A23" s="34" t="s">
        <v>16</v>
      </c>
      <c r="B23" s="87"/>
      <c r="C23" s="19"/>
      <c r="D23" s="37">
        <f>D17+D22</f>
        <v>75.492959999999997</v>
      </c>
      <c r="E23" s="36"/>
      <c r="F23" s="37">
        <f>F17+F22</f>
        <v>87.252960000000002</v>
      </c>
      <c r="G23" s="89"/>
      <c r="H23" s="19"/>
      <c r="I23" s="37">
        <f>I17+I22</f>
        <v>85.800144000000003</v>
      </c>
      <c r="J23" s="91">
        <f>(I23-F23)/F23</f>
        <v>-1.6650621365739322E-2</v>
      </c>
      <c r="K23" s="45"/>
    </row>
    <row r="24" spans="1:11" s="2" customFormat="1" ht="15" x14ac:dyDescent="0.25">
      <c r="A24" s="34"/>
      <c r="B24" s="87"/>
      <c r="C24" s="19"/>
      <c r="D24" s="37"/>
      <c r="E24" s="36"/>
      <c r="F24" s="37"/>
      <c r="G24" s="89"/>
      <c r="H24" s="19"/>
      <c r="I24" s="37"/>
      <c r="J24" s="91"/>
      <c r="K24" s="45"/>
    </row>
    <row r="25" spans="1:11" ht="15" x14ac:dyDescent="0.25">
      <c r="A25" s="25" t="s">
        <v>17</v>
      </c>
      <c r="B25" s="86">
        <f>B3*B4</f>
        <v>2131</v>
      </c>
      <c r="C25" s="43">
        <v>6.1000000000000004E-3</v>
      </c>
      <c r="D25" s="33">
        <f>B25*C25</f>
        <v>12.9991</v>
      </c>
      <c r="E25" s="22">
        <v>5.8999999999999999E-3</v>
      </c>
      <c r="F25" s="33">
        <f>B25*E25</f>
        <v>12.572899999999999</v>
      </c>
      <c r="G25" s="88">
        <f>G3*G4</f>
        <v>2133.4</v>
      </c>
      <c r="H25" s="26">
        <v>5.3E-3</v>
      </c>
      <c r="I25" s="33">
        <f>G25*H25</f>
        <v>11.307020000000001</v>
      </c>
      <c r="J25" s="92"/>
      <c r="K25" s="39"/>
    </row>
    <row r="26" spans="1:11" ht="15" x14ac:dyDescent="0.25">
      <c r="A26" s="25" t="s">
        <v>18</v>
      </c>
      <c r="B26" s="86">
        <f>B3*B4</f>
        <v>2131</v>
      </c>
      <c r="C26" s="43">
        <v>4.7999999999999996E-3</v>
      </c>
      <c r="D26" s="33">
        <f>B26*C26</f>
        <v>10.2288</v>
      </c>
      <c r="E26" s="42">
        <v>5.0000000000000001E-3</v>
      </c>
      <c r="F26" s="33">
        <f>B26*E26</f>
        <v>10.654999999999999</v>
      </c>
      <c r="G26" s="88">
        <f>G3*G4</f>
        <v>2133.4</v>
      </c>
      <c r="H26" s="43">
        <v>4.4000000000000003E-3</v>
      </c>
      <c r="I26" s="33">
        <f>G26*H26</f>
        <v>9.3869600000000002</v>
      </c>
      <c r="J26" s="92"/>
      <c r="K26" s="39"/>
    </row>
    <row r="27" spans="1:11" s="2" customFormat="1" x14ac:dyDescent="0.3">
      <c r="A27" s="34" t="s">
        <v>19</v>
      </c>
      <c r="B27" s="87"/>
      <c r="C27" s="69"/>
      <c r="D27" s="37">
        <f>SUM(D25:D26)</f>
        <v>23.227899999999998</v>
      </c>
      <c r="E27" s="36"/>
      <c r="F27" s="37">
        <f>SUM(F25:F26)</f>
        <v>23.227899999999998</v>
      </c>
      <c r="G27" s="89"/>
      <c r="H27" s="19"/>
      <c r="I27" s="37">
        <f>SUM(I25:I26)</f>
        <v>20.693980000000003</v>
      </c>
      <c r="J27" s="91">
        <f>(I27-F27)/F27</f>
        <v>-0.10908950012700223</v>
      </c>
    </row>
    <row r="28" spans="1:11" s="2" customFormat="1" x14ac:dyDescent="0.3">
      <c r="A28" s="34"/>
      <c r="B28" s="87"/>
      <c r="C28" s="69"/>
      <c r="D28" s="37"/>
      <c r="E28" s="36"/>
      <c r="F28" s="37"/>
      <c r="G28" s="89"/>
      <c r="H28" s="19"/>
      <c r="I28" s="37"/>
      <c r="J28" s="91"/>
    </row>
    <row r="29" spans="1:11" x14ac:dyDescent="0.3">
      <c r="A29" s="25" t="s">
        <v>20</v>
      </c>
      <c r="B29" s="86">
        <f>B3*B4</f>
        <v>2131</v>
      </c>
      <c r="C29" s="43">
        <v>3.5999999999999999E-3</v>
      </c>
      <c r="D29" s="33">
        <f>B29*C29</f>
        <v>7.6715999999999998</v>
      </c>
      <c r="E29" s="22">
        <v>3.5999999999999999E-3</v>
      </c>
      <c r="F29" s="33">
        <f>B29*E29</f>
        <v>7.6715999999999998</v>
      </c>
      <c r="G29" s="88">
        <f>G3*G4</f>
        <v>2133.4</v>
      </c>
      <c r="H29" s="26">
        <f>E29</f>
        <v>3.5999999999999999E-3</v>
      </c>
      <c r="I29" s="33">
        <f>G29*H29</f>
        <v>7.6802400000000004</v>
      </c>
      <c r="J29" s="92"/>
      <c r="K29" s="39"/>
    </row>
    <row r="30" spans="1:11" x14ac:dyDescent="0.3">
      <c r="A30" s="25" t="s">
        <v>21</v>
      </c>
      <c r="B30" s="86">
        <f>B3*B4</f>
        <v>2131</v>
      </c>
      <c r="C30" s="43">
        <v>2.9999999999999997E-4</v>
      </c>
      <c r="D30" s="33">
        <f>B30*C30</f>
        <v>0.63929999999999998</v>
      </c>
      <c r="E30" s="22">
        <v>2.9999999999999997E-4</v>
      </c>
      <c r="F30" s="33">
        <f>B30*E30</f>
        <v>0.63929999999999998</v>
      </c>
      <c r="G30" s="88">
        <f>G3*G4</f>
        <v>2133.4</v>
      </c>
      <c r="H30" s="26">
        <v>2.9999999999999997E-4</v>
      </c>
      <c r="I30" s="33">
        <f>G30*H30</f>
        <v>0.64001999999999992</v>
      </c>
      <c r="J30" s="92"/>
      <c r="K30" s="39"/>
    </row>
    <row r="31" spans="1:11" x14ac:dyDescent="0.3">
      <c r="A31" s="25" t="s">
        <v>34</v>
      </c>
      <c r="B31" s="86">
        <f>B3</f>
        <v>2000</v>
      </c>
      <c r="C31" s="29">
        <v>7.0000000000000001E-3</v>
      </c>
      <c r="D31" s="33">
        <f>B31*C31</f>
        <v>14</v>
      </c>
      <c r="E31" s="22">
        <v>7.0000000000000001E-3</v>
      </c>
      <c r="F31" s="33">
        <f>B31*E31</f>
        <v>14</v>
      </c>
      <c r="G31" s="88">
        <f>G3</f>
        <v>2000</v>
      </c>
      <c r="H31" s="26">
        <f>E31</f>
        <v>7.0000000000000001E-3</v>
      </c>
      <c r="I31" s="33">
        <f>G31*H31</f>
        <v>14</v>
      </c>
      <c r="J31" s="92"/>
      <c r="K31" s="39"/>
    </row>
    <row r="32" spans="1:11" x14ac:dyDescent="0.3">
      <c r="A32" s="25" t="s">
        <v>22</v>
      </c>
      <c r="B32" s="86">
        <v>1</v>
      </c>
      <c r="C32" s="26">
        <v>0.25</v>
      </c>
      <c r="D32" s="33">
        <f>B32*C32</f>
        <v>0.25</v>
      </c>
      <c r="E32" s="22">
        <v>0.25</v>
      </c>
      <c r="F32" s="33">
        <f>B32*E32</f>
        <v>0.25</v>
      </c>
      <c r="G32" s="88">
        <v>1</v>
      </c>
      <c r="H32" s="26">
        <f>E32</f>
        <v>0.25</v>
      </c>
      <c r="I32" s="33">
        <f>G32*H32</f>
        <v>0.25</v>
      </c>
      <c r="J32" s="92"/>
      <c r="K32" s="39"/>
    </row>
    <row r="33" spans="1:11" s="2" customFormat="1" x14ac:dyDescent="0.3">
      <c r="A33" s="34" t="s">
        <v>23</v>
      </c>
      <c r="B33" s="87"/>
      <c r="C33" s="19"/>
      <c r="D33" s="37">
        <f>SUM(D29:D32)</f>
        <v>22.5609</v>
      </c>
      <c r="E33" s="36"/>
      <c r="F33" s="37">
        <f>SUM(F29:F32)</f>
        <v>22.5609</v>
      </c>
      <c r="G33" s="89"/>
      <c r="H33" s="19"/>
      <c r="I33" s="37">
        <f>SUM(I29:I32)</f>
        <v>22.570260000000001</v>
      </c>
      <c r="J33" s="91">
        <f>(I33-F33)/F33</f>
        <v>4.1487706607453264E-4</v>
      </c>
    </row>
    <row r="34" spans="1:11" s="2" customFormat="1" x14ac:dyDescent="0.3">
      <c r="A34" s="34"/>
      <c r="B34" s="19"/>
      <c r="C34" s="19"/>
      <c r="D34" s="37"/>
      <c r="E34" s="36"/>
      <c r="F34" s="37"/>
      <c r="G34" s="89"/>
      <c r="H34" s="19"/>
      <c r="I34" s="37"/>
      <c r="J34" s="91"/>
    </row>
    <row r="35" spans="1:11" x14ac:dyDescent="0.3">
      <c r="A35" s="25" t="s">
        <v>24</v>
      </c>
      <c r="B35" s="26"/>
      <c r="C35" s="26"/>
      <c r="D35" s="33">
        <f>SUM(D9,D23,D27,D33)</f>
        <v>285.60175999999996</v>
      </c>
      <c r="E35" s="49"/>
      <c r="F35" s="33">
        <f>SUM(F9,F23,F27,F33)</f>
        <v>297.36176</v>
      </c>
      <c r="G35" s="22"/>
      <c r="H35" s="48"/>
      <c r="I35" s="33">
        <f>SUM(I9,I23,I27,I33)</f>
        <v>293.38438400000001</v>
      </c>
      <c r="J35" s="92"/>
      <c r="K35" s="39"/>
    </row>
    <row r="36" spans="1:11" x14ac:dyDescent="0.3">
      <c r="A36" s="25" t="s">
        <v>25</v>
      </c>
      <c r="B36" s="26"/>
      <c r="C36" s="48">
        <v>0.13</v>
      </c>
      <c r="D36" s="33">
        <f>D35*C36</f>
        <v>37.128228799999995</v>
      </c>
      <c r="E36" s="49">
        <v>0.13</v>
      </c>
      <c r="F36" s="33">
        <f>F35*E36</f>
        <v>38.657028799999999</v>
      </c>
      <c r="G36" s="22"/>
      <c r="H36" s="48">
        <v>0.13</v>
      </c>
      <c r="I36" s="33">
        <f>I35*H36</f>
        <v>38.139969920000006</v>
      </c>
      <c r="J36" s="92"/>
      <c r="K36" s="39"/>
    </row>
    <row r="37" spans="1:11" x14ac:dyDescent="0.3">
      <c r="A37" s="25" t="s">
        <v>26</v>
      </c>
      <c r="B37" s="26"/>
      <c r="C37" s="48"/>
      <c r="D37" s="33">
        <f>D35+D36</f>
        <v>322.72998879999994</v>
      </c>
      <c r="E37" s="49"/>
      <c r="F37" s="33">
        <f>F35+F36</f>
        <v>336.01878879999998</v>
      </c>
      <c r="G37" s="22"/>
      <c r="H37" s="48"/>
      <c r="I37" s="33">
        <f>I35+I36</f>
        <v>331.52435392000001</v>
      </c>
      <c r="J37" s="92"/>
      <c r="K37" s="39"/>
    </row>
    <row r="38" spans="1:11" ht="15" thickBot="1" x14ac:dyDescent="0.35">
      <c r="A38" s="25" t="s">
        <v>27</v>
      </c>
      <c r="B38" s="26"/>
      <c r="C38" s="48">
        <v>-0.08</v>
      </c>
      <c r="D38" s="33">
        <f>D37*C38</f>
        <v>-25.818399103999997</v>
      </c>
      <c r="E38" s="85">
        <v>-0.08</v>
      </c>
      <c r="F38" s="80">
        <f>F37*E38</f>
        <v>-26.881503104</v>
      </c>
      <c r="G38" s="22"/>
      <c r="H38" s="79">
        <v>-0.08</v>
      </c>
      <c r="I38" s="80">
        <f>I37*H38</f>
        <v>-26.521948313600003</v>
      </c>
      <c r="J38" s="92"/>
      <c r="K38" s="39"/>
    </row>
    <row r="39" spans="1:11" s="2" customFormat="1" ht="15" thickBot="1" x14ac:dyDescent="0.35">
      <c r="A39" s="1" t="s">
        <v>28</v>
      </c>
      <c r="B39" s="62"/>
      <c r="C39" s="62"/>
      <c r="D39" s="52">
        <f>D37+D38</f>
        <v>296.91158969599996</v>
      </c>
      <c r="E39" s="63"/>
      <c r="F39" s="81">
        <f>F37+F38</f>
        <v>309.13728569599999</v>
      </c>
      <c r="G39" s="51"/>
      <c r="H39" s="82"/>
      <c r="I39" s="52">
        <f>I37+I38</f>
        <v>305.00240560640003</v>
      </c>
      <c r="J39" s="72">
        <f>(I39-F39)/F39</f>
        <v>-1.3375546337901558E-2</v>
      </c>
    </row>
    <row r="41" spans="1:11" x14ac:dyDescent="0.3">
      <c r="I41" s="55"/>
    </row>
  </sheetData>
  <mergeCells count="1">
    <mergeCell ref="A1:J1"/>
  </mergeCells>
  <pageMargins left="0.7" right="0.7" top="0.75" bottom="0.75" header="0.3" footer="0.3"/>
  <pageSetup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workbookViewId="0">
      <selection activeCell="E10" sqref="E10"/>
    </sheetView>
  </sheetViews>
  <sheetFormatPr defaultRowHeight="14.4" x14ac:dyDescent="0.3"/>
  <cols>
    <col min="1" max="1" width="34.88671875" style="54" bestFit="1" customWidth="1"/>
    <col min="2" max="4" width="12.109375" style="16" customWidth="1"/>
    <col min="5" max="6" width="12.109375" customWidth="1"/>
    <col min="7" max="10" width="12.109375" style="16" customWidth="1"/>
    <col min="13" max="13" width="20.33203125" hidden="1" customWidth="1"/>
  </cols>
  <sheetData>
    <row r="1" spans="1:13" s="2" customFormat="1" ht="15.75" thickBot="1" x14ac:dyDescent="0.3">
      <c r="A1" s="118" t="s">
        <v>45</v>
      </c>
      <c r="B1" s="119"/>
      <c r="C1" s="119"/>
      <c r="D1" s="119"/>
      <c r="E1" s="119"/>
      <c r="F1" s="119"/>
      <c r="G1" s="119"/>
      <c r="H1" s="119"/>
      <c r="I1" s="119"/>
      <c r="J1" s="120"/>
      <c r="M1" s="3"/>
    </row>
    <row r="2" spans="1:13" s="6" customFormat="1" ht="77.25" thickBot="1" x14ac:dyDescent="0.3">
      <c r="A2" s="4"/>
      <c r="B2" s="66" t="s">
        <v>0</v>
      </c>
      <c r="C2" s="66" t="s">
        <v>46</v>
      </c>
      <c r="D2" s="67" t="s">
        <v>29</v>
      </c>
      <c r="E2" s="68" t="s">
        <v>30</v>
      </c>
      <c r="F2" s="68" t="s">
        <v>29</v>
      </c>
      <c r="G2" s="5" t="s">
        <v>0</v>
      </c>
      <c r="H2" s="66" t="s">
        <v>31</v>
      </c>
      <c r="I2" s="67" t="s">
        <v>32</v>
      </c>
      <c r="J2" s="5" t="s">
        <v>33</v>
      </c>
      <c r="M2" s="7" t="s">
        <v>1</v>
      </c>
    </row>
    <row r="3" spans="1:13" s="16" customFormat="1" ht="15" x14ac:dyDescent="0.25">
      <c r="A3" s="8" t="s">
        <v>2</v>
      </c>
      <c r="B3" s="93">
        <v>50916.548053308041</v>
      </c>
      <c r="C3" s="95"/>
      <c r="D3" s="103"/>
      <c r="E3" s="11"/>
      <c r="F3" s="73"/>
      <c r="G3" s="94">
        <v>50916.548053308041</v>
      </c>
      <c r="H3" s="13"/>
      <c r="I3" s="14"/>
      <c r="J3" s="75"/>
      <c r="M3" s="17"/>
    </row>
    <row r="4" spans="1:13" s="16" customFormat="1" ht="15" x14ac:dyDescent="0.25">
      <c r="A4" s="18" t="s">
        <v>35</v>
      </c>
      <c r="B4" s="95">
        <v>143.21569056237885</v>
      </c>
      <c r="C4" s="95"/>
      <c r="D4" s="103"/>
      <c r="E4" s="89"/>
      <c r="F4" s="96"/>
      <c r="G4" s="97">
        <v>143.21569056237885</v>
      </c>
      <c r="H4" s="22"/>
      <c r="I4" s="23"/>
      <c r="J4" s="77"/>
      <c r="M4" s="17"/>
    </row>
    <row r="5" spans="1:13" s="16" customFormat="1" ht="15" x14ac:dyDescent="0.25">
      <c r="A5" s="18" t="s">
        <v>3</v>
      </c>
      <c r="B5" s="19">
        <v>1.0654999999999999</v>
      </c>
      <c r="C5" s="19"/>
      <c r="D5" s="65"/>
      <c r="E5" s="20"/>
      <c r="F5" s="76"/>
      <c r="G5" s="21">
        <v>1.0563</v>
      </c>
      <c r="H5" s="22"/>
      <c r="I5" s="23"/>
      <c r="J5" s="77"/>
      <c r="M5" s="17"/>
    </row>
    <row r="6" spans="1:13" ht="15" x14ac:dyDescent="0.25">
      <c r="A6" s="25"/>
      <c r="B6" s="26"/>
      <c r="C6" s="26"/>
      <c r="D6" s="23"/>
      <c r="E6" s="22"/>
      <c r="F6" s="23"/>
      <c r="G6" s="27"/>
      <c r="H6" s="22"/>
      <c r="I6" s="23"/>
      <c r="J6" s="77"/>
      <c r="M6" s="17"/>
    </row>
    <row r="7" spans="1:13" ht="15" x14ac:dyDescent="0.25">
      <c r="A7" s="25" t="s">
        <v>36</v>
      </c>
      <c r="B7" s="101">
        <f>B3*B5</f>
        <v>54251.581950799715</v>
      </c>
      <c r="C7" s="106">
        <v>0.1101</v>
      </c>
      <c r="D7" s="33">
        <f>B7*C7</f>
        <v>5973.0991727830487</v>
      </c>
      <c r="E7" s="42">
        <v>0.1101</v>
      </c>
      <c r="F7" s="33">
        <f>B7*E7</f>
        <v>5973.0991727830487</v>
      </c>
      <c r="G7" s="98">
        <f>G3*G5</f>
        <v>53783.149708709287</v>
      </c>
      <c r="H7" s="42">
        <f>E7</f>
        <v>0.1101</v>
      </c>
      <c r="I7" s="33">
        <f>G7*H7</f>
        <v>5921.5247829288928</v>
      </c>
      <c r="J7" s="92"/>
      <c r="K7" s="39"/>
      <c r="M7" s="17"/>
    </row>
    <row r="8" spans="1:13" s="2" customFormat="1" ht="15" x14ac:dyDescent="0.25">
      <c r="A8" s="34" t="s">
        <v>7</v>
      </c>
      <c r="B8" s="102"/>
      <c r="C8" s="102"/>
      <c r="D8" s="37">
        <f>SUM(D7:D7)</f>
        <v>5973.0991727830487</v>
      </c>
      <c r="E8" s="36"/>
      <c r="F8" s="37">
        <f>SUM(F7:F7)</f>
        <v>5973.0991727830487</v>
      </c>
      <c r="G8" s="99"/>
      <c r="H8" s="36"/>
      <c r="I8" s="37">
        <f>SUM(I7:I7)</f>
        <v>5921.5247829288928</v>
      </c>
      <c r="J8" s="91">
        <f>(I8-F8)/F8</f>
        <v>-8.6344439230406824E-3</v>
      </c>
      <c r="K8" s="78"/>
      <c r="M8" s="38"/>
    </row>
    <row r="9" spans="1:13" s="2" customFormat="1" ht="15" x14ac:dyDescent="0.25">
      <c r="A9" s="34"/>
      <c r="B9" s="102"/>
      <c r="C9" s="102"/>
      <c r="D9" s="37"/>
      <c r="E9" s="36"/>
      <c r="F9" s="37"/>
      <c r="G9" s="99"/>
      <c r="H9" s="36"/>
      <c r="I9" s="37"/>
      <c r="J9" s="91"/>
      <c r="M9" s="38"/>
    </row>
    <row r="10" spans="1:13" ht="15" x14ac:dyDescent="0.25">
      <c r="A10" s="25" t="s">
        <v>8</v>
      </c>
      <c r="B10" s="101">
        <v>1</v>
      </c>
      <c r="C10" s="104">
        <v>83.61</v>
      </c>
      <c r="D10" s="33">
        <f>B10*C10</f>
        <v>83.61</v>
      </c>
      <c r="E10" s="59">
        <v>96.49</v>
      </c>
      <c r="F10" s="83">
        <f>B10*E10</f>
        <v>96.49</v>
      </c>
      <c r="G10" s="100">
        <v>1</v>
      </c>
      <c r="H10" s="59">
        <v>194.68</v>
      </c>
      <c r="I10" s="33">
        <f>G10*H10</f>
        <v>194.68</v>
      </c>
      <c r="J10" s="92"/>
      <c r="K10" s="39"/>
      <c r="M10" s="40">
        <v>1.0500000000000001E-2</v>
      </c>
    </row>
    <row r="11" spans="1:13" ht="15" x14ac:dyDescent="0.25">
      <c r="A11" s="25" t="s">
        <v>9</v>
      </c>
      <c r="B11" s="101">
        <v>1</v>
      </c>
      <c r="C11" s="104">
        <v>0</v>
      </c>
      <c r="D11" s="33">
        <f>B11*C11</f>
        <v>0</v>
      </c>
      <c r="E11" s="59">
        <v>0</v>
      </c>
      <c r="F11" s="83">
        <f>B11*E11</f>
        <v>0</v>
      </c>
      <c r="G11" s="100">
        <v>1</v>
      </c>
      <c r="H11" s="59">
        <f>E11</f>
        <v>0</v>
      </c>
      <c r="I11" s="33">
        <f>G11*H11</f>
        <v>0</v>
      </c>
      <c r="J11" s="92"/>
      <c r="K11" s="39"/>
      <c r="M11" s="17"/>
    </row>
    <row r="12" spans="1:13" ht="15" x14ac:dyDescent="0.25">
      <c r="A12" s="25" t="s">
        <v>37</v>
      </c>
      <c r="B12" s="101">
        <f>B4</f>
        <v>143.21569056237885</v>
      </c>
      <c r="C12" s="106">
        <v>3.9339</v>
      </c>
      <c r="D12" s="33">
        <f>B12*C12</f>
        <v>563.39620510334214</v>
      </c>
      <c r="E12" s="61">
        <v>4.5407999999999999</v>
      </c>
      <c r="F12" s="83">
        <f>B12*E12</f>
        <v>650.31380770564988</v>
      </c>
      <c r="G12" s="100">
        <f>G4</f>
        <v>143.21569056237885</v>
      </c>
      <c r="H12" s="61">
        <v>4.8818999999999999</v>
      </c>
      <c r="I12" s="33">
        <f>G12*H12</f>
        <v>699.16467975647731</v>
      </c>
      <c r="J12" s="92"/>
      <c r="K12" s="39"/>
      <c r="M12" s="40">
        <f>M10</f>
        <v>1.0500000000000001E-2</v>
      </c>
    </row>
    <row r="13" spans="1:13" ht="15" x14ac:dyDescent="0.25">
      <c r="A13" s="25" t="s">
        <v>38</v>
      </c>
      <c r="B13" s="101">
        <f>B4</f>
        <v>143.21569056237885</v>
      </c>
      <c r="C13" s="106">
        <v>0.155</v>
      </c>
      <c r="D13" s="33">
        <f>B13*C13</f>
        <v>22.198432037168722</v>
      </c>
      <c r="E13" s="61">
        <v>0.155</v>
      </c>
      <c r="F13" s="83">
        <f>B13*E13</f>
        <v>22.198432037168722</v>
      </c>
      <c r="G13" s="100">
        <f>G4</f>
        <v>143.21569056237885</v>
      </c>
      <c r="H13" s="61">
        <v>0</v>
      </c>
      <c r="I13" s="33">
        <f>G13*H13</f>
        <v>0</v>
      </c>
      <c r="J13" s="92"/>
      <c r="K13" s="39"/>
    </row>
    <row r="14" spans="1:13" ht="15.75" thickBot="1" x14ac:dyDescent="0.3">
      <c r="A14" s="25" t="s">
        <v>39</v>
      </c>
      <c r="B14" s="101">
        <f>B4</f>
        <v>143.21569056237885</v>
      </c>
      <c r="C14" s="106">
        <f>1.537-0.9731+0.0582-0.1394+0.0195</f>
        <v>0.50219999999999998</v>
      </c>
      <c r="D14" s="33">
        <f>B14*C14</f>
        <v>71.922919800426655</v>
      </c>
      <c r="E14" s="42">
        <v>0</v>
      </c>
      <c r="F14" s="33">
        <f>B14*E14</f>
        <v>0</v>
      </c>
      <c r="G14" s="98">
        <f>G4</f>
        <v>143.21569056237885</v>
      </c>
      <c r="H14" s="42">
        <f>E14</f>
        <v>0</v>
      </c>
      <c r="I14" s="33">
        <f>G14*H14</f>
        <v>0</v>
      </c>
      <c r="J14" s="92"/>
      <c r="K14" s="39"/>
    </row>
    <row r="15" spans="1:13" ht="15.75" thickBot="1" x14ac:dyDescent="0.3">
      <c r="A15" s="108" t="s">
        <v>16</v>
      </c>
      <c r="B15" s="116"/>
      <c r="C15" s="116"/>
      <c r="D15" s="52">
        <f>SUM(D10,D12,D13,D11,D14)</f>
        <v>741.12755694093744</v>
      </c>
      <c r="E15" s="110"/>
      <c r="F15" s="52">
        <f>SUM(F10,F12,F13,F11,F14)</f>
        <v>769.00223974281857</v>
      </c>
      <c r="G15" s="117"/>
      <c r="H15" s="110"/>
      <c r="I15" s="81">
        <f>SUM(I10,I12,I13,I11,I14)</f>
        <v>893.84467975647726</v>
      </c>
      <c r="J15" s="72">
        <f>(I15-F15)/F15</f>
        <v>0.1623434023487505</v>
      </c>
    </row>
    <row r="16" spans="1:13" s="2" customFormat="1" ht="15" x14ac:dyDescent="0.25">
      <c r="A16" s="34"/>
      <c r="B16" s="102"/>
      <c r="C16" s="102"/>
      <c r="D16" s="37"/>
      <c r="E16" s="36"/>
      <c r="F16" s="37"/>
      <c r="G16" s="99"/>
      <c r="H16" s="36"/>
      <c r="I16" s="37"/>
      <c r="J16" s="91"/>
      <c r="K16" s="45"/>
    </row>
    <row r="17" spans="1:11" ht="15" x14ac:dyDescent="0.25">
      <c r="A17" s="25" t="s">
        <v>40</v>
      </c>
      <c r="B17" s="101">
        <f>B4</f>
        <v>143.21569056237885</v>
      </c>
      <c r="C17" s="106">
        <v>2.6015999999999999</v>
      </c>
      <c r="D17" s="33">
        <f>B17*C17</f>
        <v>372.5899405670848</v>
      </c>
      <c r="E17" s="22">
        <v>2.5038</v>
      </c>
      <c r="F17" s="33">
        <f>B17*E17</f>
        <v>358.58344603008419</v>
      </c>
      <c r="G17" s="98">
        <f>G4</f>
        <v>143.21569056237885</v>
      </c>
      <c r="H17" s="22">
        <v>1.8483000000000001</v>
      </c>
      <c r="I17" s="33">
        <f>G17*H17</f>
        <v>264.70556086644484</v>
      </c>
      <c r="J17" s="92"/>
      <c r="K17" s="39"/>
    </row>
    <row r="18" spans="1:11" ht="15" x14ac:dyDescent="0.25">
      <c r="A18" s="25" t="s">
        <v>41</v>
      </c>
      <c r="B18" s="101">
        <f>B4</f>
        <v>143.21569056237885</v>
      </c>
      <c r="C18" s="106">
        <v>2.0329000000000002</v>
      </c>
      <c r="D18" s="33">
        <f>B18*C18</f>
        <v>291.14317734425998</v>
      </c>
      <c r="E18" s="22">
        <v>2.1172</v>
      </c>
      <c r="F18" s="33">
        <f>B18*E18</f>
        <v>303.21626005866852</v>
      </c>
      <c r="G18" s="98">
        <f>G4</f>
        <v>143.21569056237885</v>
      </c>
      <c r="H18" s="42">
        <v>1.5101</v>
      </c>
      <c r="I18" s="33">
        <f>G18*H18</f>
        <v>216.27001431824831</v>
      </c>
      <c r="J18" s="92"/>
      <c r="K18" s="39"/>
    </row>
    <row r="19" spans="1:11" s="2" customFormat="1" ht="15" x14ac:dyDescent="0.25">
      <c r="A19" s="34" t="s">
        <v>19</v>
      </c>
      <c r="B19" s="102"/>
      <c r="C19" s="107"/>
      <c r="D19" s="37">
        <f>SUM(D17:D18)</f>
        <v>663.73311791134483</v>
      </c>
      <c r="E19" s="36"/>
      <c r="F19" s="37">
        <f>SUM(F17:F18)</f>
        <v>661.79970608875271</v>
      </c>
      <c r="G19" s="99"/>
      <c r="H19" s="36"/>
      <c r="I19" s="37">
        <f>SUM(I17:I18)</f>
        <v>480.97557518469318</v>
      </c>
      <c r="J19" s="91">
        <f>(I19-F19)/F19</f>
        <v>-0.27323090240207742</v>
      </c>
    </row>
    <row r="20" spans="1:11" s="2" customFormat="1" ht="15" x14ac:dyDescent="0.25">
      <c r="A20" s="34"/>
      <c r="B20" s="102"/>
      <c r="C20" s="107"/>
      <c r="D20" s="37"/>
      <c r="E20" s="36"/>
      <c r="F20" s="37"/>
      <c r="G20" s="99"/>
      <c r="H20" s="36"/>
      <c r="I20" s="37"/>
      <c r="J20" s="91"/>
    </row>
    <row r="21" spans="1:11" ht="15" x14ac:dyDescent="0.25">
      <c r="A21" s="25" t="s">
        <v>20</v>
      </c>
      <c r="B21" s="101">
        <f>B3*B5</f>
        <v>54251.581950799715</v>
      </c>
      <c r="C21" s="106">
        <v>3.5999999999999999E-3</v>
      </c>
      <c r="D21" s="33">
        <f>B21*C21</f>
        <v>195.30569502287898</v>
      </c>
      <c r="E21" s="22">
        <v>3.5999999999999999E-3</v>
      </c>
      <c r="F21" s="33">
        <f>B21*E21</f>
        <v>195.30569502287898</v>
      </c>
      <c r="G21" s="98">
        <f>G3*G5</f>
        <v>53783.149708709287</v>
      </c>
      <c r="H21" s="22">
        <f>E21</f>
        <v>3.5999999999999999E-3</v>
      </c>
      <c r="I21" s="33">
        <f>G21*H21</f>
        <v>193.61933895135343</v>
      </c>
      <c r="J21" s="92"/>
      <c r="K21" s="39"/>
    </row>
    <row r="22" spans="1:11" ht="15" x14ac:dyDescent="0.25">
      <c r="A22" s="25" t="s">
        <v>21</v>
      </c>
      <c r="B22" s="101">
        <f>B3*B5</f>
        <v>54251.581950799715</v>
      </c>
      <c r="C22" s="106">
        <v>2.9999999999999997E-4</v>
      </c>
      <c r="D22" s="33">
        <f>B22*C22</f>
        <v>16.275474585239913</v>
      </c>
      <c r="E22" s="22">
        <v>2.9999999999999997E-4</v>
      </c>
      <c r="F22" s="33">
        <f>B22*E22</f>
        <v>16.275474585239913</v>
      </c>
      <c r="G22" s="98">
        <f>G3*G5</f>
        <v>53783.149708709287</v>
      </c>
      <c r="H22" s="22">
        <v>2.9999999999999997E-4</v>
      </c>
      <c r="I22" s="33">
        <f>G22*H22</f>
        <v>16.134944912612784</v>
      </c>
      <c r="J22" s="92"/>
      <c r="K22" s="39"/>
    </row>
    <row r="23" spans="1:11" ht="15" x14ac:dyDescent="0.25">
      <c r="A23" s="25" t="s">
        <v>34</v>
      </c>
      <c r="B23" s="101">
        <f>B3</f>
        <v>50916.548053308041</v>
      </c>
      <c r="C23" s="105">
        <v>7.0000000000000001E-3</v>
      </c>
      <c r="D23" s="33">
        <f>B23*C23</f>
        <v>356.41583637315631</v>
      </c>
      <c r="E23" s="22">
        <v>7.0000000000000001E-3</v>
      </c>
      <c r="F23" s="33">
        <f>B23*E23</f>
        <v>356.41583637315631</v>
      </c>
      <c r="G23" s="98">
        <f>G3</f>
        <v>50916.548053308041</v>
      </c>
      <c r="H23" s="22">
        <f>E23</f>
        <v>7.0000000000000001E-3</v>
      </c>
      <c r="I23" s="33">
        <f>G23*H23</f>
        <v>356.41583637315631</v>
      </c>
      <c r="J23" s="92"/>
      <c r="K23" s="39"/>
    </row>
    <row r="24" spans="1:11" ht="15" x14ac:dyDescent="0.25">
      <c r="A24" s="25" t="s">
        <v>22</v>
      </c>
      <c r="B24" s="101">
        <v>1</v>
      </c>
      <c r="C24" s="104">
        <v>0.25</v>
      </c>
      <c r="D24" s="33">
        <f>B24*C24</f>
        <v>0.25</v>
      </c>
      <c r="E24" s="22">
        <v>0.25</v>
      </c>
      <c r="F24" s="33">
        <f>B24*E24</f>
        <v>0.25</v>
      </c>
      <c r="G24" s="98">
        <v>1</v>
      </c>
      <c r="H24" s="22">
        <f>E24</f>
        <v>0.25</v>
      </c>
      <c r="I24" s="33">
        <f>G24*H24</f>
        <v>0.25</v>
      </c>
      <c r="J24" s="92"/>
      <c r="K24" s="39"/>
    </row>
    <row r="25" spans="1:11" s="2" customFormat="1" ht="15" x14ac:dyDescent="0.25">
      <c r="A25" s="34" t="s">
        <v>23</v>
      </c>
      <c r="B25" s="19"/>
      <c r="C25" s="19"/>
      <c r="D25" s="37">
        <f>SUM(D21:D24)</f>
        <v>568.24700598127515</v>
      </c>
      <c r="E25" s="36"/>
      <c r="F25" s="37">
        <f>SUM(F21:F24)</f>
        <v>568.24700598127515</v>
      </c>
      <c r="G25" s="99"/>
      <c r="H25" s="36"/>
      <c r="I25" s="37">
        <f>SUM(I21:I24)</f>
        <v>566.42012023712255</v>
      </c>
      <c r="J25" s="91">
        <f>(I25-F25)/F25</f>
        <v>-3.2149500567941482E-3</v>
      </c>
    </row>
    <row r="26" spans="1:11" s="2" customFormat="1" ht="15" x14ac:dyDescent="0.25">
      <c r="A26" s="34"/>
      <c r="B26" s="19"/>
      <c r="C26" s="19"/>
      <c r="D26" s="37"/>
      <c r="E26" s="36"/>
      <c r="F26" s="37"/>
      <c r="G26" s="21"/>
      <c r="H26" s="36"/>
      <c r="I26" s="37"/>
      <c r="J26" s="91"/>
    </row>
    <row r="27" spans="1:11" x14ac:dyDescent="0.3">
      <c r="A27" s="25" t="s">
        <v>24</v>
      </c>
      <c r="B27" s="26"/>
      <c r="C27" s="26"/>
      <c r="D27" s="33">
        <f>SUM(D8,D15,D19,D25)</f>
        <v>7946.2068536166062</v>
      </c>
      <c r="E27" s="49"/>
      <c r="F27" s="33">
        <f>SUM(F7,F15,F19,F25)</f>
        <v>7972.1481245958948</v>
      </c>
      <c r="G27" s="27"/>
      <c r="H27" s="49"/>
      <c r="I27" s="33">
        <f>SUM(I7,I15,I19,I25)</f>
        <v>7862.7651581071859</v>
      </c>
      <c r="J27" s="92"/>
      <c r="K27" s="39"/>
    </row>
    <row r="28" spans="1:11" ht="15" thickBot="1" x14ac:dyDescent="0.35">
      <c r="A28" s="25" t="s">
        <v>25</v>
      </c>
      <c r="B28" s="26"/>
      <c r="C28" s="26">
        <v>0.13</v>
      </c>
      <c r="D28" s="33">
        <f>D27*C28</f>
        <v>1033.0068909701588</v>
      </c>
      <c r="E28" s="85">
        <v>0.13</v>
      </c>
      <c r="F28" s="80">
        <f>F27*E28</f>
        <v>1036.3792561974665</v>
      </c>
      <c r="G28" s="50"/>
      <c r="H28" s="85">
        <v>0.13</v>
      </c>
      <c r="I28" s="33">
        <f>I27*H28</f>
        <v>1022.1594705539342</v>
      </c>
      <c r="J28" s="92"/>
      <c r="K28" s="39"/>
    </row>
    <row r="29" spans="1:11" s="2" customFormat="1" ht="15" thickBot="1" x14ac:dyDescent="0.35">
      <c r="A29" s="1" t="s">
        <v>26</v>
      </c>
      <c r="B29" s="62"/>
      <c r="C29" s="62"/>
      <c r="D29" s="52">
        <f>D27+D28</f>
        <v>8979.2137445867647</v>
      </c>
      <c r="E29" s="63"/>
      <c r="F29" s="81">
        <f>F27+F28</f>
        <v>9008.5273807933609</v>
      </c>
      <c r="G29" s="51"/>
      <c r="H29" s="82"/>
      <c r="I29" s="52">
        <f>I27+I28</f>
        <v>8884.9246286611196</v>
      </c>
      <c r="J29" s="72">
        <f>(I29-F29)/F29</f>
        <v>-1.3720639002082469E-2</v>
      </c>
    </row>
    <row r="31" spans="1:11" x14ac:dyDescent="0.3">
      <c r="I31" s="55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 xsi:nil="true"/>
    <Filing_Date xmlns="d6dbc8c3-1042-4473-bec9-62644ae75647" xsi:nil="true"/>
    <Interrogatory_x0020_Number xmlns="d6dbc8c3-1042-4473-bec9-62644ae75647">99</Interrogatory_x0020_Number>
    <Anchor_IR xmlns="d6dbc8c3-1042-4473-bec9-62644ae75647" xsi:nil="true"/>
    <Exhibit_Ref xmlns="d6dbc8c3-1042-4473-bec9-62644ae75647" xsi:nil="true"/>
    <Legal_x0020_Review_x0020_Required xmlns="d6dbc8c3-1042-4473-bec9-62644ae75647">No</Legal_x0020_Review_x0020_Required>
    <Actors xmlns="d6dbc8c3-1042-4473-bec9-62644ae75647">
      <UserInfo>
        <DisplayName>ANDRE Henry</DisplayName>
        <AccountId>64</AccountId>
        <AccountType/>
      </UserInfo>
    </Actors>
    <Intervenor_x0020_Acronym xmlns="d6dbc8c3-1042-4473-bec9-62644ae75647">SEC</Intervenor_x0020_Acronym>
    <Dir_1 xmlns="d6dbc8c3-1042-4473-bec9-62644ae75647">true</Dir_1>
    <Intervenor_x0020_Name xmlns="d6dbc8c3-1042-4473-bec9-62644ae75647">School Energy Coalition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Stephen Vetsis</RA_Contact>
    <Author_x0028_s_x0029_ xmlns="d6dbc8c3-1042-4473-bec9-62644ae75647">
      <UserInfo>
        <DisplayName>CORP\180164</DisplayName>
        <AccountId>3674</AccountId>
        <AccountType/>
      </UserInfo>
      <UserInfo>
        <DisplayName>CORP\188691</DisplayName>
        <AccountId>513</AccountId>
        <AccountType/>
      </UserInfo>
      <UserInfo>
        <DisplayName>CORP\184748</DisplayName>
        <AccountId>130</AccountId>
        <AccountType/>
      </UserInfo>
    </Author_x0028_s_x0029_>
    <Case_Number xmlns="d6dbc8c3-1042-4473-bec9-62644ae75647">EB-2017-0049</Case_Number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56</IR_Tab>
    <Issue_x0020_Group xmlns="d6dbc8c3-1042-4473-bec9-62644ae75647" xsi:nil="true"/>
    <Draft_Ready xmlns="d6dbc8c3-1042-4473-bec9-62644ae75647">true</Draft_Ready>
    <Question xmlns="d6dbc8c3-1042-4473-bec9-62644ae75647" xsi:nil="true"/>
    <_Version xmlns="http://schemas.microsoft.com/sharepoint/v3/fields" xsi:nil="true"/>
    <CLOReview xmlns="d6dbc8c3-1042-4473-bec9-62644ae75647">false</CLORevie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FB1F7F73-5437-4841-9431-9E964EB57DEB}">
  <ds:schemaRefs>
    <ds:schemaRef ds:uri="http://schemas.microsoft.com/office/2006/documentManagement/types"/>
    <ds:schemaRef ds:uri="d6dbc8c3-1042-4473-bec9-62644ae75647"/>
    <ds:schemaRef ds:uri="f0af1d65-dfd0-4b99-b523-def3a954563f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schemas.microsoft.com/sharepoint/v3/field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D92B83-54B8-4607-9202-303DD27C2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5A7B9-22CE-4FDC-A9DD-DB7059C180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11CB53-3B26-49CA-AFF9-606370356773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Residential</vt:lpstr>
      <vt:lpstr>GS&lt;50 kW</vt:lpstr>
      <vt:lpstr>GS 50-4,999 kW</vt:lpstr>
      <vt:lpstr>'GS 50-4,999 kW'!Print_Area</vt:lpstr>
      <vt:lpstr>'GS&lt;50 kW'!Print_Area</vt:lpstr>
      <vt:lpstr>Residential!Print_Area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99 Attachment 4</dc:title>
  <dc:creator>SHETH Nikita</dc:creator>
  <cp:lastModifiedBy>MCEACHRAN Jody</cp:lastModifiedBy>
  <cp:lastPrinted>2017-12-05T19:06:55Z</cp:lastPrinted>
  <dcterms:created xsi:type="dcterms:W3CDTF">2017-12-05T19:00:28Z</dcterms:created>
  <dcterms:modified xsi:type="dcterms:W3CDTF">2018-02-09T22:33:34Z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</Properties>
</file>