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2" windowWidth="19440" windowHeight="12048" activeTab="2"/>
  </bookViews>
  <sheets>
    <sheet name="Residential" sheetId="1" r:id="rId1"/>
    <sheet name="GS&lt;50 kW" sheetId="2" r:id="rId2"/>
    <sheet name="GS 50-4,999 kW" sheetId="3" r:id="rId3"/>
  </sheets>
  <definedNames>
    <definedName name="_xlnm.Print_Area" localSheetId="2">'GS 50-4,999 kW'!$A$1:$J$29</definedName>
    <definedName name="_xlnm.Print_Area" localSheetId="1">'GS&lt;50 kW'!$A$1:$J$39</definedName>
    <definedName name="_xlnm.Print_Area" localSheetId="0">Residential!$A$1:$J$38</definedName>
  </definedNames>
  <calcPr calcId="145621"/>
</workbook>
</file>

<file path=xl/calcChain.xml><?xml version="1.0" encoding="utf-8"?>
<calcChain xmlns="http://schemas.openxmlformats.org/spreadsheetml/2006/main">
  <c r="D25" i="3" l="1"/>
  <c r="D24" i="3"/>
  <c r="D23" i="3"/>
  <c r="D22" i="3"/>
  <c r="D21" i="3"/>
  <c r="C18" i="3"/>
  <c r="D18" i="3" s="1"/>
  <c r="D17" i="3"/>
  <c r="D19" i="3" s="1"/>
  <c r="C17" i="3"/>
  <c r="C14" i="3"/>
  <c r="D14" i="3" s="1"/>
  <c r="D13" i="3"/>
  <c r="D12" i="3"/>
  <c r="C11" i="3"/>
  <c r="D11" i="3" s="1"/>
  <c r="D10" i="3"/>
  <c r="D15" i="3" s="1"/>
  <c r="D7" i="3"/>
  <c r="D8" i="3" s="1"/>
  <c r="H24" i="3"/>
  <c r="I24" i="3" s="1"/>
  <c r="F24" i="3"/>
  <c r="H23" i="3"/>
  <c r="G23" i="3"/>
  <c r="I23" i="3" s="1"/>
  <c r="F23" i="3"/>
  <c r="B23" i="3"/>
  <c r="G22" i="3"/>
  <c r="I22" i="3" s="1"/>
  <c r="F22" i="3"/>
  <c r="B22" i="3"/>
  <c r="H21" i="3"/>
  <c r="I21" i="3" s="1"/>
  <c r="G21" i="3"/>
  <c r="B21" i="3"/>
  <c r="F21" i="3" s="1"/>
  <c r="F25" i="3" s="1"/>
  <c r="I18" i="3"/>
  <c r="G18" i="3"/>
  <c r="B18" i="3"/>
  <c r="G17" i="3"/>
  <c r="F17" i="3"/>
  <c r="B17" i="3"/>
  <c r="H14" i="3"/>
  <c r="G14" i="3"/>
  <c r="I14" i="3" s="1"/>
  <c r="B14" i="3"/>
  <c r="F14" i="3" s="1"/>
  <c r="G13" i="3"/>
  <c r="I13" i="3" s="1"/>
  <c r="B13" i="3"/>
  <c r="F13" i="3" s="1"/>
  <c r="I12" i="3"/>
  <c r="G12" i="3"/>
  <c r="B12" i="3"/>
  <c r="H11" i="3"/>
  <c r="I11" i="3" s="1"/>
  <c r="F11" i="3"/>
  <c r="F10" i="3"/>
  <c r="I10" i="3"/>
  <c r="H7" i="3"/>
  <c r="G7" i="3"/>
  <c r="I7" i="3" s="1"/>
  <c r="F7" i="3"/>
  <c r="B7" i="3"/>
  <c r="D32" i="2"/>
  <c r="D31" i="2"/>
  <c r="D30" i="2"/>
  <c r="D29" i="2"/>
  <c r="D33" i="2" s="1"/>
  <c r="D26" i="2"/>
  <c r="D27" i="2" s="1"/>
  <c r="D25" i="2"/>
  <c r="D20" i="2"/>
  <c r="D22" i="2" s="1"/>
  <c r="C20" i="2"/>
  <c r="D19" i="2"/>
  <c r="D15" i="2"/>
  <c r="C15" i="2"/>
  <c r="D14" i="2"/>
  <c r="D13" i="2"/>
  <c r="D12" i="2"/>
  <c r="D17" i="2" s="1"/>
  <c r="C12" i="2"/>
  <c r="D11" i="2"/>
  <c r="D8" i="2"/>
  <c r="D9" i="2" s="1"/>
  <c r="D7" i="2"/>
  <c r="D6" i="2"/>
  <c r="H32" i="2"/>
  <c r="I32" i="2" s="1"/>
  <c r="F32" i="2"/>
  <c r="I31" i="2"/>
  <c r="H31" i="2"/>
  <c r="G31" i="2"/>
  <c r="B31" i="2"/>
  <c r="F31" i="2" s="1"/>
  <c r="G30" i="2"/>
  <c r="I30" i="2" s="1"/>
  <c r="B30" i="2"/>
  <c r="F30" i="2" s="1"/>
  <c r="H29" i="2"/>
  <c r="G29" i="2"/>
  <c r="I29" i="2" s="1"/>
  <c r="I33" i="2" s="1"/>
  <c r="F29" i="2"/>
  <c r="B29" i="2"/>
  <c r="G26" i="2"/>
  <c r="F26" i="2"/>
  <c r="B26" i="2"/>
  <c r="G25" i="2"/>
  <c r="B25" i="2"/>
  <c r="F25" i="2" s="1"/>
  <c r="F27" i="2" s="1"/>
  <c r="G20" i="2"/>
  <c r="I20" i="2" s="1"/>
  <c r="E20" i="2"/>
  <c r="B20" i="2"/>
  <c r="F20" i="2" s="1"/>
  <c r="I19" i="2"/>
  <c r="F19" i="2"/>
  <c r="H15" i="2"/>
  <c r="G15" i="2"/>
  <c r="I15" i="2" s="1"/>
  <c r="B15" i="2"/>
  <c r="F15" i="2" s="1"/>
  <c r="G14" i="2"/>
  <c r="I14" i="2" s="1"/>
  <c r="B14" i="2"/>
  <c r="F14" i="2" s="1"/>
  <c r="I13" i="2"/>
  <c r="G13" i="2"/>
  <c r="B13" i="2"/>
  <c r="I12" i="2"/>
  <c r="H12" i="2"/>
  <c r="F12" i="2"/>
  <c r="M13" i="2"/>
  <c r="I11" i="2"/>
  <c r="H8" i="2"/>
  <c r="I8" i="2" s="1"/>
  <c r="G8" i="2"/>
  <c r="F8" i="2"/>
  <c r="B8" i="2"/>
  <c r="H7" i="2"/>
  <c r="G7" i="2"/>
  <c r="I7" i="2" s="1"/>
  <c r="B7" i="2"/>
  <c r="F7" i="2" s="1"/>
  <c r="F9" i="2" s="1"/>
  <c r="H6" i="2"/>
  <c r="H20" i="2" s="1"/>
  <c r="G6" i="2"/>
  <c r="I6" i="2" s="1"/>
  <c r="I9" i="2" s="1"/>
  <c r="F6" i="2"/>
  <c r="B6" i="2"/>
  <c r="D31" i="1"/>
  <c r="D30" i="1"/>
  <c r="D29" i="1"/>
  <c r="D32" i="1" s="1"/>
  <c r="D26" i="1"/>
  <c r="D25" i="1"/>
  <c r="D27" i="1" s="1"/>
  <c r="D20" i="1"/>
  <c r="C20" i="1"/>
  <c r="D19" i="1"/>
  <c r="D22" i="1" s="1"/>
  <c r="D15" i="1"/>
  <c r="C15" i="1"/>
  <c r="D14" i="1"/>
  <c r="C13" i="1"/>
  <c r="D13" i="1" s="1"/>
  <c r="C12" i="1"/>
  <c r="D12" i="1" s="1"/>
  <c r="D11" i="1"/>
  <c r="D9" i="1"/>
  <c r="D8" i="1"/>
  <c r="D7" i="1"/>
  <c r="D6" i="1"/>
  <c r="H31" i="1"/>
  <c r="I31" i="1" s="1"/>
  <c r="F31" i="1"/>
  <c r="G30" i="1"/>
  <c r="I30" i="1" s="1"/>
  <c r="F30" i="1"/>
  <c r="B30" i="1"/>
  <c r="H29" i="1"/>
  <c r="G29" i="1"/>
  <c r="I29" i="1" s="1"/>
  <c r="I32" i="1" s="1"/>
  <c r="F29" i="1"/>
  <c r="F32" i="1" s="1"/>
  <c r="B29" i="1"/>
  <c r="G26" i="1"/>
  <c r="F26" i="1"/>
  <c r="B26" i="1"/>
  <c r="I25" i="1"/>
  <c r="G25" i="1"/>
  <c r="B25" i="1"/>
  <c r="F25" i="1" s="1"/>
  <c r="F27" i="1" s="1"/>
  <c r="G20" i="1"/>
  <c r="I20" i="1" s="1"/>
  <c r="E20" i="1"/>
  <c r="B20" i="1"/>
  <c r="F20" i="1" s="1"/>
  <c r="I19" i="1"/>
  <c r="I22" i="1" s="1"/>
  <c r="F19" i="1"/>
  <c r="H15" i="1"/>
  <c r="G15" i="1"/>
  <c r="I15" i="1" s="1"/>
  <c r="F15" i="1"/>
  <c r="B15" i="1"/>
  <c r="G14" i="1"/>
  <c r="I14" i="1" s="1"/>
  <c r="F14" i="1"/>
  <c r="B14" i="1"/>
  <c r="I13" i="1"/>
  <c r="G13" i="1"/>
  <c r="B13" i="1"/>
  <c r="I12" i="1"/>
  <c r="H12" i="1"/>
  <c r="F12" i="1"/>
  <c r="M13" i="1"/>
  <c r="I11" i="1"/>
  <c r="I8" i="1"/>
  <c r="H8" i="1"/>
  <c r="G8" i="1"/>
  <c r="B8" i="1"/>
  <c r="F8" i="1" s="1"/>
  <c r="H7" i="1"/>
  <c r="G7" i="1"/>
  <c r="I7" i="1" s="1"/>
  <c r="F7" i="1"/>
  <c r="B7" i="1"/>
  <c r="H6" i="1"/>
  <c r="H20" i="1" s="1"/>
  <c r="G6" i="1"/>
  <c r="I6" i="1" s="1"/>
  <c r="I9" i="1" s="1"/>
  <c r="B6" i="1"/>
  <c r="F6" i="1" s="1"/>
  <c r="F9" i="1" s="1"/>
  <c r="F18" i="3" l="1"/>
  <c r="F19" i="3" s="1"/>
  <c r="I15" i="3"/>
  <c r="I17" i="2"/>
  <c r="I26" i="1"/>
  <c r="I27" i="1" s="1"/>
  <c r="J27" i="1" s="1"/>
  <c r="D27" i="3"/>
  <c r="M12" i="3"/>
  <c r="F12" i="3" s="1"/>
  <c r="F15" i="3" s="1"/>
  <c r="I17" i="3"/>
  <c r="I19" i="3" s="1"/>
  <c r="I8" i="3"/>
  <c r="I25" i="3"/>
  <c r="J25" i="3" s="1"/>
  <c r="F8" i="3"/>
  <c r="D23" i="2"/>
  <c r="D35" i="2" s="1"/>
  <c r="I25" i="2"/>
  <c r="I26" i="2"/>
  <c r="F22" i="2"/>
  <c r="I22" i="2"/>
  <c r="J22" i="2" s="1"/>
  <c r="F33" i="2"/>
  <c r="J9" i="2"/>
  <c r="J33" i="2"/>
  <c r="I17" i="1"/>
  <c r="I23" i="1" s="1"/>
  <c r="D17" i="1"/>
  <c r="D23" i="1" s="1"/>
  <c r="D34" i="1" s="1"/>
  <c r="J9" i="1"/>
  <c r="J32" i="1"/>
  <c r="F22" i="1"/>
  <c r="J22" i="1" s="1"/>
  <c r="J19" i="3" l="1"/>
  <c r="J15" i="3"/>
  <c r="I34" i="1"/>
  <c r="I35" i="1" s="1"/>
  <c r="I36" i="1" s="1"/>
  <c r="D28" i="3"/>
  <c r="D29" i="3" s="1"/>
  <c r="I27" i="3"/>
  <c r="F27" i="3"/>
  <c r="J8" i="3"/>
  <c r="I27" i="2"/>
  <c r="J27" i="2" s="1"/>
  <c r="D37" i="2"/>
  <c r="D36" i="2"/>
  <c r="I23" i="2"/>
  <c r="D35" i="1"/>
  <c r="D36" i="1"/>
  <c r="I28" i="3" l="1"/>
  <c r="I29" i="3" s="1"/>
  <c r="F28" i="3"/>
  <c r="F29" i="3" s="1"/>
  <c r="D38" i="2"/>
  <c r="D39" i="2" s="1"/>
  <c r="I35" i="2"/>
  <c r="D37" i="1"/>
  <c r="D38" i="1" s="1"/>
  <c r="I37" i="1"/>
  <c r="I38" i="1" s="1"/>
  <c r="J29" i="3" l="1"/>
  <c r="I36" i="2"/>
  <c r="I37" i="2" s="1"/>
  <c r="F11" i="2" l="1"/>
  <c r="I38" i="2"/>
  <c r="I39" i="2" s="1"/>
  <c r="F13" i="2" l="1"/>
  <c r="F17" i="2" s="1"/>
  <c r="F13" i="1"/>
  <c r="J17" i="2" l="1"/>
  <c r="F23" i="2"/>
  <c r="F11" i="1"/>
  <c r="F17" i="1" s="1"/>
  <c r="F35" i="2" l="1"/>
  <c r="F36" i="2" s="1"/>
  <c r="F37" i="2" s="1"/>
  <c r="F38" i="2" s="1"/>
  <c r="F39" i="2" s="1"/>
  <c r="J39" i="2" s="1"/>
  <c r="J23" i="2"/>
  <c r="F23" i="1"/>
  <c r="J17" i="1"/>
  <c r="F34" i="1" l="1"/>
  <c r="F35" i="1" s="1"/>
  <c r="F36" i="1" s="1"/>
  <c r="F37" i="1" s="1"/>
  <c r="F38" i="1" s="1"/>
  <c r="J38" i="1" s="1"/>
  <c r="J23" i="1"/>
</calcChain>
</file>

<file path=xl/sharedStrings.xml><?xml version="1.0" encoding="utf-8"?>
<sst xmlns="http://schemas.openxmlformats.org/spreadsheetml/2006/main" count="112" uniqueCount="48">
  <si>
    <t>Volume</t>
  </si>
  <si>
    <t>Assumed Growth Rate for No Acquisition Scenario</t>
  </si>
  <si>
    <t>Monthly Consumption (kWh)</t>
  </si>
  <si>
    <t>Total Loss Factors</t>
  </si>
  <si>
    <t>TOU - Off Peak Consumption</t>
  </si>
  <si>
    <t>TOU - Mid Peak Consumption</t>
  </si>
  <si>
    <t>TOU - On Peak Consumption</t>
  </si>
  <si>
    <t>Total: Commodity</t>
  </si>
  <si>
    <t>DX Fixed Charge ($)</t>
  </si>
  <si>
    <t>DX Fixed Charge Rate Riders ($)</t>
  </si>
  <si>
    <t>DX Vol. Charge ($/kWh)</t>
  </si>
  <si>
    <t>DX Low Voltage Charge ($/kWh)</t>
  </si>
  <si>
    <t>DX Vol. Rate Riders ($/kWh)</t>
  </si>
  <si>
    <t>Smart Meter Entity Charge ($)</t>
  </si>
  <si>
    <t>Cost of Losses ($/kWh)</t>
  </si>
  <si>
    <t>Distribution Pass-through Charges</t>
  </si>
  <si>
    <t>Total: Distribution</t>
  </si>
  <si>
    <t>TX-Network ($/kWh)</t>
  </si>
  <si>
    <t>TX-Connection ($/kWh)</t>
  </si>
  <si>
    <t>Total: Transmission</t>
  </si>
  <si>
    <t>WMSC ($/kWh)</t>
  </si>
  <si>
    <t>RRRP ($/kWh)</t>
  </si>
  <si>
    <t>SSA ($)</t>
  </si>
  <si>
    <t>Total: Regulatory</t>
  </si>
  <si>
    <t>Total Bill (Before Taxes)</t>
  </si>
  <si>
    <t xml:space="preserve">    HST</t>
  </si>
  <si>
    <t>Total Bill (Including HST)</t>
  </si>
  <si>
    <t xml:space="preserve">   OREC</t>
  </si>
  <si>
    <t>Total Bill (Including HST and OREC)</t>
  </si>
  <si>
    <t>DRC ($/kWh)</t>
  </si>
  <si>
    <t>Total Bill (Including HST &amp; OREC)</t>
  </si>
  <si>
    <t>Peak (kW)</t>
  </si>
  <si>
    <t>Avg IESO WMP (Per 2018 IRM Model)</t>
  </si>
  <si>
    <t>DX Vol. Charge ($/kW)</t>
  </si>
  <si>
    <t>DX Low Voltage Charge ($/kW)</t>
  </si>
  <si>
    <t>DX Vol. Rate Riders ($/kW)</t>
  </si>
  <si>
    <t>TX-Network ($/kW)</t>
  </si>
  <si>
    <t>TX-Connection ($/kW)</t>
  </si>
  <si>
    <t>Charges ($)</t>
  </si>
  <si>
    <t>2021 Escalated Acquired Utility Rates</t>
  </si>
  <si>
    <t>2021 Hydro One Proposed Rates</t>
  </si>
  <si>
    <t xml:space="preserve"> Charges ($)</t>
  </si>
  <si>
    <t>2021 Hydro One Proposed VS Escalated Acquired Utility Charges (%)</t>
  </si>
  <si>
    <t>Distribution (Excl. Pass-through Charges)</t>
  </si>
  <si>
    <t xml:space="preserve">Norfolk_Residential </t>
  </si>
  <si>
    <t>Norfolk_General Service Less Than 50 kW</t>
  </si>
  <si>
    <t>Norfolk_General Service 50-4,999 kW</t>
  </si>
  <si>
    <t>Acquired Utility Rates at the time of Acquisition (2013)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</si>
</sst>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000"/>
    <numFmt numFmtId="165" formatCode="0.000"/>
    <numFmt numFmtId="166" formatCode="&quot;$&quot;#,##0.00"/>
    <numFmt numFmtId="167" formatCode="0.0000"/>
    <numFmt numFmtId="168" formatCode="0.0%"/>
    <numFmt numFmtId="169" formatCode="#,##0.000"/>
    <numFmt numFmtId="170" formatCode="#,##0.000_);\(#,##0.000\)"/>
    <numFmt numFmtId="171" formatCode="#,##0.0000_);\(#,##0.00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0" xfId="0" applyFont="1"/>
    <xf numFmtId="0" fontId="2" fillId="2" borderId="0" xfId="0" applyFont="1" applyFill="1"/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0" fontId="4" fillId="0" borderId="8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0" fontId="4" fillId="0" borderId="12" xfId="2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166" fontId="4" fillId="0" borderId="12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0" fontId="1" fillId="0" borderId="0" xfId="2" applyNumberFormat="1" applyFont="1"/>
    <xf numFmtId="0" fontId="3" fillId="0" borderId="10" xfId="0" applyFont="1" applyBorder="1" applyAlignment="1">
      <alignment horizontal="right"/>
    </xf>
    <xf numFmtId="166" fontId="3" fillId="0" borderId="12" xfId="0" applyNumberFormat="1" applyFont="1" applyBorder="1" applyAlignment="1">
      <alignment horizontal="center"/>
    </xf>
    <xf numFmtId="9" fontId="1" fillId="0" borderId="0" xfId="2" applyFont="1"/>
    <xf numFmtId="0" fontId="2" fillId="2" borderId="0" xfId="0" applyFont="1" applyFill="1" applyAlignment="1">
      <alignment horizontal="center"/>
    </xf>
    <xf numFmtId="10" fontId="0" fillId="2" borderId="0" xfId="0" applyNumberFormat="1" applyFill="1" applyAlignment="1">
      <alignment horizontal="center"/>
    </xf>
    <xf numFmtId="2" fontId="4" fillId="0" borderId="11" xfId="0" applyNumberFormat="1" applyFont="1" applyBorder="1" applyAlignment="1">
      <alignment horizontal="center"/>
    </xf>
    <xf numFmtId="167" fontId="4" fillId="0" borderId="11" xfId="0" applyNumberFormat="1" applyFont="1" applyBorder="1" applyAlignment="1">
      <alignment horizontal="center"/>
    </xf>
    <xf numFmtId="10" fontId="2" fillId="0" borderId="0" xfId="2" applyNumberFormat="1" applyFont="1"/>
    <xf numFmtId="1" fontId="3" fillId="0" borderId="11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9" fontId="4" fillId="0" borderId="11" xfId="2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2" xfId="2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0" fontId="1" fillId="0" borderId="0" xfId="2" applyNumberFormat="1" applyFont="1" applyAlignment="1">
      <alignment horizontal="center"/>
    </xf>
    <xf numFmtId="166" fontId="4" fillId="0" borderId="1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167" fontId="4" fillId="0" borderId="1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9" fontId="4" fillId="0" borderId="0" xfId="2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9" fontId="3" fillId="0" borderId="3" xfId="2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6" fontId="3" fillId="0" borderId="4" xfId="0" applyNumberFormat="1" applyFont="1" applyFill="1" applyBorder="1" applyAlignment="1">
      <alignment horizontal="center"/>
    </xf>
    <xf numFmtId="9" fontId="3" fillId="0" borderId="2" xfId="2" applyFont="1" applyFill="1" applyBorder="1" applyAlignment="1">
      <alignment horizontal="center"/>
    </xf>
    <xf numFmtId="167" fontId="3" fillId="0" borderId="11" xfId="0" applyNumberFormat="1" applyFont="1" applyBorder="1" applyAlignment="1">
      <alignment horizontal="center"/>
    </xf>
    <xf numFmtId="168" fontId="3" fillId="0" borderId="12" xfId="2" applyNumberFormat="1" applyFont="1" applyBorder="1" applyAlignment="1">
      <alignment horizontal="center"/>
    </xf>
    <xf numFmtId="168" fontId="4" fillId="0" borderId="12" xfId="2" applyNumberFormat="1" applyFont="1" applyBorder="1" applyAlignment="1">
      <alignment horizontal="center"/>
    </xf>
    <xf numFmtId="168" fontId="3" fillId="0" borderId="1" xfId="2" applyNumberFormat="1" applyFont="1" applyBorder="1" applyAlignment="1">
      <alignment horizontal="center"/>
    </xf>
    <xf numFmtId="10" fontId="4" fillId="0" borderId="6" xfId="2" applyNumberFormat="1" applyFont="1" applyBorder="1" applyAlignment="1">
      <alignment horizontal="center"/>
    </xf>
    <xf numFmtId="10" fontId="4" fillId="0" borderId="10" xfId="2" applyNumberFormat="1" applyFont="1" applyBorder="1" applyAlignment="1">
      <alignment horizontal="center"/>
    </xf>
    <xf numFmtId="9" fontId="4" fillId="0" borderId="13" xfId="2" applyFont="1" applyBorder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9" fontId="4" fillId="0" borderId="15" xfId="2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169" fontId="4" fillId="0" borderId="11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8" fontId="3" fillId="0" borderId="10" xfId="2" applyNumberFormat="1" applyFont="1" applyBorder="1" applyAlignment="1">
      <alignment horizontal="center"/>
    </xf>
    <xf numFmtId="168" fontId="4" fillId="0" borderId="10" xfId="2" applyNumberFormat="1" applyFont="1" applyBorder="1" applyAlignment="1">
      <alignment horizontal="center"/>
    </xf>
    <xf numFmtId="168" fontId="0" fillId="0" borderId="0" xfId="0" applyNumberFormat="1" applyAlignment="1">
      <alignment horizontal="center"/>
    </xf>
    <xf numFmtId="37" fontId="3" fillId="0" borderId="7" xfId="1" applyNumberFormat="1" applyFont="1" applyBorder="1" applyAlignment="1">
      <alignment horizontal="center"/>
    </xf>
    <xf numFmtId="37" fontId="3" fillId="0" borderId="6" xfId="1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37" fontId="3" fillId="0" borderId="11" xfId="1" applyNumberFormat="1" applyFont="1" applyBorder="1" applyAlignment="1">
      <alignment horizontal="center"/>
    </xf>
    <xf numFmtId="37" fontId="3" fillId="0" borderId="10" xfId="1" applyNumberFormat="1" applyFont="1" applyBorder="1" applyAlignment="1">
      <alignment horizontal="center"/>
    </xf>
    <xf numFmtId="37" fontId="4" fillId="0" borderId="10" xfId="0" applyNumberFormat="1" applyFont="1" applyBorder="1" applyAlignment="1">
      <alignment horizontal="center"/>
    </xf>
    <xf numFmtId="37" fontId="3" fillId="0" borderId="10" xfId="0" applyNumberFormat="1" applyFont="1" applyBorder="1" applyAlignment="1">
      <alignment horizontal="center"/>
    </xf>
    <xf numFmtId="37" fontId="4" fillId="0" borderId="11" xfId="0" applyNumberFormat="1" applyFont="1" applyBorder="1" applyAlignment="1">
      <alignment horizontal="center"/>
    </xf>
    <xf numFmtId="37" fontId="3" fillId="0" borderId="11" xfId="0" applyNumberFormat="1" applyFont="1" applyBorder="1" applyAlignment="1">
      <alignment horizontal="center"/>
    </xf>
    <xf numFmtId="37" fontId="3" fillId="0" borderId="12" xfId="1" applyNumberFormat="1" applyFont="1" applyBorder="1" applyAlignment="1">
      <alignment horizontal="center"/>
    </xf>
    <xf numFmtId="39" fontId="4" fillId="0" borderId="11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1" fontId="4" fillId="0" borderId="11" xfId="0" applyNumberFormat="1" applyFont="1" applyBorder="1" applyAlignment="1">
      <alignment horizontal="center"/>
    </xf>
    <xf numFmtId="166" fontId="3" fillId="0" borderId="12" xfId="0" applyNumberFormat="1" applyFont="1" applyFill="1" applyBorder="1" applyAlignment="1">
      <alignment horizontal="center"/>
    </xf>
    <xf numFmtId="37" fontId="3" fillId="0" borderId="10" xfId="0" applyNumberFormat="1" applyFont="1" applyFill="1" applyBorder="1" applyAlignment="1">
      <alignment horizontal="center"/>
    </xf>
    <xf numFmtId="37" fontId="4" fillId="0" borderId="1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167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7" fontId="4" fillId="0" borderId="2" xfId="0" applyNumberFormat="1" applyFont="1" applyBorder="1" applyAlignment="1">
      <alignment horizontal="center"/>
    </xf>
    <xf numFmtId="168" fontId="3" fillId="0" borderId="4" xfId="2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7" fontId="4" fillId="0" borderId="2" xfId="0" applyNumberFormat="1" applyFont="1" applyBorder="1" applyAlignment="1">
      <alignment horizontal="center"/>
    </xf>
    <xf numFmtId="167" fontId="4" fillId="0" borderId="3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workbookViewId="0">
      <selection activeCell="C2" sqref="C2"/>
    </sheetView>
  </sheetViews>
  <sheetFormatPr defaultRowHeight="14.4" x14ac:dyDescent="0.3"/>
  <cols>
    <col min="1" max="1" width="34.88671875" style="51" bestFit="1" customWidth="1"/>
    <col min="2" max="4" width="12.44140625" style="19" customWidth="1"/>
    <col min="5" max="6" width="12.44140625" customWidth="1"/>
    <col min="7" max="10" width="12.44140625" style="19" customWidth="1"/>
    <col min="13" max="13" width="20.33203125" hidden="1" customWidth="1"/>
  </cols>
  <sheetData>
    <row r="1" spans="1:13" s="2" customFormat="1" ht="15.75" thickBot="1" x14ac:dyDescent="0.3">
      <c r="A1" s="124" t="s">
        <v>44</v>
      </c>
      <c r="B1" s="125"/>
      <c r="C1" s="125"/>
      <c r="D1" s="125"/>
      <c r="E1" s="125"/>
      <c r="F1" s="125"/>
      <c r="G1" s="125"/>
      <c r="H1" s="125"/>
      <c r="I1" s="125"/>
      <c r="J1" s="126"/>
      <c r="M1" s="3"/>
    </row>
    <row r="2" spans="1:13" s="9" customFormat="1" ht="77.25" thickBot="1" x14ac:dyDescent="0.3">
      <c r="A2" s="4"/>
      <c r="B2" s="5" t="s">
        <v>0</v>
      </c>
      <c r="C2" s="7" t="s">
        <v>47</v>
      </c>
      <c r="D2" s="8" t="s">
        <v>38</v>
      </c>
      <c r="E2" s="6" t="s">
        <v>39</v>
      </c>
      <c r="F2" s="6" t="s">
        <v>38</v>
      </c>
      <c r="G2" s="5" t="s">
        <v>0</v>
      </c>
      <c r="H2" s="7" t="s">
        <v>40</v>
      </c>
      <c r="I2" s="8" t="s">
        <v>41</v>
      </c>
      <c r="J2" s="5" t="s">
        <v>42</v>
      </c>
      <c r="M2" s="10" t="s">
        <v>1</v>
      </c>
    </row>
    <row r="3" spans="1:13" s="19" customFormat="1" ht="15" x14ac:dyDescent="0.25">
      <c r="A3" s="11" t="s">
        <v>2</v>
      </c>
      <c r="B3" s="12">
        <v>750</v>
      </c>
      <c r="C3" s="12"/>
      <c r="D3" s="68"/>
      <c r="E3" s="61"/>
      <c r="F3" s="14"/>
      <c r="G3" s="15">
        <v>750</v>
      </c>
      <c r="H3" s="16"/>
      <c r="I3" s="17"/>
      <c r="J3" s="18"/>
      <c r="M3" s="20"/>
    </row>
    <row r="4" spans="1:13" s="19" customFormat="1" ht="15" x14ac:dyDescent="0.25">
      <c r="A4" s="21" t="s">
        <v>3</v>
      </c>
      <c r="B4" s="22">
        <v>1.0564</v>
      </c>
      <c r="C4" s="22"/>
      <c r="D4" s="69"/>
      <c r="E4" s="62"/>
      <c r="F4" s="24"/>
      <c r="G4" s="25">
        <v>1.0667</v>
      </c>
      <c r="H4" s="26"/>
      <c r="I4" s="27"/>
      <c r="J4" s="28"/>
      <c r="M4" s="20"/>
    </row>
    <row r="5" spans="1:13" ht="15" x14ac:dyDescent="0.25">
      <c r="A5" s="29"/>
      <c r="B5" s="26"/>
      <c r="C5" s="26"/>
      <c r="D5" s="27"/>
      <c r="E5" s="30"/>
      <c r="F5" s="27"/>
      <c r="G5" s="30"/>
      <c r="H5" s="26"/>
      <c r="I5" s="27"/>
      <c r="J5" s="28"/>
      <c r="M5" s="20"/>
    </row>
    <row r="6" spans="1:13" ht="15" x14ac:dyDescent="0.25">
      <c r="A6" s="29" t="s">
        <v>4</v>
      </c>
      <c r="B6" s="31">
        <f>($B$3)*0.65</f>
        <v>487.5</v>
      </c>
      <c r="C6" s="32">
        <v>6.5000000000000002E-2</v>
      </c>
      <c r="D6" s="33">
        <f>B6*C6</f>
        <v>31.6875</v>
      </c>
      <c r="E6" s="63">
        <v>6.5000000000000002E-2</v>
      </c>
      <c r="F6" s="33">
        <f>B6*E6</f>
        <v>31.6875</v>
      </c>
      <c r="G6" s="34">
        <f>($B$3)*0.65</f>
        <v>487.5</v>
      </c>
      <c r="H6" s="32">
        <f>E6</f>
        <v>6.5000000000000002E-2</v>
      </c>
      <c r="I6" s="33">
        <f>G6*H6</f>
        <v>31.6875</v>
      </c>
      <c r="J6" s="28"/>
      <c r="K6" s="35"/>
      <c r="M6" s="20"/>
    </row>
    <row r="7" spans="1:13" ht="15" x14ac:dyDescent="0.25">
      <c r="A7" s="29" t="s">
        <v>5</v>
      </c>
      <c r="B7" s="31">
        <f>($B$3)*0.17</f>
        <v>127.50000000000001</v>
      </c>
      <c r="C7" s="32">
        <v>9.5000000000000001E-2</v>
      </c>
      <c r="D7" s="33">
        <f>B7*C7</f>
        <v>12.112500000000001</v>
      </c>
      <c r="E7" s="63">
        <v>9.5000000000000001E-2</v>
      </c>
      <c r="F7" s="33">
        <f>B7*E7</f>
        <v>12.112500000000001</v>
      </c>
      <c r="G7" s="34">
        <f>($B$3)*0.17</f>
        <v>127.50000000000001</v>
      </c>
      <c r="H7" s="32">
        <f>E7</f>
        <v>9.5000000000000001E-2</v>
      </c>
      <c r="I7" s="33">
        <f>G7*H7</f>
        <v>12.112500000000001</v>
      </c>
      <c r="J7" s="28"/>
      <c r="K7" s="35"/>
      <c r="M7" s="20"/>
    </row>
    <row r="8" spans="1:13" ht="15" x14ac:dyDescent="0.25">
      <c r="A8" s="29" t="s">
        <v>6</v>
      </c>
      <c r="B8" s="31">
        <f>($B$3)*0.18</f>
        <v>135</v>
      </c>
      <c r="C8" s="32">
        <v>0.13200000000000001</v>
      </c>
      <c r="D8" s="33">
        <f>B8*C8</f>
        <v>17.82</v>
      </c>
      <c r="E8" s="63">
        <v>0.13200000000000001</v>
      </c>
      <c r="F8" s="33">
        <f>B8*E8</f>
        <v>17.82</v>
      </c>
      <c r="G8" s="34">
        <f>($B$3)*0.18</f>
        <v>135</v>
      </c>
      <c r="H8" s="32">
        <f>E8</f>
        <v>0.13200000000000001</v>
      </c>
      <c r="I8" s="33">
        <f>G8*H8</f>
        <v>17.82</v>
      </c>
      <c r="J8" s="28"/>
      <c r="K8" s="35"/>
      <c r="M8" s="20"/>
    </row>
    <row r="9" spans="1:13" s="2" customFormat="1" ht="15" x14ac:dyDescent="0.25">
      <c r="A9" s="36" t="s">
        <v>7</v>
      </c>
      <c r="B9" s="22"/>
      <c r="C9" s="22"/>
      <c r="D9" s="37">
        <f>SUM(D6:D8)</f>
        <v>61.62</v>
      </c>
      <c r="E9" s="25"/>
      <c r="F9" s="37">
        <f>SUM(F6:F8)</f>
        <v>61.62</v>
      </c>
      <c r="G9" s="25"/>
      <c r="H9" s="22"/>
      <c r="I9" s="37">
        <f>SUM(I6:I8)</f>
        <v>61.62</v>
      </c>
      <c r="J9" s="75">
        <f>(I9-F9)/F9</f>
        <v>0</v>
      </c>
      <c r="K9" s="38"/>
      <c r="M9" s="39"/>
    </row>
    <row r="10" spans="1:13" s="2" customFormat="1" ht="15" x14ac:dyDescent="0.25">
      <c r="A10" s="36"/>
      <c r="B10" s="22"/>
      <c r="C10" s="22"/>
      <c r="D10" s="37"/>
      <c r="E10" s="25"/>
      <c r="F10" s="37"/>
      <c r="G10" s="25"/>
      <c r="H10" s="22"/>
      <c r="I10" s="37"/>
      <c r="J10" s="75"/>
      <c r="M10" s="39"/>
    </row>
    <row r="11" spans="1:13" ht="15" x14ac:dyDescent="0.25">
      <c r="A11" s="29" t="s">
        <v>8</v>
      </c>
      <c r="B11" s="26">
        <v>1</v>
      </c>
      <c r="C11" s="26">
        <v>20.87</v>
      </c>
      <c r="D11" s="33">
        <f>B11*C11</f>
        <v>20.87</v>
      </c>
      <c r="E11" s="64">
        <v>44.56</v>
      </c>
      <c r="F11" s="53">
        <f>B11*E11</f>
        <v>44.56</v>
      </c>
      <c r="G11" s="54">
        <v>1</v>
      </c>
      <c r="H11" s="55">
        <v>37.700000000000003</v>
      </c>
      <c r="I11" s="53">
        <f>G11*H11</f>
        <v>37.700000000000003</v>
      </c>
      <c r="J11" s="76"/>
      <c r="K11" s="35"/>
      <c r="M11" s="40">
        <v>6.3E-2</v>
      </c>
    </row>
    <row r="12" spans="1:13" ht="15" x14ac:dyDescent="0.25">
      <c r="A12" s="29" t="s">
        <v>9</v>
      </c>
      <c r="B12" s="26">
        <v>1</v>
      </c>
      <c r="C12" s="26">
        <f>0.1+0.93</f>
        <v>1.03</v>
      </c>
      <c r="D12" s="33">
        <f>B12*C12</f>
        <v>1.03</v>
      </c>
      <c r="E12" s="64">
        <v>0</v>
      </c>
      <c r="F12" s="53">
        <f>B12*E12</f>
        <v>0</v>
      </c>
      <c r="G12" s="54">
        <v>1</v>
      </c>
      <c r="H12" s="55">
        <f>E12</f>
        <v>0</v>
      </c>
      <c r="I12" s="53">
        <f>G12*H12</f>
        <v>0</v>
      </c>
      <c r="J12" s="76"/>
      <c r="K12" s="35"/>
      <c r="M12" s="20"/>
    </row>
    <row r="13" spans="1:13" ht="15" x14ac:dyDescent="0.25">
      <c r="A13" s="29" t="s">
        <v>10</v>
      </c>
      <c r="B13" s="26">
        <f>B3</f>
        <v>750</v>
      </c>
      <c r="C13" s="26">
        <f>0.0218</f>
        <v>2.18E-2</v>
      </c>
      <c r="D13" s="33">
        <f>B13*C13</f>
        <v>16.350000000000001</v>
      </c>
      <c r="E13" s="112">
        <v>0</v>
      </c>
      <c r="F13" s="53">
        <f>B13*E13</f>
        <v>0</v>
      </c>
      <c r="G13" s="54">
        <f>G3</f>
        <v>750</v>
      </c>
      <c r="H13" s="56">
        <v>0</v>
      </c>
      <c r="I13" s="53">
        <f>G13*H13</f>
        <v>0</v>
      </c>
      <c r="J13" s="76"/>
      <c r="K13" s="35"/>
      <c r="M13" s="40">
        <f>M11</f>
        <v>6.3E-2</v>
      </c>
    </row>
    <row r="14" spans="1:13" ht="15" x14ac:dyDescent="0.25">
      <c r="A14" s="29" t="s">
        <v>11</v>
      </c>
      <c r="B14" s="26">
        <f>B3</f>
        <v>750</v>
      </c>
      <c r="C14" s="26">
        <v>8.9999999999999998E-4</v>
      </c>
      <c r="D14" s="33">
        <f>B14*C14</f>
        <v>0.67499999999999993</v>
      </c>
      <c r="E14" s="54">
        <v>8.9999999999999998E-4</v>
      </c>
      <c r="F14" s="53">
        <f>B14*E14</f>
        <v>0.67499999999999993</v>
      </c>
      <c r="G14" s="54">
        <f>G3</f>
        <v>750</v>
      </c>
      <c r="H14" s="56">
        <v>0</v>
      </c>
      <c r="I14" s="53">
        <f>G14*H14</f>
        <v>0</v>
      </c>
      <c r="J14" s="76"/>
      <c r="K14" s="35"/>
    </row>
    <row r="15" spans="1:13" ht="15" x14ac:dyDescent="0.25">
      <c r="A15" s="29" t="s">
        <v>12</v>
      </c>
      <c r="B15" s="26">
        <f>B3</f>
        <v>750</v>
      </c>
      <c r="C15" s="26">
        <f>-0.0008+0.0004+0.0002</f>
        <v>-2.0000000000000001E-4</v>
      </c>
      <c r="D15" s="33">
        <f>B15*C15</f>
        <v>-0.15</v>
      </c>
      <c r="E15" s="65">
        <v>0</v>
      </c>
      <c r="F15" s="33">
        <f>B15*E15</f>
        <v>0</v>
      </c>
      <c r="G15" s="30">
        <f>G3</f>
        <v>750</v>
      </c>
      <c r="H15" s="42">
        <f>E15</f>
        <v>0</v>
      </c>
      <c r="I15" s="33">
        <f>G15*H15</f>
        <v>0</v>
      </c>
      <c r="J15" s="76"/>
      <c r="K15" s="35"/>
    </row>
    <row r="16" spans="1:13" ht="15.75" thickBot="1" x14ac:dyDescent="0.3">
      <c r="A16" s="29"/>
      <c r="B16" s="26"/>
      <c r="C16" s="26"/>
      <c r="D16" s="33"/>
      <c r="E16" s="65"/>
      <c r="F16" s="33"/>
      <c r="G16" s="30"/>
      <c r="H16" s="42"/>
      <c r="I16" s="33"/>
      <c r="J16" s="76"/>
    </row>
    <row r="17" spans="1:11" ht="15.75" thickBot="1" x14ac:dyDescent="0.3">
      <c r="A17" s="113" t="s">
        <v>43</v>
      </c>
      <c r="B17" s="114"/>
      <c r="C17" s="114"/>
      <c r="D17" s="50">
        <f>SUM(D11,D13,D14,D12,D15)</f>
        <v>38.774999999999999</v>
      </c>
      <c r="E17" s="115"/>
      <c r="F17" s="50">
        <f>SUM(F11,F13,F14,F12,F15)</f>
        <v>45.234999999999999</v>
      </c>
      <c r="G17" s="116"/>
      <c r="H17" s="117"/>
      <c r="I17" s="50">
        <f>SUM(I11,I13,I14,I12,I15)</f>
        <v>37.700000000000003</v>
      </c>
      <c r="J17" s="118">
        <f>(I17-F17)/F17</f>
        <v>-0.16657455510113842</v>
      </c>
    </row>
    <row r="18" spans="1:11" ht="15" x14ac:dyDescent="0.25">
      <c r="A18" s="36"/>
      <c r="B18" s="26"/>
      <c r="C18" s="26"/>
      <c r="D18" s="33"/>
      <c r="E18" s="65"/>
      <c r="F18" s="37"/>
      <c r="G18" s="30"/>
      <c r="H18" s="42"/>
      <c r="I18" s="37"/>
      <c r="J18" s="75"/>
    </row>
    <row r="19" spans="1:11" ht="15" x14ac:dyDescent="0.25">
      <c r="A19" s="29" t="s">
        <v>13</v>
      </c>
      <c r="B19" s="26">
        <v>1</v>
      </c>
      <c r="C19" s="26">
        <v>0.79</v>
      </c>
      <c r="D19" s="33">
        <f>B19*C19</f>
        <v>0.79</v>
      </c>
      <c r="E19" s="66">
        <v>0.79</v>
      </c>
      <c r="F19" s="33">
        <f>B19*E19</f>
        <v>0.79</v>
      </c>
      <c r="G19" s="30">
        <v>1</v>
      </c>
      <c r="H19" s="41">
        <v>0.79</v>
      </c>
      <c r="I19" s="33">
        <f>G19*H19</f>
        <v>0.79</v>
      </c>
      <c r="J19" s="75"/>
      <c r="K19" s="35"/>
    </row>
    <row r="20" spans="1:11" ht="15" x14ac:dyDescent="0.25">
      <c r="A20" s="29" t="s">
        <v>14</v>
      </c>
      <c r="B20" s="31">
        <f>(B3*B4)-B3</f>
        <v>42.299999999999955</v>
      </c>
      <c r="C20" s="42">
        <f>C6*0.65+C7*0.17+C8*0.18</f>
        <v>8.2160000000000011E-2</v>
      </c>
      <c r="D20" s="33">
        <f>B20*C20</f>
        <v>3.4753679999999969</v>
      </c>
      <c r="E20" s="65">
        <f>E6*0.65+E7*0.17+E8*0.18</f>
        <v>8.2160000000000011E-2</v>
      </c>
      <c r="F20" s="33">
        <f>B20*E20</f>
        <v>3.4753679999999969</v>
      </c>
      <c r="G20" s="34">
        <f>(G3*G4)-G3</f>
        <v>50.024999999999977</v>
      </c>
      <c r="H20" s="42">
        <f>H6*0.65+H7*0.17+H8*0.18</f>
        <v>8.2160000000000011E-2</v>
      </c>
      <c r="I20" s="33">
        <f>G20*H20</f>
        <v>4.110053999999999</v>
      </c>
      <c r="J20" s="75"/>
      <c r="K20" s="35"/>
    </row>
    <row r="21" spans="1:11" ht="15" x14ac:dyDescent="0.25">
      <c r="A21" s="29"/>
      <c r="B21" s="26"/>
      <c r="C21" s="26"/>
      <c r="D21" s="33"/>
      <c r="E21" s="65"/>
      <c r="F21" s="37"/>
      <c r="G21" s="30"/>
      <c r="H21" s="42"/>
      <c r="I21" s="37"/>
      <c r="J21" s="75"/>
    </row>
    <row r="22" spans="1:11" ht="15" x14ac:dyDescent="0.25">
      <c r="A22" s="36" t="s">
        <v>15</v>
      </c>
      <c r="B22" s="26"/>
      <c r="C22" s="26"/>
      <c r="D22" s="37">
        <f>D19+D20</f>
        <v>4.2653679999999969</v>
      </c>
      <c r="E22" s="65"/>
      <c r="F22" s="37">
        <f>F19+F20</f>
        <v>4.2653679999999969</v>
      </c>
      <c r="G22" s="30"/>
      <c r="H22" s="42"/>
      <c r="I22" s="37">
        <f>I19+I20</f>
        <v>4.900053999999999</v>
      </c>
      <c r="J22" s="75">
        <f>(I22-F22)/F22</f>
        <v>0.14879982219588148</v>
      </c>
    </row>
    <row r="23" spans="1:11" s="2" customFormat="1" ht="15" x14ac:dyDescent="0.25">
      <c r="A23" s="36" t="s">
        <v>16</v>
      </c>
      <c r="B23" s="22"/>
      <c r="C23" s="22"/>
      <c r="D23" s="37">
        <f>D17+D22</f>
        <v>43.040367999999994</v>
      </c>
      <c r="E23" s="25"/>
      <c r="F23" s="37">
        <f>F17+F22</f>
        <v>49.500367999999995</v>
      </c>
      <c r="G23" s="25"/>
      <c r="H23" s="22"/>
      <c r="I23" s="37">
        <f>I17+I22</f>
        <v>42.600054</v>
      </c>
      <c r="J23" s="75">
        <f>(I23-F23)/F23</f>
        <v>-0.13939924648640986</v>
      </c>
      <c r="K23" s="43"/>
    </row>
    <row r="24" spans="1:11" s="2" customFormat="1" ht="15" x14ac:dyDescent="0.25">
      <c r="A24" s="36"/>
      <c r="B24" s="22"/>
      <c r="C24" s="22"/>
      <c r="D24" s="37"/>
      <c r="E24" s="25"/>
      <c r="F24" s="37"/>
      <c r="G24" s="25"/>
      <c r="H24" s="22"/>
      <c r="I24" s="37"/>
      <c r="J24" s="75"/>
      <c r="K24" s="43"/>
    </row>
    <row r="25" spans="1:11" ht="15" x14ac:dyDescent="0.25">
      <c r="A25" s="29" t="s">
        <v>17</v>
      </c>
      <c r="B25" s="31">
        <f>B3*B4</f>
        <v>792.3</v>
      </c>
      <c r="C25" s="42">
        <v>6.7000000000000002E-3</v>
      </c>
      <c r="D25" s="33">
        <f>B25*C25</f>
        <v>5.3084100000000003</v>
      </c>
      <c r="E25" s="30">
        <v>6.7999999999999996E-3</v>
      </c>
      <c r="F25" s="33">
        <f>B25*E25</f>
        <v>5.3876399999999993</v>
      </c>
      <c r="G25" s="34">
        <f>G3*G4</f>
        <v>800.02499999999998</v>
      </c>
      <c r="H25" s="26">
        <v>7.1000000000000004E-3</v>
      </c>
      <c r="I25" s="33">
        <f>G25*H25</f>
        <v>5.6801775000000001</v>
      </c>
      <c r="J25" s="76"/>
      <c r="K25" s="35"/>
    </row>
    <row r="26" spans="1:11" ht="15" x14ac:dyDescent="0.25">
      <c r="A26" s="29" t="s">
        <v>18</v>
      </c>
      <c r="B26" s="31">
        <f>B3*B4</f>
        <v>792.3</v>
      </c>
      <c r="C26" s="42">
        <v>3.2000000000000002E-3</v>
      </c>
      <c r="D26" s="33">
        <f>B26*C26</f>
        <v>2.5353599999999998</v>
      </c>
      <c r="E26" s="30">
        <v>3.5999999999999999E-3</v>
      </c>
      <c r="F26" s="33">
        <f>B26*E26</f>
        <v>2.8522799999999999</v>
      </c>
      <c r="G26" s="34">
        <f>G3*G4</f>
        <v>800.02499999999998</v>
      </c>
      <c r="H26" s="42">
        <v>6.0000000000000001E-3</v>
      </c>
      <c r="I26" s="33">
        <f>G26*H26</f>
        <v>4.8001500000000004</v>
      </c>
      <c r="J26" s="76"/>
      <c r="K26" s="35"/>
    </row>
    <row r="27" spans="1:11" s="2" customFormat="1" x14ac:dyDescent="0.3">
      <c r="A27" s="36" t="s">
        <v>19</v>
      </c>
      <c r="B27" s="44"/>
      <c r="C27" s="74"/>
      <c r="D27" s="37">
        <f>SUM(D25:D26)</f>
        <v>7.8437700000000001</v>
      </c>
      <c r="E27" s="25"/>
      <c r="F27" s="37">
        <f>SUM(F25:F26)</f>
        <v>8.2399199999999997</v>
      </c>
      <c r="G27" s="45"/>
      <c r="H27" s="22"/>
      <c r="I27" s="37">
        <f>SUM(I25:I26)</f>
        <v>10.480327500000001</v>
      </c>
      <c r="J27" s="75">
        <f>(I27-F27)/F27</f>
        <v>0.27189675385197937</v>
      </c>
    </row>
    <row r="28" spans="1:11" s="2" customFormat="1" x14ac:dyDescent="0.3">
      <c r="A28" s="36"/>
      <c r="B28" s="44"/>
      <c r="C28" s="74"/>
      <c r="D28" s="37"/>
      <c r="E28" s="25"/>
      <c r="F28" s="37"/>
      <c r="G28" s="45"/>
      <c r="H28" s="22"/>
      <c r="I28" s="37"/>
      <c r="J28" s="75"/>
    </row>
    <row r="29" spans="1:11" x14ac:dyDescent="0.3">
      <c r="A29" s="29" t="s">
        <v>20</v>
      </c>
      <c r="B29" s="31">
        <f>B3*B4</f>
        <v>792.3</v>
      </c>
      <c r="C29" s="42">
        <v>3.5999999999999999E-3</v>
      </c>
      <c r="D29" s="33">
        <f>B29*C29</f>
        <v>2.8522799999999999</v>
      </c>
      <c r="E29" s="30">
        <v>3.5999999999999999E-3</v>
      </c>
      <c r="F29" s="33">
        <f>B29*E29</f>
        <v>2.8522799999999999</v>
      </c>
      <c r="G29" s="34">
        <f>G3*G4</f>
        <v>800.02499999999998</v>
      </c>
      <c r="H29" s="26">
        <f>E29</f>
        <v>3.5999999999999999E-3</v>
      </c>
      <c r="I29" s="33">
        <f>G29*H29</f>
        <v>2.88009</v>
      </c>
      <c r="J29" s="76"/>
      <c r="K29" s="35"/>
    </row>
    <row r="30" spans="1:11" x14ac:dyDescent="0.3">
      <c r="A30" s="29" t="s">
        <v>21</v>
      </c>
      <c r="B30" s="31">
        <f>B3*B4</f>
        <v>792.3</v>
      </c>
      <c r="C30" s="42">
        <v>2.9999999999999997E-4</v>
      </c>
      <c r="D30" s="33">
        <f>B30*C30</f>
        <v>0.23768999999999996</v>
      </c>
      <c r="E30" s="30">
        <v>2.9999999999999997E-4</v>
      </c>
      <c r="F30" s="33">
        <f>B30*E30</f>
        <v>0.23768999999999996</v>
      </c>
      <c r="G30" s="34">
        <f>G3*G4</f>
        <v>800.02499999999998</v>
      </c>
      <c r="H30" s="26">
        <v>2.9999999999999997E-4</v>
      </c>
      <c r="I30" s="33">
        <f>G30*H30</f>
        <v>0.24000749999999998</v>
      </c>
      <c r="J30" s="76"/>
      <c r="K30" s="35"/>
    </row>
    <row r="31" spans="1:11" x14ac:dyDescent="0.3">
      <c r="A31" s="29" t="s">
        <v>22</v>
      </c>
      <c r="B31" s="26">
        <v>1</v>
      </c>
      <c r="C31" s="26">
        <v>0.25</v>
      </c>
      <c r="D31" s="33">
        <f>B31*C31</f>
        <v>0.25</v>
      </c>
      <c r="E31" s="30">
        <v>0.25</v>
      </c>
      <c r="F31" s="33">
        <f>B31*E31</f>
        <v>0.25</v>
      </c>
      <c r="G31" s="30">
        <v>1</v>
      </c>
      <c r="H31" s="26">
        <f>E31</f>
        <v>0.25</v>
      </c>
      <c r="I31" s="33">
        <f>G31*H31</f>
        <v>0.25</v>
      </c>
      <c r="J31" s="76"/>
      <c r="K31" s="35"/>
    </row>
    <row r="32" spans="1:11" s="2" customFormat="1" x14ac:dyDescent="0.3">
      <c r="A32" s="36" t="s">
        <v>23</v>
      </c>
      <c r="B32" s="22"/>
      <c r="C32" s="22"/>
      <c r="D32" s="37">
        <f>SUM(D29:D31)</f>
        <v>3.3399700000000001</v>
      </c>
      <c r="E32" s="25"/>
      <c r="F32" s="37">
        <f>SUM(F29:F31)</f>
        <v>3.3399700000000001</v>
      </c>
      <c r="G32" s="25"/>
      <c r="H32" s="22"/>
      <c r="I32" s="37">
        <f>SUM(I29:I31)</f>
        <v>3.3700975</v>
      </c>
      <c r="J32" s="75">
        <f>(I32-F32)/F32</f>
        <v>9.0202906014125468E-3</v>
      </c>
    </row>
    <row r="33" spans="1:11" s="2" customFormat="1" x14ac:dyDescent="0.3">
      <c r="A33" s="36"/>
      <c r="B33" s="22"/>
      <c r="C33" s="22"/>
      <c r="D33" s="37"/>
      <c r="E33" s="25"/>
      <c r="F33" s="37"/>
      <c r="G33" s="25"/>
      <c r="H33" s="22"/>
      <c r="I33" s="37"/>
      <c r="J33" s="75"/>
    </row>
    <row r="34" spans="1:11" x14ac:dyDescent="0.3">
      <c r="A34" s="29" t="s">
        <v>24</v>
      </c>
      <c r="B34" s="26"/>
      <c r="C34" s="26"/>
      <c r="D34" s="33">
        <f>SUM(D9,D23,D27,D32,)</f>
        <v>115.84410799999999</v>
      </c>
      <c r="E34" s="67"/>
      <c r="F34" s="33">
        <f>SUM(F9,F23,F27,F32)</f>
        <v>122.70025799999998</v>
      </c>
      <c r="G34" s="30"/>
      <c r="H34" s="46"/>
      <c r="I34" s="33">
        <f>SUM(I9,I23,I27,I32)</f>
        <v>118.07047900000001</v>
      </c>
      <c r="J34" s="76"/>
      <c r="K34" s="35"/>
    </row>
    <row r="35" spans="1:11" x14ac:dyDescent="0.3">
      <c r="A35" s="29" t="s">
        <v>25</v>
      </c>
      <c r="B35" s="26"/>
      <c r="C35" s="46">
        <v>0.13</v>
      </c>
      <c r="D35" s="33">
        <f>D34*C35</f>
        <v>15.059734039999999</v>
      </c>
      <c r="E35" s="67">
        <v>0.13</v>
      </c>
      <c r="F35" s="33">
        <f>F34*E35</f>
        <v>15.951033539999997</v>
      </c>
      <c r="G35" s="30"/>
      <c r="H35" s="46">
        <v>0.13</v>
      </c>
      <c r="I35" s="33">
        <f>I34*H35</f>
        <v>15.349162270000001</v>
      </c>
      <c r="J35" s="76"/>
      <c r="K35" s="35"/>
    </row>
    <row r="36" spans="1:11" x14ac:dyDescent="0.3">
      <c r="A36" s="29" t="s">
        <v>26</v>
      </c>
      <c r="B36" s="26"/>
      <c r="C36" s="46"/>
      <c r="D36" s="33">
        <f>D34+D35</f>
        <v>130.90384204</v>
      </c>
      <c r="E36" s="67"/>
      <c r="F36" s="33">
        <f>F34+F35</f>
        <v>138.65129153999999</v>
      </c>
      <c r="G36" s="30"/>
      <c r="H36" s="46"/>
      <c r="I36" s="33">
        <f>I34+I35</f>
        <v>133.41964127</v>
      </c>
      <c r="J36" s="76"/>
      <c r="K36" s="35"/>
    </row>
    <row r="37" spans="1:11" ht="15" thickBot="1" x14ac:dyDescent="0.35">
      <c r="A37" s="29" t="s">
        <v>27</v>
      </c>
      <c r="B37" s="26"/>
      <c r="C37" s="46">
        <v>-0.08</v>
      </c>
      <c r="D37" s="33">
        <f>D36*C37</f>
        <v>-10.472307363200001</v>
      </c>
      <c r="E37" s="67">
        <v>-0.08</v>
      </c>
      <c r="F37" s="33">
        <f>F36*E37</f>
        <v>-11.0921033232</v>
      </c>
      <c r="G37" s="30"/>
      <c r="H37" s="46">
        <v>-0.08</v>
      </c>
      <c r="I37" s="33">
        <f>I36*H37</f>
        <v>-10.673571301600001</v>
      </c>
      <c r="J37" s="76"/>
      <c r="K37" s="35"/>
    </row>
    <row r="38" spans="1:11" s="2" customFormat="1" ht="15" thickBot="1" x14ac:dyDescent="0.35">
      <c r="A38" s="1" t="s">
        <v>28</v>
      </c>
      <c r="B38" s="57"/>
      <c r="C38" s="73"/>
      <c r="D38" s="72">
        <f>D36+D37</f>
        <v>120.4315346768</v>
      </c>
      <c r="E38" s="70"/>
      <c r="F38" s="48">
        <f>F36+F37</f>
        <v>127.55918821679998</v>
      </c>
      <c r="G38" s="47"/>
      <c r="H38" s="49"/>
      <c r="I38" s="50">
        <f>I36+I37</f>
        <v>122.74606996839999</v>
      </c>
      <c r="J38" s="77">
        <f>(I38-F38)/F38</f>
        <v>-3.7732430847863326E-2</v>
      </c>
    </row>
    <row r="40" spans="1:11" x14ac:dyDescent="0.3">
      <c r="I40" s="52"/>
    </row>
  </sheetData>
  <mergeCells count="1">
    <mergeCell ref="A1:J1"/>
  </mergeCells>
  <pageMargins left="0.7" right="0.7" top="0.75" bottom="0.75" header="0.3" footer="0.3"/>
  <pageSetup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opLeftCell="A7" workbookViewId="0">
      <selection activeCell="E13" sqref="E13"/>
    </sheetView>
  </sheetViews>
  <sheetFormatPr defaultRowHeight="14.4" x14ac:dyDescent="0.3"/>
  <cols>
    <col min="1" max="1" width="34.88671875" style="51" bestFit="1" customWidth="1"/>
    <col min="2" max="4" width="12" style="19" customWidth="1"/>
    <col min="5" max="6" width="12" customWidth="1"/>
    <col min="7" max="10" width="12" style="19" customWidth="1"/>
    <col min="13" max="13" width="20.33203125" hidden="1" customWidth="1"/>
  </cols>
  <sheetData>
    <row r="1" spans="1:13" s="2" customFormat="1" ht="15.75" thickBot="1" x14ac:dyDescent="0.3">
      <c r="A1" s="124" t="s">
        <v>45</v>
      </c>
      <c r="B1" s="125"/>
      <c r="C1" s="125"/>
      <c r="D1" s="125"/>
      <c r="E1" s="125"/>
      <c r="F1" s="125"/>
      <c r="G1" s="125"/>
      <c r="H1" s="125"/>
      <c r="I1" s="125"/>
      <c r="J1" s="126"/>
      <c r="M1" s="3"/>
    </row>
    <row r="2" spans="1:13" s="9" customFormat="1" ht="77.25" thickBot="1" x14ac:dyDescent="0.3">
      <c r="A2" s="4"/>
      <c r="B2" s="7" t="s">
        <v>0</v>
      </c>
      <c r="C2" s="7" t="s">
        <v>47</v>
      </c>
      <c r="D2" s="8" t="s">
        <v>38</v>
      </c>
      <c r="E2" s="6" t="s">
        <v>39</v>
      </c>
      <c r="F2" s="6" t="s">
        <v>38</v>
      </c>
      <c r="G2" s="5" t="s">
        <v>0</v>
      </c>
      <c r="H2" s="7" t="s">
        <v>40</v>
      </c>
      <c r="I2" s="8" t="s">
        <v>41</v>
      </c>
      <c r="J2" s="5" t="s">
        <v>42</v>
      </c>
      <c r="M2" s="10" t="s">
        <v>1</v>
      </c>
    </row>
    <row r="3" spans="1:13" s="19" customFormat="1" ht="15" x14ac:dyDescent="0.25">
      <c r="A3" s="11" t="s">
        <v>2</v>
      </c>
      <c r="B3" s="13">
        <v>2000</v>
      </c>
      <c r="C3" s="13"/>
      <c r="D3" s="14"/>
      <c r="E3" s="61"/>
      <c r="F3" s="14"/>
      <c r="G3" s="61">
        <v>2000</v>
      </c>
      <c r="H3" s="16"/>
      <c r="I3" s="17"/>
      <c r="J3" s="78"/>
      <c r="M3" s="20"/>
    </row>
    <row r="4" spans="1:13" s="19" customFormat="1" ht="15" x14ac:dyDescent="0.25">
      <c r="A4" s="21" t="s">
        <v>3</v>
      </c>
      <c r="B4" s="22">
        <v>1.0564</v>
      </c>
      <c r="C4" s="22"/>
      <c r="D4" s="69"/>
      <c r="E4" s="62"/>
      <c r="F4" s="24"/>
      <c r="G4" s="25">
        <v>1.0667</v>
      </c>
      <c r="H4" s="26"/>
      <c r="I4" s="27"/>
      <c r="J4" s="79"/>
      <c r="M4" s="20"/>
    </row>
    <row r="5" spans="1:13" ht="15" x14ac:dyDescent="0.25">
      <c r="A5" s="29"/>
      <c r="B5" s="26"/>
      <c r="C5" s="26"/>
      <c r="D5" s="27"/>
      <c r="E5" s="30"/>
      <c r="F5" s="27"/>
      <c r="G5" s="30"/>
      <c r="H5" s="26"/>
      <c r="I5" s="27"/>
      <c r="J5" s="79"/>
      <c r="M5" s="20"/>
    </row>
    <row r="6" spans="1:13" ht="15" x14ac:dyDescent="0.25">
      <c r="A6" s="29" t="s">
        <v>4</v>
      </c>
      <c r="B6" s="83">
        <f>($B$3)*0.65</f>
        <v>1300</v>
      </c>
      <c r="C6" s="91">
        <v>6.5000000000000002E-2</v>
      </c>
      <c r="D6" s="33">
        <f>B6*C6</f>
        <v>84.5</v>
      </c>
      <c r="E6" s="63">
        <v>6.5000000000000002E-2</v>
      </c>
      <c r="F6" s="33">
        <f>B6*E6</f>
        <v>84.5</v>
      </c>
      <c r="G6" s="85">
        <f>($B$3)*0.65</f>
        <v>1300</v>
      </c>
      <c r="H6" s="32">
        <f>E6</f>
        <v>6.5000000000000002E-2</v>
      </c>
      <c r="I6" s="33">
        <f>G6*H6</f>
        <v>84.5</v>
      </c>
      <c r="J6" s="79"/>
      <c r="K6" s="35"/>
      <c r="M6" s="20"/>
    </row>
    <row r="7" spans="1:13" ht="15" x14ac:dyDescent="0.25">
      <c r="A7" s="29" t="s">
        <v>5</v>
      </c>
      <c r="B7" s="83">
        <f>($B$3)*0.17</f>
        <v>340</v>
      </c>
      <c r="C7" s="91">
        <v>9.5000000000000001E-2</v>
      </c>
      <c r="D7" s="33">
        <f>B7*C7</f>
        <v>32.299999999999997</v>
      </c>
      <c r="E7" s="63">
        <v>9.5000000000000001E-2</v>
      </c>
      <c r="F7" s="33">
        <f>B7*E7</f>
        <v>32.299999999999997</v>
      </c>
      <c r="G7" s="85">
        <f>($B$3)*0.17</f>
        <v>340</v>
      </c>
      <c r="H7" s="32">
        <f>E7</f>
        <v>9.5000000000000001E-2</v>
      </c>
      <c r="I7" s="33">
        <f>G7*H7</f>
        <v>32.299999999999997</v>
      </c>
      <c r="J7" s="79"/>
      <c r="K7" s="35"/>
      <c r="M7" s="20"/>
    </row>
    <row r="8" spans="1:13" ht="15" x14ac:dyDescent="0.25">
      <c r="A8" s="29" t="s">
        <v>6</v>
      </c>
      <c r="B8" s="83">
        <f>($B$3)*0.18</f>
        <v>360</v>
      </c>
      <c r="C8" s="91">
        <v>0.13200000000000001</v>
      </c>
      <c r="D8" s="33">
        <f>B8*C8</f>
        <v>47.52</v>
      </c>
      <c r="E8" s="63">
        <v>0.13200000000000001</v>
      </c>
      <c r="F8" s="33">
        <f>B8*E8</f>
        <v>47.52</v>
      </c>
      <c r="G8" s="85">
        <f>($B$3)*0.18</f>
        <v>360</v>
      </c>
      <c r="H8" s="32">
        <f>E8</f>
        <v>0.13200000000000001</v>
      </c>
      <c r="I8" s="33">
        <f>G8*H8</f>
        <v>47.52</v>
      </c>
      <c r="J8" s="79"/>
      <c r="K8" s="35"/>
      <c r="M8" s="20"/>
    </row>
    <row r="9" spans="1:13" s="2" customFormat="1" ht="15" x14ac:dyDescent="0.25">
      <c r="A9" s="36" t="s">
        <v>7</v>
      </c>
      <c r="B9" s="84"/>
      <c r="C9" s="84"/>
      <c r="D9" s="37">
        <f>SUM(D6:D8)</f>
        <v>164.32</v>
      </c>
      <c r="E9" s="25"/>
      <c r="F9" s="37">
        <f>SUM(F6:F8)</f>
        <v>164.32</v>
      </c>
      <c r="G9" s="86"/>
      <c r="H9" s="22"/>
      <c r="I9" s="37">
        <f>SUM(I6:I8)</f>
        <v>164.32</v>
      </c>
      <c r="J9" s="93">
        <f>(I9-F9)/F9</f>
        <v>0</v>
      </c>
      <c r="K9" s="38"/>
      <c r="M9" s="39"/>
    </row>
    <row r="10" spans="1:13" s="2" customFormat="1" ht="15" x14ac:dyDescent="0.25">
      <c r="A10" s="36"/>
      <c r="B10" s="84"/>
      <c r="C10" s="84"/>
      <c r="D10" s="37"/>
      <c r="E10" s="25"/>
      <c r="F10" s="37"/>
      <c r="G10" s="86"/>
      <c r="H10" s="22"/>
      <c r="I10" s="37"/>
      <c r="J10" s="93"/>
      <c r="M10" s="39"/>
    </row>
    <row r="11" spans="1:13" ht="15" x14ac:dyDescent="0.25">
      <c r="A11" s="29" t="s">
        <v>8</v>
      </c>
      <c r="B11" s="83">
        <v>1</v>
      </c>
      <c r="C11" s="90">
        <v>49.98</v>
      </c>
      <c r="D11" s="33">
        <f>B11*C11</f>
        <v>49.98</v>
      </c>
      <c r="E11" s="64">
        <v>60.54</v>
      </c>
      <c r="F11" s="53">
        <f>B11*E11</f>
        <v>60.54</v>
      </c>
      <c r="G11" s="87">
        <v>1</v>
      </c>
      <c r="H11" s="55">
        <v>38.65</v>
      </c>
      <c r="I11" s="33">
        <f>G11*H11</f>
        <v>38.65</v>
      </c>
      <c r="J11" s="94"/>
      <c r="K11" s="35"/>
      <c r="M11" s="40">
        <v>6.3E-2</v>
      </c>
    </row>
    <row r="12" spans="1:13" ht="15" x14ac:dyDescent="0.25">
      <c r="A12" s="29" t="s">
        <v>9</v>
      </c>
      <c r="B12" s="83">
        <v>1</v>
      </c>
      <c r="C12" s="90">
        <f>3.42+0.93</f>
        <v>4.3499999999999996</v>
      </c>
      <c r="D12" s="33">
        <f>B12*C12</f>
        <v>4.3499999999999996</v>
      </c>
      <c r="E12" s="64">
        <v>0</v>
      </c>
      <c r="F12" s="53">
        <f>B12*E12</f>
        <v>0</v>
      </c>
      <c r="G12" s="87">
        <v>1</v>
      </c>
      <c r="H12" s="55">
        <f>E12</f>
        <v>0</v>
      </c>
      <c r="I12" s="33">
        <f>G12*H12</f>
        <v>0</v>
      </c>
      <c r="J12" s="94"/>
      <c r="K12" s="35"/>
      <c r="M12" s="20"/>
    </row>
    <row r="13" spans="1:13" ht="15" x14ac:dyDescent="0.25">
      <c r="A13" s="29" t="s">
        <v>10</v>
      </c>
      <c r="B13" s="83">
        <f>B3</f>
        <v>2000</v>
      </c>
      <c r="C13" s="23">
        <v>1.5599999999999999E-2</v>
      </c>
      <c r="D13" s="33">
        <f>B13*C13</f>
        <v>31.2</v>
      </c>
      <c r="E13" s="112">
        <v>1.9E-2</v>
      </c>
      <c r="F13" s="53">
        <f>B13*E13</f>
        <v>38</v>
      </c>
      <c r="G13" s="87">
        <f>G3</f>
        <v>2000</v>
      </c>
      <c r="H13" s="56">
        <v>1.77E-2</v>
      </c>
      <c r="I13" s="33">
        <f>G13*H13</f>
        <v>35.4</v>
      </c>
      <c r="J13" s="94"/>
      <c r="K13" s="35"/>
      <c r="M13" s="40">
        <f>M11</f>
        <v>6.3E-2</v>
      </c>
    </row>
    <row r="14" spans="1:13" ht="15" x14ac:dyDescent="0.25">
      <c r="A14" s="29" t="s">
        <v>11</v>
      </c>
      <c r="B14" s="83">
        <f>B3</f>
        <v>2000</v>
      </c>
      <c r="C14" s="23">
        <v>8.0000000000000004E-4</v>
      </c>
      <c r="D14" s="33">
        <f>B14*C14</f>
        <v>1.6</v>
      </c>
      <c r="E14" s="54">
        <v>8.0000000000000004E-4</v>
      </c>
      <c r="F14" s="53">
        <f>B14*E14</f>
        <v>1.6</v>
      </c>
      <c r="G14" s="87">
        <f>G3</f>
        <v>2000</v>
      </c>
      <c r="H14" s="56">
        <v>0</v>
      </c>
      <c r="I14" s="33">
        <f>G14*H14</f>
        <v>0</v>
      </c>
      <c r="J14" s="94"/>
      <c r="K14" s="35"/>
    </row>
    <row r="15" spans="1:13" ht="15" x14ac:dyDescent="0.25">
      <c r="A15" s="29" t="s">
        <v>12</v>
      </c>
      <c r="B15" s="83">
        <f>B3</f>
        <v>2000</v>
      </c>
      <c r="C15" s="23">
        <f>-0.0008+0.0005+0.0001</f>
        <v>-2.0000000000000004E-4</v>
      </c>
      <c r="D15" s="33">
        <f>B15*C15</f>
        <v>-0.40000000000000008</v>
      </c>
      <c r="E15" s="65">
        <v>0</v>
      </c>
      <c r="F15" s="33">
        <f>B15*E15</f>
        <v>0</v>
      </c>
      <c r="G15" s="85">
        <f>G3</f>
        <v>2000</v>
      </c>
      <c r="H15" s="42">
        <f>E15</f>
        <v>0</v>
      </c>
      <c r="I15" s="33">
        <f>G15*H15</f>
        <v>0</v>
      </c>
      <c r="J15" s="94"/>
      <c r="K15" s="35"/>
    </row>
    <row r="16" spans="1:13" ht="15.75" thickBot="1" x14ac:dyDescent="0.3">
      <c r="A16" s="29"/>
      <c r="B16" s="83"/>
      <c r="C16" s="83"/>
      <c r="D16" s="33"/>
      <c r="E16" s="65"/>
      <c r="F16" s="33"/>
      <c r="G16" s="85"/>
      <c r="H16" s="42"/>
      <c r="I16" s="33"/>
      <c r="J16" s="94"/>
    </row>
    <row r="17" spans="1:11" ht="15.75" thickBot="1" x14ac:dyDescent="0.3">
      <c r="A17" s="113" t="s">
        <v>43</v>
      </c>
      <c r="B17" s="119"/>
      <c r="C17" s="119"/>
      <c r="D17" s="50">
        <f>SUM(D11,D13,D14,D12,D15)</f>
        <v>86.729999999999976</v>
      </c>
      <c r="E17" s="115"/>
      <c r="F17" s="50">
        <f>SUM(F11,F13,F14,F12,F15)</f>
        <v>100.13999999999999</v>
      </c>
      <c r="G17" s="120"/>
      <c r="H17" s="117"/>
      <c r="I17" s="50">
        <f>SUM(I11,I13,I14,I12,I15)</f>
        <v>74.05</v>
      </c>
      <c r="J17" s="77">
        <f>(I17-F17)/F17</f>
        <v>-0.26053525064909122</v>
      </c>
    </row>
    <row r="18" spans="1:11" ht="15" x14ac:dyDescent="0.25">
      <c r="A18" s="36"/>
      <c r="B18" s="83"/>
      <c r="C18" s="83"/>
      <c r="D18" s="33"/>
      <c r="E18" s="65"/>
      <c r="F18" s="37"/>
      <c r="G18" s="85"/>
      <c r="H18" s="42"/>
      <c r="I18" s="37"/>
      <c r="J18" s="93"/>
    </row>
    <row r="19" spans="1:11" ht="15" x14ac:dyDescent="0.25">
      <c r="A19" s="29" t="s">
        <v>13</v>
      </c>
      <c r="B19" s="83">
        <v>1</v>
      </c>
      <c r="C19" s="90">
        <v>0.79</v>
      </c>
      <c r="D19" s="33">
        <f>B19*C19</f>
        <v>0.79</v>
      </c>
      <c r="E19" s="66">
        <v>0.79</v>
      </c>
      <c r="F19" s="33">
        <f>B19*E19</f>
        <v>0.79</v>
      </c>
      <c r="G19" s="85">
        <v>1</v>
      </c>
      <c r="H19" s="41">
        <v>0.79</v>
      </c>
      <c r="I19" s="33">
        <f>G19*H19</f>
        <v>0.79</v>
      </c>
      <c r="J19" s="93"/>
      <c r="K19" s="35"/>
    </row>
    <row r="20" spans="1:11" ht="15" x14ac:dyDescent="0.25">
      <c r="A20" s="29" t="s">
        <v>14</v>
      </c>
      <c r="B20" s="83">
        <f>(B3*B4)-B3</f>
        <v>112.80000000000018</v>
      </c>
      <c r="C20" s="23">
        <f>C6*0.65+C7*0.17+C8*0.18</f>
        <v>8.2160000000000011E-2</v>
      </c>
      <c r="D20" s="33">
        <f>B20*C20</f>
        <v>9.2676480000000154</v>
      </c>
      <c r="E20" s="65">
        <f>E6*0.65+E7*0.17+E8*0.18</f>
        <v>8.2160000000000011E-2</v>
      </c>
      <c r="F20" s="33">
        <f>B20*E20</f>
        <v>9.2676480000000154</v>
      </c>
      <c r="G20" s="85">
        <f>(G3*G4)-G3</f>
        <v>133.40000000000009</v>
      </c>
      <c r="H20" s="42">
        <f>H6*0.65+H7*0.17+H8*0.18</f>
        <v>8.2160000000000011E-2</v>
      </c>
      <c r="I20" s="33">
        <f>G20*H20</f>
        <v>10.960144000000009</v>
      </c>
      <c r="J20" s="93"/>
      <c r="K20" s="35"/>
    </row>
    <row r="21" spans="1:11" ht="15" x14ac:dyDescent="0.25">
      <c r="A21" s="29"/>
      <c r="B21" s="83"/>
      <c r="C21" s="83"/>
      <c r="D21" s="33"/>
      <c r="E21" s="65"/>
      <c r="F21" s="37"/>
      <c r="G21" s="85"/>
      <c r="H21" s="42"/>
      <c r="I21" s="37"/>
      <c r="J21" s="93"/>
    </row>
    <row r="22" spans="1:11" ht="15" x14ac:dyDescent="0.25">
      <c r="A22" s="36" t="s">
        <v>15</v>
      </c>
      <c r="B22" s="83"/>
      <c r="C22" s="83"/>
      <c r="D22" s="37">
        <f>D19+D20</f>
        <v>10.057648000000015</v>
      </c>
      <c r="E22" s="65"/>
      <c r="F22" s="37">
        <f>F19+F20</f>
        <v>10.057648000000015</v>
      </c>
      <c r="G22" s="85"/>
      <c r="H22" s="42"/>
      <c r="I22" s="37">
        <f>I19+I20</f>
        <v>11.750144000000009</v>
      </c>
      <c r="J22" s="93">
        <f>(I22-F22)/F22</f>
        <v>0.16827950232499611</v>
      </c>
    </row>
    <row r="23" spans="1:11" s="2" customFormat="1" ht="15" x14ac:dyDescent="0.25">
      <c r="A23" s="36" t="s">
        <v>16</v>
      </c>
      <c r="B23" s="84"/>
      <c r="C23" s="84"/>
      <c r="D23" s="37">
        <f>D17+D22</f>
        <v>96.78764799999999</v>
      </c>
      <c r="E23" s="25"/>
      <c r="F23" s="37">
        <f>F17+F22</f>
        <v>110.197648</v>
      </c>
      <c r="G23" s="86"/>
      <c r="H23" s="22"/>
      <c r="I23" s="37">
        <f>I17+I22</f>
        <v>85.800144000000003</v>
      </c>
      <c r="J23" s="93">
        <f>(I23-F23)/F23</f>
        <v>-0.22139768355128595</v>
      </c>
      <c r="K23" s="43"/>
    </row>
    <row r="24" spans="1:11" s="2" customFormat="1" ht="15" x14ac:dyDescent="0.25">
      <c r="A24" s="36"/>
      <c r="B24" s="84"/>
      <c r="C24" s="84"/>
      <c r="D24" s="37"/>
      <c r="E24" s="25"/>
      <c r="F24" s="37"/>
      <c r="G24" s="86"/>
      <c r="H24" s="22"/>
      <c r="I24" s="37"/>
      <c r="J24" s="93"/>
      <c r="K24" s="43"/>
    </row>
    <row r="25" spans="1:11" ht="15" x14ac:dyDescent="0.25">
      <c r="A25" s="29" t="s">
        <v>17</v>
      </c>
      <c r="B25" s="83">
        <f>B3*B4</f>
        <v>2112.8000000000002</v>
      </c>
      <c r="C25" s="23">
        <v>6.1999999999999998E-3</v>
      </c>
      <c r="D25" s="33">
        <f>B25*C25</f>
        <v>13.099360000000001</v>
      </c>
      <c r="E25" s="30">
        <v>6.1999999999999998E-3</v>
      </c>
      <c r="F25" s="33">
        <f>B25*E25</f>
        <v>13.099360000000001</v>
      </c>
      <c r="G25" s="85">
        <f>G3*G4</f>
        <v>2133.4</v>
      </c>
      <c r="H25" s="26">
        <v>5.3E-3</v>
      </c>
      <c r="I25" s="33">
        <f>G25*H25</f>
        <v>11.307020000000001</v>
      </c>
      <c r="J25" s="94"/>
      <c r="K25" s="35"/>
    </row>
    <row r="26" spans="1:11" ht="15" x14ac:dyDescent="0.25">
      <c r="A26" s="29" t="s">
        <v>18</v>
      </c>
      <c r="B26" s="83">
        <f>B3*B4</f>
        <v>2112.8000000000002</v>
      </c>
      <c r="C26" s="23">
        <v>2.8E-3</v>
      </c>
      <c r="D26" s="33">
        <f>B26*C26</f>
        <v>5.9158400000000002</v>
      </c>
      <c r="E26" s="30">
        <v>3.0999999999999999E-3</v>
      </c>
      <c r="F26" s="33">
        <f>B26*E26</f>
        <v>6.5496800000000004</v>
      </c>
      <c r="G26" s="85">
        <f>G3*G4</f>
        <v>2133.4</v>
      </c>
      <c r="H26" s="42">
        <v>4.4000000000000003E-3</v>
      </c>
      <c r="I26" s="33">
        <f>G26*H26</f>
        <v>9.3869600000000002</v>
      </c>
      <c r="J26" s="94"/>
      <c r="K26" s="35"/>
    </row>
    <row r="27" spans="1:11" s="2" customFormat="1" ht="15" x14ac:dyDescent="0.25">
      <c r="A27" s="36" t="s">
        <v>19</v>
      </c>
      <c r="B27" s="84"/>
      <c r="C27" s="92"/>
      <c r="D27" s="37">
        <f>SUM(D25:D26)</f>
        <v>19.0152</v>
      </c>
      <c r="E27" s="25"/>
      <c r="F27" s="37">
        <f>SUM(F25:F26)</f>
        <v>19.649039999999999</v>
      </c>
      <c r="G27" s="86"/>
      <c r="H27" s="22"/>
      <c r="I27" s="37">
        <f>SUM(I25:I26)</f>
        <v>20.693980000000003</v>
      </c>
      <c r="J27" s="93">
        <f>(I27-F27)/F27</f>
        <v>5.3180206259440872E-2</v>
      </c>
    </row>
    <row r="28" spans="1:11" s="2" customFormat="1" ht="15" x14ac:dyDescent="0.25">
      <c r="A28" s="36"/>
      <c r="B28" s="84"/>
      <c r="C28" s="92"/>
      <c r="D28" s="37"/>
      <c r="E28" s="25"/>
      <c r="F28" s="37"/>
      <c r="G28" s="86"/>
      <c r="H28" s="22"/>
      <c r="I28" s="37"/>
      <c r="J28" s="93"/>
    </row>
    <row r="29" spans="1:11" ht="15" x14ac:dyDescent="0.25">
      <c r="A29" s="29" t="s">
        <v>20</v>
      </c>
      <c r="B29" s="83">
        <f>B3*B4</f>
        <v>2112.8000000000002</v>
      </c>
      <c r="C29" s="23">
        <v>3.5999999999999999E-3</v>
      </c>
      <c r="D29" s="33">
        <f>B29*C29</f>
        <v>7.6060800000000004</v>
      </c>
      <c r="E29" s="30">
        <v>3.5999999999999999E-3</v>
      </c>
      <c r="F29" s="33">
        <f>B29*E29</f>
        <v>7.6060800000000004</v>
      </c>
      <c r="G29" s="85">
        <f>G3*G4</f>
        <v>2133.4</v>
      </c>
      <c r="H29" s="26">
        <f>E29</f>
        <v>3.5999999999999999E-3</v>
      </c>
      <c r="I29" s="33">
        <f>G29*H29</f>
        <v>7.6802400000000004</v>
      </c>
      <c r="J29" s="94"/>
      <c r="K29" s="35"/>
    </row>
    <row r="30" spans="1:11" ht="15" x14ac:dyDescent="0.25">
      <c r="A30" s="29" t="s">
        <v>21</v>
      </c>
      <c r="B30" s="83">
        <f>B3*B4</f>
        <v>2112.8000000000002</v>
      </c>
      <c r="C30" s="23">
        <v>2.9999999999999997E-4</v>
      </c>
      <c r="D30" s="33">
        <f>B30*C30</f>
        <v>0.63383999999999996</v>
      </c>
      <c r="E30" s="30">
        <v>2.9999999999999997E-4</v>
      </c>
      <c r="F30" s="33">
        <f>B30*E30</f>
        <v>0.63383999999999996</v>
      </c>
      <c r="G30" s="85">
        <f>G3*G4</f>
        <v>2133.4</v>
      </c>
      <c r="H30" s="26">
        <v>2.9999999999999997E-4</v>
      </c>
      <c r="I30" s="33">
        <f>G30*H30</f>
        <v>0.64001999999999992</v>
      </c>
      <c r="J30" s="94"/>
      <c r="K30" s="35"/>
    </row>
    <row r="31" spans="1:11" ht="15" x14ac:dyDescent="0.25">
      <c r="A31" s="29" t="s">
        <v>29</v>
      </c>
      <c r="B31" s="83">
        <f>B3</f>
        <v>2000</v>
      </c>
      <c r="C31" s="91">
        <v>7.0000000000000001E-3</v>
      </c>
      <c r="D31" s="33">
        <f>B31*C31</f>
        <v>14</v>
      </c>
      <c r="E31" s="30">
        <v>7.0000000000000001E-3</v>
      </c>
      <c r="F31" s="33">
        <f>B31*E31</f>
        <v>14</v>
      </c>
      <c r="G31" s="85">
        <f>G3</f>
        <v>2000</v>
      </c>
      <c r="H31" s="26">
        <f>E31</f>
        <v>7.0000000000000001E-3</v>
      </c>
      <c r="I31" s="33">
        <f>G31*H31</f>
        <v>14</v>
      </c>
      <c r="J31" s="94"/>
      <c r="K31" s="35"/>
    </row>
    <row r="32" spans="1:11" ht="15" x14ac:dyDescent="0.25">
      <c r="A32" s="29" t="s">
        <v>22</v>
      </c>
      <c r="B32" s="83">
        <v>1</v>
      </c>
      <c r="C32" s="90">
        <v>0.25</v>
      </c>
      <c r="D32" s="33">
        <f>B32*C32</f>
        <v>0.25</v>
      </c>
      <c r="E32" s="30">
        <v>0.25</v>
      </c>
      <c r="F32" s="33">
        <f>B32*E32</f>
        <v>0.25</v>
      </c>
      <c r="G32" s="85">
        <v>1</v>
      </c>
      <c r="H32" s="26">
        <f>E32</f>
        <v>0.25</v>
      </c>
      <c r="I32" s="33">
        <f>G32*H32</f>
        <v>0.25</v>
      </c>
      <c r="J32" s="94"/>
      <c r="K32" s="35"/>
    </row>
    <row r="33" spans="1:11" s="2" customFormat="1" ht="15" x14ac:dyDescent="0.25">
      <c r="A33" s="36" t="s">
        <v>23</v>
      </c>
      <c r="B33" s="22"/>
      <c r="C33" s="22"/>
      <c r="D33" s="37">
        <f>SUM(D29:D32)</f>
        <v>22.489919999999998</v>
      </c>
      <c r="E33" s="25"/>
      <c r="F33" s="37">
        <f>SUM(F29:F32)</f>
        <v>22.489919999999998</v>
      </c>
      <c r="G33" s="86"/>
      <c r="H33" s="22"/>
      <c r="I33" s="37">
        <f>SUM(I29:I32)</f>
        <v>22.570260000000001</v>
      </c>
      <c r="J33" s="93">
        <f>(I33-F33)/F33</f>
        <v>3.5722670423017598E-3</v>
      </c>
    </row>
    <row r="34" spans="1:11" s="2" customFormat="1" ht="15" x14ac:dyDescent="0.25">
      <c r="A34" s="36"/>
      <c r="B34" s="22"/>
      <c r="C34" s="22"/>
      <c r="D34" s="37"/>
      <c r="E34" s="25"/>
      <c r="F34" s="37"/>
      <c r="G34" s="25"/>
      <c r="H34" s="22"/>
      <c r="I34" s="37"/>
      <c r="J34" s="93"/>
    </row>
    <row r="35" spans="1:11" ht="15" x14ac:dyDescent="0.25">
      <c r="A35" s="29" t="s">
        <v>24</v>
      </c>
      <c r="B35" s="26"/>
      <c r="C35" s="26"/>
      <c r="D35" s="33">
        <f>SUM(D9,D23,D27,D33,)</f>
        <v>302.61276799999996</v>
      </c>
      <c r="E35" s="67"/>
      <c r="F35" s="33">
        <f>SUM(F9,F23,F27,F33)</f>
        <v>316.65660800000001</v>
      </c>
      <c r="G35" s="30"/>
      <c r="H35" s="46"/>
      <c r="I35" s="33">
        <f>SUM(I9,I23,I27,I33)</f>
        <v>293.38438400000001</v>
      </c>
      <c r="J35" s="94"/>
      <c r="K35" s="35"/>
    </row>
    <row r="36" spans="1:11" ht="15" x14ac:dyDescent="0.25">
      <c r="A36" s="29" t="s">
        <v>25</v>
      </c>
      <c r="B36" s="26"/>
      <c r="C36" s="46">
        <v>0.13</v>
      </c>
      <c r="D36" s="33">
        <f>D35*C36</f>
        <v>39.339659839999996</v>
      </c>
      <c r="E36" s="67">
        <v>0.13</v>
      </c>
      <c r="F36" s="33">
        <f>F35*E36</f>
        <v>41.165359040000006</v>
      </c>
      <c r="G36" s="30"/>
      <c r="H36" s="46">
        <v>0.13</v>
      </c>
      <c r="I36" s="33">
        <f>I35*H36</f>
        <v>38.139969920000006</v>
      </c>
      <c r="J36" s="94"/>
      <c r="K36" s="35"/>
    </row>
    <row r="37" spans="1:11" x14ac:dyDescent="0.3">
      <c r="A37" s="29" t="s">
        <v>26</v>
      </c>
      <c r="B37" s="26"/>
      <c r="C37" s="46"/>
      <c r="D37" s="33">
        <f>D35+D36</f>
        <v>341.95242783999993</v>
      </c>
      <c r="E37" s="67"/>
      <c r="F37" s="33">
        <f>F35+F36</f>
        <v>357.82196704</v>
      </c>
      <c r="G37" s="30"/>
      <c r="H37" s="46"/>
      <c r="I37" s="33">
        <f>I35+I36</f>
        <v>331.52435392000001</v>
      </c>
      <c r="J37" s="94"/>
      <c r="K37" s="35"/>
    </row>
    <row r="38" spans="1:11" ht="15" thickBot="1" x14ac:dyDescent="0.35">
      <c r="A38" s="29" t="s">
        <v>27</v>
      </c>
      <c r="B38" s="26"/>
      <c r="C38" s="80">
        <v>-0.08</v>
      </c>
      <c r="D38" s="81">
        <f>D37*C38</f>
        <v>-27.356194227199996</v>
      </c>
      <c r="E38" s="88">
        <v>-0.08</v>
      </c>
      <c r="F38" s="81">
        <f>F37*E38</f>
        <v>-28.625757363200002</v>
      </c>
      <c r="G38" s="30"/>
      <c r="H38" s="80">
        <v>-0.08</v>
      </c>
      <c r="I38" s="33">
        <f>I37*H38</f>
        <v>-26.521948313600003</v>
      </c>
      <c r="J38" s="94"/>
      <c r="K38" s="35"/>
    </row>
    <row r="39" spans="1:11" s="2" customFormat="1" ht="15" thickBot="1" x14ac:dyDescent="0.35">
      <c r="A39" s="1" t="s">
        <v>30</v>
      </c>
      <c r="B39" s="57"/>
      <c r="C39" s="57"/>
      <c r="D39" s="50">
        <f>D37+D38</f>
        <v>314.59623361279995</v>
      </c>
      <c r="E39" s="70"/>
      <c r="F39" s="50">
        <f>F37+F38</f>
        <v>329.19620967679998</v>
      </c>
      <c r="G39" s="82"/>
      <c r="H39" s="49"/>
      <c r="I39" s="50">
        <f>I37+I38</f>
        <v>305.00240560640003</v>
      </c>
      <c r="J39" s="77">
        <f>(I39-F39)/F39</f>
        <v>-7.3493568149381405E-2</v>
      </c>
    </row>
    <row r="40" spans="1:11" x14ac:dyDescent="0.3">
      <c r="J40" s="95"/>
    </row>
    <row r="41" spans="1:11" x14ac:dyDescent="0.3">
      <c r="I41" s="52"/>
    </row>
  </sheetData>
  <mergeCells count="1">
    <mergeCell ref="A1:J1"/>
  </mergeCells>
  <pageMargins left="0.7" right="0.7" top="0.75" bottom="0.75" header="0.3" footer="0.3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workbookViewId="0">
      <selection activeCell="L6" sqref="L6"/>
    </sheetView>
  </sheetViews>
  <sheetFormatPr defaultRowHeight="14.4" x14ac:dyDescent="0.3"/>
  <cols>
    <col min="1" max="1" width="34.88671875" style="51" bestFit="1" customWidth="1"/>
    <col min="2" max="2" width="11.5546875" style="19" customWidth="1"/>
    <col min="3" max="4" width="11.6640625" style="19" customWidth="1"/>
    <col min="5" max="6" width="11.6640625" customWidth="1"/>
    <col min="7" max="10" width="11.6640625" style="19" customWidth="1"/>
    <col min="13" max="13" width="20.33203125" hidden="1" customWidth="1"/>
  </cols>
  <sheetData>
    <row r="1" spans="1:13" s="2" customFormat="1" ht="15.75" thickBot="1" x14ac:dyDescent="0.3">
      <c r="A1" s="124" t="s">
        <v>46</v>
      </c>
      <c r="B1" s="125"/>
      <c r="C1" s="125"/>
      <c r="D1" s="125"/>
      <c r="E1" s="125"/>
      <c r="F1" s="125"/>
      <c r="G1" s="125"/>
      <c r="H1" s="125"/>
      <c r="I1" s="125"/>
      <c r="J1" s="126"/>
      <c r="M1" s="3"/>
    </row>
    <row r="2" spans="1:13" s="9" customFormat="1" ht="90" thickBot="1" x14ac:dyDescent="0.3">
      <c r="A2" s="4"/>
      <c r="B2" s="7" t="s">
        <v>0</v>
      </c>
      <c r="C2" s="7" t="s">
        <v>47</v>
      </c>
      <c r="D2" s="8" t="s">
        <v>38</v>
      </c>
      <c r="E2" s="6" t="s">
        <v>39</v>
      </c>
      <c r="F2" s="6" t="s">
        <v>38</v>
      </c>
      <c r="G2" s="5" t="s">
        <v>0</v>
      </c>
      <c r="H2" s="7" t="s">
        <v>40</v>
      </c>
      <c r="I2" s="8" t="s">
        <v>41</v>
      </c>
      <c r="J2" s="5" t="s">
        <v>42</v>
      </c>
      <c r="M2" s="10" t="s">
        <v>1</v>
      </c>
    </row>
    <row r="3" spans="1:13" s="19" customFormat="1" ht="15" x14ac:dyDescent="0.25">
      <c r="A3" s="11" t="s">
        <v>2</v>
      </c>
      <c r="B3" s="96">
        <v>57222.704427374818</v>
      </c>
      <c r="C3" s="99"/>
      <c r="D3" s="105"/>
      <c r="E3" s="61"/>
      <c r="F3" s="14"/>
      <c r="G3" s="97">
        <v>57222.704427374818</v>
      </c>
      <c r="H3" s="98"/>
      <c r="I3" s="17"/>
      <c r="J3" s="78"/>
      <c r="M3" s="20"/>
    </row>
    <row r="4" spans="1:13" s="19" customFormat="1" ht="15" x14ac:dyDescent="0.25">
      <c r="A4" s="21" t="s">
        <v>31</v>
      </c>
      <c r="B4" s="99">
        <v>160.95335296165933</v>
      </c>
      <c r="C4" s="99"/>
      <c r="D4" s="105"/>
      <c r="E4" s="86"/>
      <c r="F4" s="89"/>
      <c r="G4" s="100">
        <v>160.95335296165933</v>
      </c>
      <c r="H4" s="30"/>
      <c r="I4" s="27"/>
      <c r="J4" s="79"/>
      <c r="M4" s="20"/>
    </row>
    <row r="5" spans="1:13" s="19" customFormat="1" ht="15" x14ac:dyDescent="0.25">
      <c r="A5" s="21" t="s">
        <v>3</v>
      </c>
      <c r="B5" s="22">
        <v>1.0564</v>
      </c>
      <c r="C5" s="22"/>
      <c r="D5" s="69"/>
      <c r="E5" s="62"/>
      <c r="F5" s="24"/>
      <c r="G5" s="58">
        <v>1.0563</v>
      </c>
      <c r="H5" s="30"/>
      <c r="I5" s="27"/>
      <c r="J5" s="79"/>
      <c r="M5" s="20"/>
    </row>
    <row r="6" spans="1:13" ht="15" x14ac:dyDescent="0.25">
      <c r="A6" s="29"/>
      <c r="B6" s="26"/>
      <c r="C6" s="26"/>
      <c r="D6" s="27"/>
      <c r="E6" s="30"/>
      <c r="F6" s="27"/>
      <c r="G6" s="59"/>
      <c r="H6" s="30"/>
      <c r="I6" s="27"/>
      <c r="J6" s="79"/>
      <c r="M6" s="20"/>
    </row>
    <row r="7" spans="1:13" ht="15" x14ac:dyDescent="0.25">
      <c r="A7" s="29" t="s">
        <v>32</v>
      </c>
      <c r="B7" s="103">
        <f>B3*B5</f>
        <v>60450.064957078757</v>
      </c>
      <c r="C7" s="108">
        <v>0.1101</v>
      </c>
      <c r="D7" s="33">
        <f>B7*C7</f>
        <v>6655.5521517743709</v>
      </c>
      <c r="E7" s="65">
        <v>0.1101</v>
      </c>
      <c r="F7" s="33">
        <f>B7*E7</f>
        <v>6655.5521517743709</v>
      </c>
      <c r="G7" s="101">
        <f>G3*G5</f>
        <v>60444.342686636024</v>
      </c>
      <c r="H7" s="65">
        <f>E7</f>
        <v>0.1101</v>
      </c>
      <c r="I7" s="33">
        <f>G7*H7</f>
        <v>6654.9221297986269</v>
      </c>
      <c r="J7" s="79"/>
      <c r="K7" s="35"/>
      <c r="M7" s="20"/>
    </row>
    <row r="8" spans="1:13" s="2" customFormat="1" ht="15" x14ac:dyDescent="0.25">
      <c r="A8" s="36" t="s">
        <v>7</v>
      </c>
      <c r="B8" s="104"/>
      <c r="C8" s="104"/>
      <c r="D8" s="37">
        <f>SUM(D7:D7)</f>
        <v>6655.5521517743709</v>
      </c>
      <c r="E8" s="25"/>
      <c r="F8" s="37">
        <f>SUM(F7:F7)</f>
        <v>6655.5521517743709</v>
      </c>
      <c r="G8" s="102"/>
      <c r="H8" s="25"/>
      <c r="I8" s="37">
        <f>SUM(I7:I7)</f>
        <v>6654.9221297986269</v>
      </c>
      <c r="J8" s="93">
        <f>(I8-F8)/F8</f>
        <v>-9.4661113214490158E-5</v>
      </c>
      <c r="K8" s="38"/>
      <c r="M8" s="39"/>
    </row>
    <row r="9" spans="1:13" s="2" customFormat="1" ht="15" x14ac:dyDescent="0.25">
      <c r="A9" s="36"/>
      <c r="B9" s="104"/>
      <c r="C9" s="104"/>
      <c r="D9" s="37"/>
      <c r="E9" s="71"/>
      <c r="F9" s="109"/>
      <c r="G9" s="110"/>
      <c r="H9" s="71"/>
      <c r="I9" s="37"/>
      <c r="J9" s="93"/>
      <c r="M9" s="39"/>
    </row>
    <row r="10" spans="1:13" ht="15" x14ac:dyDescent="0.25">
      <c r="A10" s="29" t="s">
        <v>8</v>
      </c>
      <c r="B10" s="103">
        <v>1</v>
      </c>
      <c r="C10" s="106">
        <v>245.55</v>
      </c>
      <c r="D10" s="33">
        <f>B10*C10</f>
        <v>245.55</v>
      </c>
      <c r="E10" s="64">
        <v>297.45999999999998</v>
      </c>
      <c r="F10" s="53">
        <f>B10*E10</f>
        <v>297.45999999999998</v>
      </c>
      <c r="G10" s="111">
        <v>1</v>
      </c>
      <c r="H10" s="64">
        <v>194.68</v>
      </c>
      <c r="I10" s="33">
        <f>G10*H10</f>
        <v>194.68</v>
      </c>
      <c r="J10" s="94"/>
      <c r="K10" s="35"/>
      <c r="M10" s="40">
        <v>6.3E-2</v>
      </c>
    </row>
    <row r="11" spans="1:13" ht="15" x14ac:dyDescent="0.25">
      <c r="A11" s="29" t="s">
        <v>9</v>
      </c>
      <c r="B11" s="103">
        <v>1</v>
      </c>
      <c r="C11" s="106">
        <f>-1.03+0.93</f>
        <v>-9.9999999999999978E-2</v>
      </c>
      <c r="D11" s="33">
        <f>B11*C11</f>
        <v>-9.9999999999999978E-2</v>
      </c>
      <c r="E11" s="64">
        <v>0</v>
      </c>
      <c r="F11" s="53">
        <f>B11*E11</f>
        <v>0</v>
      </c>
      <c r="G11" s="111">
        <v>1</v>
      </c>
      <c r="H11" s="64">
        <f>E11</f>
        <v>0</v>
      </c>
      <c r="I11" s="33">
        <f>G11*H11</f>
        <v>0</v>
      </c>
      <c r="J11" s="94"/>
      <c r="K11" s="35"/>
      <c r="M11" s="20"/>
    </row>
    <row r="12" spans="1:13" ht="15" x14ac:dyDescent="0.25">
      <c r="A12" s="29" t="s">
        <v>33</v>
      </c>
      <c r="B12" s="103">
        <f>B4</f>
        <v>160.95335296165933</v>
      </c>
      <c r="C12" s="108">
        <v>3.9601999999999999</v>
      </c>
      <c r="D12" s="33">
        <f>B12*C12</f>
        <v>637.40746839876329</v>
      </c>
      <c r="E12" s="112">
        <v>4.7972999999999999</v>
      </c>
      <c r="F12" s="53">
        <f>B12*E12</f>
        <v>772.14152016296828</v>
      </c>
      <c r="G12" s="111">
        <f>G4</f>
        <v>160.95335296165933</v>
      </c>
      <c r="H12" s="112">
        <v>4.8818999999999999</v>
      </c>
      <c r="I12" s="33">
        <f>G12*H12</f>
        <v>785.75817382352466</v>
      </c>
      <c r="J12" s="94"/>
      <c r="K12" s="35"/>
      <c r="M12" s="40">
        <f>M10</f>
        <v>6.3E-2</v>
      </c>
    </row>
    <row r="13" spans="1:13" ht="15" x14ac:dyDescent="0.25">
      <c r="A13" s="29" t="s">
        <v>34</v>
      </c>
      <c r="B13" s="103">
        <f>B4</f>
        <v>160.95335296165933</v>
      </c>
      <c r="C13" s="108">
        <v>0.30499999999999999</v>
      </c>
      <c r="D13" s="33">
        <f>B13*C13</f>
        <v>49.090772653306097</v>
      </c>
      <c r="E13" s="112">
        <v>0.30499999999999999</v>
      </c>
      <c r="F13" s="53">
        <f>B13*E13</f>
        <v>49.090772653306097</v>
      </c>
      <c r="G13" s="111">
        <f>G4</f>
        <v>160.95335296165933</v>
      </c>
      <c r="H13" s="112">
        <v>0</v>
      </c>
      <c r="I13" s="33">
        <f>G13*H13</f>
        <v>0</v>
      </c>
      <c r="J13" s="94"/>
      <c r="K13" s="35"/>
    </row>
    <row r="14" spans="1:13" ht="15.75" thickBot="1" x14ac:dyDescent="0.3">
      <c r="A14" s="29" t="s">
        <v>35</v>
      </c>
      <c r="B14" s="103">
        <f>B4</f>
        <v>160.95335296165933</v>
      </c>
      <c r="C14" s="108">
        <f>-0.3237-0.6615+0.0262+0.0211</f>
        <v>-0.93789999999999996</v>
      </c>
      <c r="D14" s="33">
        <f>B14*C14</f>
        <v>-150.95814974274029</v>
      </c>
      <c r="E14" s="112">
        <v>0</v>
      </c>
      <c r="F14" s="53">
        <f>B14*E14</f>
        <v>0</v>
      </c>
      <c r="G14" s="111">
        <f>G4</f>
        <v>160.95335296165933</v>
      </c>
      <c r="H14" s="112">
        <f>E14</f>
        <v>0</v>
      </c>
      <c r="I14" s="33">
        <f>G14*H14</f>
        <v>0</v>
      </c>
      <c r="J14" s="94"/>
      <c r="K14" s="35"/>
    </row>
    <row r="15" spans="1:13" ht="15.75" thickBot="1" x14ac:dyDescent="0.3">
      <c r="A15" s="113" t="s">
        <v>16</v>
      </c>
      <c r="B15" s="121"/>
      <c r="C15" s="121"/>
      <c r="D15" s="50">
        <f>SUM(D10,D12,D13,D11,D14)</f>
        <v>780.99009130932905</v>
      </c>
      <c r="E15" s="122"/>
      <c r="F15" s="72">
        <f>SUM(F10,F12,F13,F11,F14)</f>
        <v>1118.6922928162744</v>
      </c>
      <c r="G15" s="123"/>
      <c r="H15" s="122"/>
      <c r="I15" s="48">
        <f>SUM(I10,I12,I13,I11,I14)</f>
        <v>980.43817382352472</v>
      </c>
      <c r="J15" s="77">
        <f>(I15-F15)/F15</f>
        <v>-0.12358547554189282</v>
      </c>
    </row>
    <row r="16" spans="1:13" s="2" customFormat="1" ht="15" x14ac:dyDescent="0.25">
      <c r="A16" s="36"/>
      <c r="B16" s="104"/>
      <c r="C16" s="104"/>
      <c r="D16" s="37"/>
      <c r="E16" s="25"/>
      <c r="F16" s="37"/>
      <c r="G16" s="102"/>
      <c r="H16" s="25"/>
      <c r="I16" s="37"/>
      <c r="J16" s="93"/>
      <c r="K16" s="43"/>
    </row>
    <row r="17" spans="1:11" ht="15" x14ac:dyDescent="0.25">
      <c r="A17" s="29" t="s">
        <v>36</v>
      </c>
      <c r="B17" s="103">
        <f>B4</f>
        <v>160.95335296165933</v>
      </c>
      <c r="C17" s="108">
        <f>2.4951</f>
        <v>2.4950999999999999</v>
      </c>
      <c r="D17" s="33">
        <f>B17*C17</f>
        <v>401.5947109746362</v>
      </c>
      <c r="E17" s="30">
        <v>2.5453999999999999</v>
      </c>
      <c r="F17" s="33">
        <f>B17*E17</f>
        <v>409.69066462860764</v>
      </c>
      <c r="G17" s="101">
        <f>G4</f>
        <v>160.95335296165933</v>
      </c>
      <c r="H17" s="30">
        <v>1.8483000000000001</v>
      </c>
      <c r="I17" s="33">
        <f>G17*H17</f>
        <v>297.49008227903494</v>
      </c>
      <c r="J17" s="94"/>
      <c r="K17" s="35"/>
    </row>
    <row r="18" spans="1:11" ht="15" x14ac:dyDescent="0.25">
      <c r="A18" s="29" t="s">
        <v>37</v>
      </c>
      <c r="B18" s="103">
        <f>B4</f>
        <v>160.95335296165933</v>
      </c>
      <c r="C18" s="108">
        <f>1.1102</f>
        <v>1.1102000000000001</v>
      </c>
      <c r="D18" s="33">
        <f>B18*C18</f>
        <v>178.69041245803422</v>
      </c>
      <c r="E18" s="30">
        <v>1.2384999999999999</v>
      </c>
      <c r="F18" s="33">
        <f>B18*E18</f>
        <v>199.34072764301507</v>
      </c>
      <c r="G18" s="101">
        <f>G4</f>
        <v>160.95335296165933</v>
      </c>
      <c r="H18" s="65">
        <v>1.5101</v>
      </c>
      <c r="I18" s="33">
        <f>G18*H18</f>
        <v>243.05565830740176</v>
      </c>
      <c r="J18" s="94"/>
      <c r="K18" s="35"/>
    </row>
    <row r="19" spans="1:11" s="2" customFormat="1" ht="15" x14ac:dyDescent="0.25">
      <c r="A19" s="36" t="s">
        <v>19</v>
      </c>
      <c r="B19" s="104"/>
      <c r="C19" s="104"/>
      <c r="D19" s="37">
        <f>SUM(D17:D18)</f>
        <v>580.28512343267039</v>
      </c>
      <c r="E19" s="25"/>
      <c r="F19" s="37">
        <f>SUM(F17:F18)</f>
        <v>609.03139227162274</v>
      </c>
      <c r="G19" s="102"/>
      <c r="H19" s="25"/>
      <c r="I19" s="37">
        <f>SUM(I17:I18)</f>
        <v>540.54574058643675</v>
      </c>
      <c r="J19" s="93">
        <f>(I19-F19)/F19</f>
        <v>-0.11245011760353064</v>
      </c>
    </row>
    <row r="20" spans="1:11" s="2" customFormat="1" ht="15" x14ac:dyDescent="0.25">
      <c r="A20" s="36"/>
      <c r="B20" s="104"/>
      <c r="C20" s="104"/>
      <c r="D20" s="37"/>
      <c r="E20" s="25"/>
      <c r="F20" s="37"/>
      <c r="G20" s="102"/>
      <c r="H20" s="25"/>
      <c r="I20" s="37"/>
      <c r="J20" s="93"/>
    </row>
    <row r="21" spans="1:11" ht="15" x14ac:dyDescent="0.25">
      <c r="A21" s="29" t="s">
        <v>20</v>
      </c>
      <c r="B21" s="103">
        <f>B3*B5</f>
        <v>60450.064957078757</v>
      </c>
      <c r="C21" s="108">
        <v>3.5999999999999999E-3</v>
      </c>
      <c r="D21" s="33">
        <f>B21*C21</f>
        <v>217.62023384548351</v>
      </c>
      <c r="E21" s="30">
        <v>3.5999999999999999E-3</v>
      </c>
      <c r="F21" s="33">
        <f>B21*E21</f>
        <v>217.62023384548351</v>
      </c>
      <c r="G21" s="101">
        <f>G3*G5</f>
        <v>60444.342686636024</v>
      </c>
      <c r="H21" s="30">
        <f>E21</f>
        <v>3.5999999999999999E-3</v>
      </c>
      <c r="I21" s="33">
        <f>G21*H21</f>
        <v>217.59963367188968</v>
      </c>
      <c r="J21" s="94"/>
      <c r="K21" s="35"/>
    </row>
    <row r="22" spans="1:11" ht="15" x14ac:dyDescent="0.25">
      <c r="A22" s="29" t="s">
        <v>21</v>
      </c>
      <c r="B22" s="103">
        <f>B3*B5</f>
        <v>60450.064957078757</v>
      </c>
      <c r="C22" s="108">
        <v>2.9999999999999997E-4</v>
      </c>
      <c r="D22" s="33">
        <f>B22*C22</f>
        <v>18.135019487123625</v>
      </c>
      <c r="E22" s="30">
        <v>2.9999999999999997E-4</v>
      </c>
      <c r="F22" s="33">
        <f>B22*E22</f>
        <v>18.135019487123625</v>
      </c>
      <c r="G22" s="101">
        <f>G3*G5</f>
        <v>60444.342686636024</v>
      </c>
      <c r="H22" s="30">
        <v>2.9999999999999997E-4</v>
      </c>
      <c r="I22" s="33">
        <f>G22*H22</f>
        <v>18.133302805990805</v>
      </c>
      <c r="J22" s="94"/>
      <c r="K22" s="35"/>
    </row>
    <row r="23" spans="1:11" ht="15" x14ac:dyDescent="0.25">
      <c r="A23" s="29" t="s">
        <v>29</v>
      </c>
      <c r="B23" s="103">
        <f>B3</f>
        <v>57222.704427374818</v>
      </c>
      <c r="C23" s="107">
        <v>7.0000000000000001E-3</v>
      </c>
      <c r="D23" s="33">
        <f>B23*C23</f>
        <v>400.55893099162375</v>
      </c>
      <c r="E23" s="30">
        <v>7.0000000000000001E-3</v>
      </c>
      <c r="F23" s="33">
        <f>B23*E23</f>
        <v>400.55893099162375</v>
      </c>
      <c r="G23" s="101">
        <f>G3</f>
        <v>57222.704427374818</v>
      </c>
      <c r="H23" s="30">
        <f>E23</f>
        <v>7.0000000000000001E-3</v>
      </c>
      <c r="I23" s="33">
        <f>G23*H23</f>
        <v>400.55893099162375</v>
      </c>
      <c r="J23" s="94"/>
      <c r="K23" s="35"/>
    </row>
    <row r="24" spans="1:11" ht="15" x14ac:dyDescent="0.25">
      <c r="A24" s="29" t="s">
        <v>22</v>
      </c>
      <c r="B24" s="103">
        <v>1</v>
      </c>
      <c r="C24" s="106">
        <v>0.25</v>
      </c>
      <c r="D24" s="33">
        <f>B24*C24</f>
        <v>0.25</v>
      </c>
      <c r="E24" s="30">
        <v>0.25</v>
      </c>
      <c r="F24" s="33">
        <f>B24*E24</f>
        <v>0.25</v>
      </c>
      <c r="G24" s="101">
        <v>1</v>
      </c>
      <c r="H24" s="30">
        <f>E24</f>
        <v>0.25</v>
      </c>
      <c r="I24" s="33">
        <f>G24*H24</f>
        <v>0.25</v>
      </c>
      <c r="J24" s="94"/>
      <c r="K24" s="35"/>
    </row>
    <row r="25" spans="1:11" s="2" customFormat="1" ht="15" x14ac:dyDescent="0.25">
      <c r="A25" s="36" t="s">
        <v>23</v>
      </c>
      <c r="B25" s="22"/>
      <c r="C25" s="22"/>
      <c r="D25" s="37">
        <f>SUM(D21:D24)</f>
        <v>636.56418432423084</v>
      </c>
      <c r="E25" s="25"/>
      <c r="F25" s="37">
        <f>SUM(F21:F24)</f>
        <v>636.56418432423084</v>
      </c>
      <c r="G25" s="102"/>
      <c r="H25" s="25"/>
      <c r="I25" s="37">
        <f>SUM(I21:I24)</f>
        <v>636.54186746950427</v>
      </c>
      <c r="J25" s="93">
        <f>(I25-F25)/F25</f>
        <v>-3.5058294632551391E-5</v>
      </c>
    </row>
    <row r="26" spans="1:11" s="2" customFormat="1" x14ac:dyDescent="0.3">
      <c r="A26" s="36"/>
      <c r="B26" s="22"/>
      <c r="C26" s="22"/>
      <c r="D26" s="37"/>
      <c r="E26" s="25"/>
      <c r="F26" s="37"/>
      <c r="G26" s="58"/>
      <c r="H26" s="25"/>
      <c r="I26" s="37"/>
      <c r="J26" s="93"/>
    </row>
    <row r="27" spans="1:11" x14ac:dyDescent="0.3">
      <c r="A27" s="29" t="s">
        <v>24</v>
      </c>
      <c r="B27" s="26"/>
      <c r="C27" s="26"/>
      <c r="D27" s="33">
        <f>SUM(D8,D15,D19,D25)</f>
        <v>8653.3915508406008</v>
      </c>
      <c r="E27" s="67"/>
      <c r="F27" s="33">
        <f>SUM(F7,F15,F19,F25)</f>
        <v>9019.8400211864991</v>
      </c>
      <c r="G27" s="59"/>
      <c r="H27" s="67"/>
      <c r="I27" s="33">
        <f>SUM(I7,I15,I19,I25)</f>
        <v>8812.4479116780931</v>
      </c>
      <c r="J27" s="94"/>
      <c r="K27" s="35"/>
    </row>
    <row r="28" spans="1:11" ht="15" thickBot="1" x14ac:dyDescent="0.35">
      <c r="A28" s="29" t="s">
        <v>25</v>
      </c>
      <c r="B28" s="26"/>
      <c r="C28" s="46">
        <v>0.13</v>
      </c>
      <c r="D28" s="33">
        <f>D27*C28</f>
        <v>1124.9409016092782</v>
      </c>
      <c r="E28" s="88">
        <v>0.13</v>
      </c>
      <c r="F28" s="81">
        <f>F27*E28</f>
        <v>1172.579202754245</v>
      </c>
      <c r="G28" s="60"/>
      <c r="H28" s="88">
        <v>0.13</v>
      </c>
      <c r="I28" s="33">
        <f>I27*H28</f>
        <v>1145.6182285181521</v>
      </c>
      <c r="J28" s="94"/>
      <c r="K28" s="35"/>
    </row>
    <row r="29" spans="1:11" s="2" customFormat="1" ht="15" thickBot="1" x14ac:dyDescent="0.35">
      <c r="A29" s="1" t="s">
        <v>26</v>
      </c>
      <c r="B29" s="57"/>
      <c r="C29" s="57"/>
      <c r="D29" s="50">
        <f>D27+D28</f>
        <v>9778.3324524498785</v>
      </c>
      <c r="E29" s="70"/>
      <c r="F29" s="48">
        <f>F27+F28</f>
        <v>10192.419223940744</v>
      </c>
      <c r="G29" s="47"/>
      <c r="H29" s="49"/>
      <c r="I29" s="50">
        <f>I27+I28</f>
        <v>9958.0661401962461</v>
      </c>
      <c r="J29" s="77">
        <f>(I29-F29)/F29</f>
        <v>-2.2992881139938897E-2</v>
      </c>
    </row>
    <row r="31" spans="1:11" x14ac:dyDescent="0.3">
      <c r="I31" s="52"/>
    </row>
  </sheetData>
  <mergeCells count="1">
    <mergeCell ref="A1:J1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2_017_Update_Req xmlns="d6dbc8c3-1042-4473-bec9-62644ae75647">false</_x0032_017_Update_Req>
    <Hydro_x0020_One_x0020_Data_x0020_Classification xmlns="f0af1d65-dfd0-4b99-b523-def3a954563f">Internal Use (Only Internal information is not for release to the public)</Hydro_x0020_One_x0020_Data_x0020_Classification>
    <Issue_x0020_Additional xmlns="d6dbc8c3-1042-4473-bec9-62644ae75647">false</Issue_x0020_Additional>
    <IR_Exhibit xmlns="d6dbc8c3-1042-4473-bec9-62644ae75647" xsi:nil="true"/>
    <Filing_Date xmlns="d6dbc8c3-1042-4473-bec9-62644ae75647" xsi:nil="true"/>
    <Interrogatory_x0020_Number xmlns="d6dbc8c3-1042-4473-bec9-62644ae75647">99</Interrogatory_x0020_Number>
    <Anchor_IR xmlns="d6dbc8c3-1042-4473-bec9-62644ae75647" xsi:nil="true"/>
    <Exhibit_Ref xmlns="d6dbc8c3-1042-4473-bec9-62644ae75647" xsi:nil="true"/>
    <Legal_x0020_Review_x0020_Required xmlns="d6dbc8c3-1042-4473-bec9-62644ae75647">No</Legal_x0020_Review_x0020_Required>
    <Actors xmlns="d6dbc8c3-1042-4473-bec9-62644ae75647">
      <UserInfo>
        <DisplayName>ANDRE Henry</DisplayName>
        <AccountId>64</AccountId>
        <AccountType/>
      </UserInfo>
    </Actors>
    <Intervenor_x0020_Acronym xmlns="d6dbc8c3-1042-4473-bec9-62644ae75647">SEC</Intervenor_x0020_Acronym>
    <Dir_1 xmlns="d6dbc8c3-1042-4473-bec9-62644ae75647">true</Dir_1>
    <Intervenor_x0020_Name xmlns="d6dbc8c3-1042-4473-bec9-62644ae75647">School Energy Coalition</Intervenor_x0020_Name>
    <Exhibit_Ref_Page xmlns="d6dbc8c3-1042-4473-bec9-62644ae75647" xsi:nil="true"/>
    <Document_Type xmlns="d6dbc8c3-1042-4473-bec9-62644ae75647">Interrogatory Response</Document_Type>
    <Exhibit_Ref_Additional xmlns="d6dbc8c3-1042-4473-bec9-62644ae75647">false</Exhibit_Ref_Additional>
    <RA_Contact xmlns="d6dbc8c3-1042-4473-bec9-62644ae75647">Stephen Vetsis</RA_Contact>
    <Author_x0028_s_x0029_ xmlns="d6dbc8c3-1042-4473-bec9-62644ae75647">
      <UserInfo>
        <DisplayName>CORP\180164</DisplayName>
        <AccountId>3674</AccountId>
        <AccountType/>
      </UserInfo>
      <UserInfo>
        <DisplayName>CORP\188691</DisplayName>
        <AccountId>513</AccountId>
        <AccountType/>
      </UserInfo>
      <UserInfo>
        <DisplayName>CORP\184748</DisplayName>
        <AccountId>130</AccountId>
        <AccountType/>
      </UserInfo>
    </Author_x0028_s_x0029_>
    <Case_Number xmlns="d6dbc8c3-1042-4473-bec9-62644ae75647">EB-2017-0049</Case_Number>
    <SR_Approved xmlns="d6dbc8c3-1042-4473-bec9-62644ae75647">false</SR_Approved>
    <Strategic_x003f_ xmlns="d6dbc8c3-1042-4473-bec9-62644ae75647">false</Strategic_x003f_>
    <RA_Final xmlns="d6dbc8c3-1042-4473-bec9-62644ae75647">true</RA_Final>
    <IR_Tab xmlns="d6dbc8c3-1042-4473-bec9-62644ae75647">56</IR_Tab>
    <Issue_x0020_Group xmlns="d6dbc8c3-1042-4473-bec9-62644ae75647" xsi:nil="true"/>
    <Draft_Ready xmlns="d6dbc8c3-1042-4473-bec9-62644ae75647">true</Draft_Ready>
    <Question xmlns="d6dbc8c3-1042-4473-bec9-62644ae75647" xsi:nil="true"/>
    <_Version xmlns="http://schemas.microsoft.com/sharepoint/v3/fields" xsi:nil="true"/>
    <CLOReview xmlns="d6dbc8c3-1042-4473-bec9-62644ae75647">false</CLOReview>
  </documentManagement>
</p:properti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nterrogatory_Response" ma:contentTypeID="0x01010061EC7F66509FFD4DA0B1B261A86BE7730100407B36F7694D13419ACF55DFA3D7B93F" ma:contentTypeVersion="87" ma:contentTypeDescription="Template for completing responses to Interrogatory Responses" ma:contentTypeScope="" ma:versionID="2bde3c56b1ec35603a8ba9804634b00f">
  <xsd:schema xmlns:xsd="http://www.w3.org/2001/XMLSchema" xmlns:xs="http://www.w3.org/2001/XMLSchema" xmlns:p="http://schemas.microsoft.com/office/2006/metadata/properties" xmlns:ns2="d6dbc8c3-1042-4473-bec9-62644ae75647" xmlns:ns3="f0af1d65-dfd0-4b99-b523-def3a954563f" xmlns:ns4="http://schemas.microsoft.com/sharepoint/v3/fields" targetNamespace="http://schemas.microsoft.com/office/2006/metadata/properties" ma:root="true" ma:fieldsID="f80231d34a7e41def1970a81d6cb8674" ns2:_="" ns3:_="" ns4:_="">
    <xsd:import namespace="d6dbc8c3-1042-4473-bec9-62644ae75647"/>
    <xsd:import namespace="f0af1d65-dfd0-4b99-b523-def3a954563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ase_Number" minOccurs="0"/>
                <xsd:element ref="ns2:Anchor_IR" minOccurs="0"/>
                <xsd:element ref="ns2:Document_Type" minOccurs="0"/>
                <xsd:element ref="ns2:Exhibit_Ref" minOccurs="0"/>
                <xsd:element ref="ns2:Exhibit_Ref_Page" minOccurs="0"/>
                <xsd:element ref="ns2:Exhibit_Ref_Additional" minOccurs="0"/>
                <xsd:element ref="ns2:Intervenor_x0020_Acronym" minOccurs="0"/>
                <xsd:element ref="ns2:Intervenor_x0020_Name" minOccurs="0"/>
                <xsd:element ref="ns2:IR_Exhibit" minOccurs="0"/>
                <xsd:element ref="ns2:IR_Tab" minOccurs="0"/>
                <xsd:element ref="ns2:Interrogatory_x0020_Number" minOccurs="0"/>
                <xsd:element ref="ns2:Question" minOccurs="0"/>
                <xsd:element ref="ns2:RA_Contact" minOccurs="0"/>
                <xsd:element ref="ns2:Draft_Ready" minOccurs="0"/>
                <xsd:element ref="ns2:Dir_1" minOccurs="0"/>
                <xsd:element ref="ns2:RA_Final" minOccurs="0"/>
                <xsd:element ref="ns2:SR_Approved" minOccurs="0"/>
                <xsd:element ref="ns2:Strategic_x003f_" minOccurs="0"/>
                <xsd:element ref="ns2:Legal_x0020_Review_x0020_Required" minOccurs="0"/>
                <xsd:element ref="ns2:Author_x0028_s_x0029_" minOccurs="0"/>
                <xsd:element ref="ns3:Hydro_x0020_One_x0020_Data_x0020_Classification" minOccurs="0"/>
                <xsd:element ref="ns2:Filing_Date" minOccurs="0"/>
                <xsd:element ref="ns2:Issue_x0020_Group" minOccurs="0"/>
                <xsd:element ref="ns2:Issue_x0020_Additional" minOccurs="0"/>
                <xsd:element ref="ns2:Actors" minOccurs="0"/>
                <xsd:element ref="ns2:_x0032_017_Update_Req" minOccurs="0"/>
                <xsd:element ref="ns4:_Version" minOccurs="0"/>
                <xsd:element ref="ns2:CLO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bc8c3-1042-4473-bec9-62644ae75647" elementFormDefault="qualified">
    <xsd:import namespace="http://schemas.microsoft.com/office/2006/documentManagement/types"/>
    <xsd:import namespace="http://schemas.microsoft.com/office/infopath/2007/PartnerControls"/>
    <xsd:element name="Case_Number" ma:index="2" nillable="true" ma:displayName="Case_Number" ma:default="EB-2017-0049" ma:internalName="Case_Number">
      <xsd:simpleType>
        <xsd:restriction base="dms:Text">
          <xsd:maxLength value="255"/>
        </xsd:restriction>
      </xsd:simpleType>
    </xsd:element>
    <xsd:element name="Anchor_IR" ma:index="3" nillable="true" ma:displayName="Anchor_IR" ma:description="Use format I-[IR Tab]-[Intervenor Acronym]-[IR Number], for example: I-27-SEC-2. NO zero infront of the number ie 02. If this is an anchor then put its own Name." ma:internalName="Anchor_IR" ma:readOnly="false">
      <xsd:simpleType>
        <xsd:restriction base="dms:Text">
          <xsd:maxLength value="255"/>
        </xsd:restriction>
      </xsd:simpleType>
    </xsd:element>
    <xsd:element name="Document_Type" ma:index="4" nillable="true" ma:displayName="Document_Type" ma:default="Interrogatory Response" ma:format="Dropdown" ma:internalName="Document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Exhibit_Ref" ma:index="5" nillable="true" ma:displayName="Exhibit_Ref" ma:description="Reference to the DX Application exhibit" ma:format="Dropdown" ma:internalName="Exhibit_Ref" ma:readOnly="false">
      <xsd:simpleType>
        <xsd:restriction base="dms:Choice">
          <xsd:enumeration value="A-01-01"/>
          <xsd:enumeration value="A-02-01"/>
          <xsd:enumeration value="A-02-01-01"/>
          <xsd:enumeration value="A-02-02"/>
          <xsd:enumeration value="A-03-01"/>
          <xsd:enumeration value="A-03-01-01"/>
          <xsd:enumeration value="A-03-01-02"/>
          <xsd:enumeration value="A-03-01-03"/>
          <xsd:enumeration value="A-03-01-04"/>
          <xsd:enumeration value="A-03-01-05"/>
          <xsd:enumeration value="A-03-02"/>
          <xsd:enumeration value="A-03-02-01"/>
          <xsd:enumeration value="A-03-02-02"/>
          <xsd:enumeration value="A-04-01"/>
          <xsd:enumeration value="A-04-02"/>
          <xsd:enumeration value="A-05-01"/>
          <xsd:enumeration value="A-05-02"/>
          <xsd:enumeration value="A-05-02-01"/>
          <xsd:enumeration value="A-05-03"/>
          <xsd:enumeration value="A-05-03-01"/>
          <xsd:enumeration value="A-05-03-02"/>
          <xsd:enumeration value="A-06-01"/>
          <xsd:enumeration value="A-06-02"/>
          <xsd:enumeration value="A-06-02-01"/>
          <xsd:enumeration value="A-06-02-02"/>
          <xsd:enumeration value="A-06-02-03"/>
          <xsd:enumeration value="A-06-03"/>
          <xsd:enumeration value="A-06-04"/>
          <xsd:enumeration value="A-06-04-01"/>
          <xsd:enumeration value="A-06-04-02"/>
          <xsd:enumeration value="A-06-05"/>
          <xsd:enumeration value="A-06-05-01"/>
          <xsd:enumeration value="A-06-06"/>
          <xsd:enumeration value="A-06-07"/>
          <xsd:enumeration value="A-06-07-01"/>
          <xsd:enumeration value="A-06-07-02"/>
          <xsd:enumeration value="A-06-07-03"/>
          <xsd:enumeration value="A-06-08"/>
          <xsd:enumeration value="A-06-08-01"/>
          <xsd:enumeration value="A-07-01"/>
          <xsd:enumeration value="A-08-01"/>
          <xsd:enumeration value="A-09-01"/>
          <xsd:enumeration value="A-09-02"/>
          <xsd:enumeration value="A-10-01"/>
          <xsd:enumeration value="Appendix 2-G"/>
          <xsd:enumeration value="B1-01-01 Section 1.0"/>
          <xsd:enumeration value="B1-01-01 Section 1.1"/>
          <xsd:enumeration value="B1-01-01 Section 1.2"/>
          <xsd:enumeration value="B1-01-01 Section 1.2-A01"/>
          <xsd:enumeration value="B1-01-01 Section 1.2-A02"/>
          <xsd:enumeration value="B1-01-01 Section 1.2-A03"/>
          <xsd:enumeration value="B1-01-01 Section 1.2-A04"/>
          <xsd:enumeration value="B1-01-01 Section 1.2-A05"/>
          <xsd:enumeration value="B1-01-01 Section 1.2-A06"/>
          <xsd:enumeration value="B1-01-01 Section 1.2-A07"/>
          <xsd:enumeration value="B1-01-01 Section 1.2-A08"/>
          <xsd:enumeration value="B1-01-01 Section 1.2-A09"/>
          <xsd:enumeration value="B1-01-01 Section 1.2-A10"/>
          <xsd:enumeration value="B1-01-01 Section 1.2-A11"/>
          <xsd:enumeration value="B1-01-01 Section 1.2-A12"/>
          <xsd:enumeration value="B1-01-01 Section 1.2-A13"/>
          <xsd:enumeration value="B1-01-01 Section 1.2-A14"/>
          <xsd:enumeration value="B1-01-01 Section 1.2-A15"/>
          <xsd:enumeration value="B1-01-01 Section 1.2-A16"/>
          <xsd:enumeration value="B1-01-01 Section 1.2-A17"/>
          <xsd:enumeration value="B1-01-01 Section 1.2-A18"/>
          <xsd:enumeration value="B1-01-01 Section 1.2-A19"/>
          <xsd:enumeration value="B1-01-01 Section 1.2-A20"/>
          <xsd:enumeration value="B1-01-01 Section 1.2-A21"/>
          <xsd:enumeration value="B1-01-01 Section 1.2-A22"/>
          <xsd:enumeration value="B1-01-01 Section 1.2-A23"/>
          <xsd:enumeration value="B1-01-01 Section 1.2-A24"/>
          <xsd:enumeration value="B1-01-01 Section 1.2-A25"/>
          <xsd:enumeration value="B1-01-01 Section 1.2-A26"/>
          <xsd:enumeration value="B1-01-01 Section 1.2-A27"/>
          <xsd:enumeration value="B1-01-01 Section 1.2-A28"/>
          <xsd:enumeration value="B1-01-01 Section 1.2-A29"/>
          <xsd:enumeration value="B1-01-01 Section 1.2-A30"/>
          <xsd:enumeration value="B1-01-01 Section 1.3"/>
          <xsd:enumeration value="B1-01-01 Section 1.3-A01"/>
          <xsd:enumeration value="B1-01-01 Section 1.3-A02"/>
          <xsd:enumeration value="B1-01-01 Section 1.3-A03"/>
          <xsd:enumeration value="B1-01-01 Section 1.3-A04"/>
          <xsd:enumeration value="B1-01-01 Section 1.4"/>
          <xsd:enumeration value="B1-01-01 Section 1.4-A01"/>
          <xsd:enumeration value="B1-01-01 Section 1.4-A05"/>
          <xsd:enumeration value="B1-01-01 Section 1.5"/>
          <xsd:enumeration value="B1-01-01 Section 1.6"/>
          <xsd:enumeration value="B1-01-01 Section 1.6-A01"/>
          <xsd:enumeration value="B1-01-01 Section 1.6-A02"/>
          <xsd:enumeration value="B1-01-01 Section 1.6-A03"/>
          <xsd:enumeration value="B1-01-01 Section 2.0"/>
          <xsd:enumeration value="B1-01-01 Section 2.1"/>
          <xsd:enumeration value="B1-01-01 Section 2.2"/>
          <xsd:enumeration value="B1-01-01 Section 2.3"/>
          <xsd:enumeration value="B1-01-01 Section 2.4"/>
          <xsd:enumeration value="B1-01-01 Section 3.0"/>
          <xsd:enumeration value="B1-01-01 Section 3.1"/>
          <xsd:enumeration value="B1-01-01 Section 3.2"/>
          <xsd:enumeration value="B1-01-01 Section 3.3"/>
          <xsd:enumeration value="B1-01-01 Section 3.4"/>
          <xsd:enumeration value="B1-01-01 Section 3.5"/>
          <xsd:enumeration value="B1-01-01 Section 3.6"/>
          <xsd:enumeration value="B1-01-01 Section 3.7"/>
          <xsd:enumeration value="B1-01-01 Section 3.8"/>
          <xsd:enumeration value="B1-01-02"/>
          <xsd:enumeration value="B1-02-01"/>
          <xsd:enumeration value="C1-01-01"/>
          <xsd:enumeration value="C1-01-02"/>
          <xsd:enumeration value="C1-01-03"/>
          <xsd:enumeration value="C1-01-04"/>
          <xsd:enumeration value="C1-01-05"/>
          <xsd:enumeration value="C1-01-06"/>
          <xsd:enumeration value="C1-01-07"/>
          <xsd:enumeration value="C1-01-08"/>
          <xsd:enumeration value="C1-01-09"/>
          <xsd:enumeration value="C1-01-10"/>
          <xsd:enumeration value="C1-02-01"/>
          <xsd:enumeration value="C1-02-01-01"/>
          <xsd:enumeration value="C1-02-01-02"/>
          <xsd:enumeration value="C1-02-01-03"/>
          <xsd:enumeration value="C1-02-01-04"/>
          <xsd:enumeration value="C1-02-01-05"/>
          <xsd:enumeration value="C1-02-01-06"/>
          <xsd:enumeration value="C1-02-01-07"/>
          <xsd:enumeration value="C1-02-01-08"/>
          <xsd:enumeration value="C1-02-02"/>
          <xsd:enumeration value="C1-02-02-01"/>
          <xsd:enumeration value="C1-02-02-02"/>
          <xsd:enumeration value="C1-03-01"/>
          <xsd:enumeration value="C1-03-01-01"/>
          <xsd:enumeration value="C1-03-01-02"/>
          <xsd:enumeration value="C1-03-01-03"/>
          <xsd:enumeration value="C1-04-01"/>
          <xsd:enumeration value="C1-04-01-01"/>
          <xsd:enumeration value="C1-05-01"/>
          <xsd:enumeration value="C1-05-01-01"/>
          <xsd:enumeration value="C1-05-01-02"/>
          <xsd:enumeration value="C1-05-01-03"/>
          <xsd:enumeration value="C1-05-02"/>
          <xsd:enumeration value="C1-06-01"/>
          <xsd:enumeration value="C1-06-01-01"/>
          <xsd:enumeration value="C1-06-02"/>
          <xsd:enumeration value="C1-07-01"/>
          <xsd:enumeration value="C1-07-02"/>
          <xsd:enumeration value="C1-07-02-01"/>
          <xsd:enumeration value="C1-07-02-02"/>
          <xsd:enumeration value="C1-07-02-03"/>
          <xsd:enumeration value="C1-07-02-04"/>
          <xsd:enumeration value="C1-07-02-05"/>
          <xsd:enumeration value="C1-07-02-06"/>
          <xsd:enumeration value="C1-07-03"/>
          <xsd:enumeration value="C1-07-03-01"/>
          <xsd:enumeration value="C1-07-03-02"/>
          <xsd:enumeration value="C1-07-04"/>
          <xsd:enumeration value="C2-01-01"/>
          <xsd:enumeration value="D1-01-01"/>
          <xsd:enumeration value="D1-01-02"/>
          <xsd:enumeration value="D1-01-03"/>
          <xsd:enumeration value="D1-01-03-01"/>
          <xsd:enumeration value="D1-01-04"/>
          <xsd:enumeration value="D1-01-05"/>
          <xsd:enumeration value="D1-02-01"/>
          <xsd:enumeration value="D1-02-02"/>
          <xsd:enumeration value="D1-03-01"/>
          <xsd:enumeration value="D1-03-01-01"/>
          <xsd:enumeration value="D1-03-01-02"/>
          <xsd:enumeration value="D1-04-01"/>
          <xsd:enumeration value="D1-04-01-01"/>
          <xsd:enumeration value="D2-01-01"/>
          <xsd:enumeration value="D2-01-02"/>
          <xsd:enumeration value="D2-01-02-01"/>
          <xsd:enumeration value="D2-01-03"/>
          <xsd:enumeration value="D2-01-04"/>
          <xsd:enumeration value="D2-01-05"/>
          <xsd:enumeration value="D2-02-01"/>
          <xsd:enumeration value="D2-02-02"/>
          <xsd:enumeration value="DSP_Table_54-57"/>
          <xsd:enumeration value="DSP-Appendix_A"/>
          <xsd:enumeration value="E1-01-01"/>
          <xsd:enumeration value="E1-01-02"/>
          <xsd:enumeration value="E1-01-02_Tables 4_5"/>
          <xsd:enumeration value="E1-01-02-01"/>
          <xsd:enumeration value="E1-02-01"/>
          <xsd:enumeration value="E1-02-01-01"/>
          <xsd:enumeration value="E1-02-01-02"/>
          <xsd:enumeration value="E2-01-01"/>
          <xsd:enumeration value="E2-01-02"/>
          <xsd:enumeration value="F1-01-01"/>
          <xsd:enumeration value="F1-01-01-01"/>
          <xsd:enumeration value="F1-01-01-02"/>
          <xsd:enumeration value="F1-02-01"/>
          <xsd:enumeration value="F1-02-01-01"/>
          <xsd:enumeration value="F1-03-01"/>
          <xsd:enumeration value="G1-01-01"/>
          <xsd:enumeration value="G1-02-01"/>
          <xsd:enumeration value="G1-03-01"/>
          <xsd:enumeration value="G1-03-01-01"/>
          <xsd:enumeration value="G1-03-01-02"/>
          <xsd:enumeration value="G1-03-01-03"/>
          <xsd:enumeration value="G1-03-01-04"/>
          <xsd:enumeration value="H1-01-01"/>
          <xsd:enumeration value="H1-01-01-01"/>
          <xsd:enumeration value="H1-01-01-02"/>
          <xsd:enumeration value="H1-01-02"/>
          <xsd:enumeration value="H1-01-03"/>
          <xsd:enumeration value="H1-01-04"/>
          <xsd:enumeration value="H1-02-01"/>
          <xsd:enumeration value="H1-02-02"/>
          <xsd:enumeration value="H1-02-02-01"/>
          <xsd:enumeration value="H1-02-02-02"/>
          <xsd:enumeration value="H1-02-02-03"/>
          <xsd:enumeration value="H1-02-02-04"/>
          <xsd:enumeration value="H1-02-03"/>
          <xsd:enumeration value="H1-02-03-01"/>
          <xsd:enumeration value="H1-02-03-02"/>
          <xsd:enumeration value="H1-03-01"/>
          <xsd:enumeration value="H1-03-02"/>
          <xsd:enumeration value="H1-04-01"/>
          <xsd:enumeration value="H1-04-01-01"/>
          <xsd:enumeration value="H1-04-01-02"/>
          <xsd:enumeration value="H1-04-01-03"/>
          <xsd:enumeration value="H1-04-01-04"/>
          <xsd:enumeration value="H1-04-01-05"/>
          <xsd:enumeration value="H1-05-01"/>
          <xsd:enumeration value="Q-01-01"/>
          <xsd:enumeration value="Q-01-01-01"/>
          <xsd:enumeration value="Q-01-01-02"/>
          <xsd:enumeration value="Q-01-01-03"/>
          <xsd:enumeration value="Q-01-01-04"/>
          <xsd:enumeration value="Q-01-01-05"/>
          <xsd:enumeration value="Q-01-01-06"/>
          <xsd:enumeration value="Q-01-01-07"/>
          <xsd:enumeration value="Q-01-01-08"/>
          <xsd:enumeration value="Auditor General Report"/>
          <xsd:enumeration value="Executive Presentation Day"/>
          <xsd:enumeration value="None"/>
          <xsd:enumeration value="Previous Proceeding"/>
        </xsd:restriction>
      </xsd:simpleType>
    </xsd:element>
    <xsd:element name="Exhibit_Ref_Page" ma:index="6" nillable="true" ma:displayName="Exhibit_Ref_Page" ma:description="Page number referenced in the IR" ma:internalName="Exhibit_Ref_Page">
      <xsd:simpleType>
        <xsd:restriction base="dms:Text">
          <xsd:maxLength value="255"/>
        </xsd:restriction>
      </xsd:simpleType>
    </xsd:element>
    <xsd:element name="Exhibit_Ref_Additional" ma:index="7" nillable="true" ma:displayName="Exhibit_Ref_Additional" ma:default="0" ma:description="Denotes that there are more than one reference Exhibit" ma:internalName="Exhibit_Ref_Additional" ma:readOnly="false">
      <xsd:simpleType>
        <xsd:restriction base="dms:Boolean"/>
      </xsd:simpleType>
    </xsd:element>
    <xsd:element name="Intervenor_x0020_Acronym" ma:index="8" nillable="true" ma:displayName="Intervenor Acronym" ma:description="Intervenor Acronym" ma:format="Dropdown" ma:internalName="Intervenor_x0020_Acronym" ma:readOnly="false">
      <xsd:simpleType>
        <xsd:restriction base="dms:Choice">
          <xsd:enumeration value="Anwaatin"/>
          <xsd:enumeration value="ABE"/>
          <xsd:enumeration value="AMPCO"/>
          <xsd:enumeration value="BLC"/>
          <xsd:enumeration value="BOMA"/>
          <xsd:enumeration value="CCI"/>
          <xsd:enumeration value="CCSA"/>
          <xsd:enumeration value="CME"/>
          <xsd:enumeration value="COFH"/>
          <xsd:enumeration value="CCON"/>
          <xsd:enumeration value="CCC"/>
          <xsd:enumeration value="DSI"/>
          <xsd:enumeration value="EastLink"/>
          <xsd:enumeration value="EnergyProbe"/>
          <xsd:enumeration value="ESC"/>
          <xsd:enumeration value="IESO"/>
          <xsd:enumeration value="ITPA"/>
          <xsd:enumeration value="Mowat"/>
          <xsd:enumeration value="OnPhaze"/>
          <xsd:enumeration value="OPG"/>
          <xsd:enumeration value="OSEA"/>
          <xsd:enumeration value="PWU"/>
          <xsd:enumeration value="QM"/>
          <xsd:enumeration value="Quinte"/>
          <xsd:enumeration value="RiceLake"/>
          <xsd:enumeration value="Rogers"/>
          <xsd:enumeration value="SEC"/>
          <xsd:enumeration value="Shaw"/>
          <xsd:enumeration value="Staff"/>
          <xsd:enumeration value="SunsetBay"/>
          <xsd:enumeration value="SIA"/>
          <xsd:enumeration value="SEP"/>
          <xsd:enumeration value="Union"/>
          <xsd:enumeration value="VECC"/>
        </xsd:restriction>
      </xsd:simpleType>
    </xsd:element>
    <xsd:element name="Intervenor_x0020_Name" ma:index="9" nillable="true" ma:displayName="Intervenor Name" ma:description="Select Intervenor" ma:format="Dropdown" ma:internalName="Intervenor_x0020_Name">
      <xsd:simpleType>
        <xsd:restriction base="dms:Choice">
          <xsd:enumeration value="Anwaatin Inc."/>
          <xsd:enumeration value="Arbourbrook Estates"/>
          <xsd:enumeration value="Association of Major Power Consumers in Ontario"/>
          <xsd:enumeration value="Balsam Lake Coalition"/>
          <xsd:enumeration value="Building Owners and Managers Association Toronto"/>
          <xsd:enumeration value="Cable Cable Inc."/>
          <xsd:enumeration value="Canadian Cable Systems Alliance Inc."/>
          <xsd:enumeration value="Canadian Manufacturers &amp; Exporters"/>
          <xsd:enumeration value="City of Hamilton"/>
          <xsd:enumeration value="Cogeco Connexion Inc."/>
          <xsd:enumeration value="Consumers Council of Canada"/>
          <xsd:enumeration value="Doyle Salewski Inc."/>
          <xsd:enumeration value="Eastlink"/>
          <xsd:enumeration value="Energy Probe Research Foundation"/>
          <xsd:enumeration value="Energy Storage Canada"/>
          <xsd:enumeration value="Independent Electricity System Operator"/>
          <xsd:enumeration value="Independent Telecommunications Providers Association"/>
          <xsd:enumeration value="Mowat Energy"/>
          <xsd:enumeration value="OEB Staff"/>
          <xsd:enumeration value="OnPhaze Inc."/>
          <xsd:enumeration value="Ontario Power Generation Inc."/>
          <xsd:enumeration value="Ontario Sustainable Energy Association"/>
          <xsd:enumeration value="Power Workers' Union"/>
          <xsd:enumeration value="Quebecor Media"/>
          <xsd:enumeration value="Quinte Manufacturers Association"/>
          <xsd:enumeration value="Rice Lake Tourist Association"/>
          <xsd:enumeration value="Rogers Communications"/>
          <xsd:enumeration value="School Energy Coalition"/>
          <xsd:enumeration value="Shaw Communications Inc."/>
          <xsd:enumeration value="Sunset Bay Road Cottagers"/>
          <xsd:enumeration value="Sustainable Infrastructure Alliance of Ontario"/>
          <xsd:enumeration value="The Society of Energy Professionals"/>
          <xsd:enumeration value="Union Gas Limited"/>
          <xsd:enumeration value="Vulnerable Energy Consumers Coalition"/>
        </xsd:restriction>
      </xsd:simpleType>
    </xsd:element>
    <xsd:element name="IR_Exhibit" ma:index="10" nillable="true" ma:displayName="IR_Exhibit" ma:description="IR Exhibit prefix (&quot;I&quot;)" ma:internalName="IR_Exhibit" ma:readOnly="false">
      <xsd:simpleType>
        <xsd:restriction base="dms:Text">
          <xsd:maxLength value="255"/>
        </xsd:restriction>
      </xsd:simpleType>
    </xsd:element>
    <xsd:element name="IR_Tab" ma:index="11" nillable="true" ma:displayName="IR_Tab" ma:description="Intervenor Number" ma:format="Dropdown" ma:indexed="true" ma:internalName="IR_Tab">
      <xsd:simpleType>
        <xsd:restriction base="dms:Choice">
          <xsd:enumeration value="00"/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</xsd:restriction>
      </xsd:simpleType>
    </xsd:element>
    <xsd:element name="Interrogatory_x0020_Number" ma:index="12" nillable="true" ma:displayName="IR Numb" ma:decimals="0" ma:description="Interrogatory Number" ma:internalName="Interrogatory_x0020_Number" ma:percentage="FALSE">
      <xsd:simpleType>
        <xsd:restriction base="dms:Number"/>
      </xsd:simpleType>
    </xsd:element>
    <xsd:element name="Question" ma:index="13" nillable="true" ma:displayName="Question" ma:description="IR Question Text" ma:internalName="Question">
      <xsd:simpleType>
        <xsd:restriction base="dms:Note">
          <xsd:maxLength value="255"/>
        </xsd:restriction>
      </xsd:simpleType>
    </xsd:element>
    <xsd:element name="RA_Contact" ma:index="14" nillable="true" ma:displayName="RA_Contact" ma:description="See RA Contact List Sheet&#10;" ma:format="Dropdown" ma:internalName="RA_Contact">
      <xsd:simpleType>
        <xsd:restriction base="dms:Choice">
          <xsd:enumeration value="Jody Mceachran"/>
          <xsd:enumeration value="Lisa Lee"/>
          <xsd:enumeration value="Nicole Taylor"/>
          <xsd:enumeration value="Stephen Vetsis"/>
          <xsd:enumeration value="Uri Akselrud"/>
          <xsd:enumeration value="Oren Ben-Shlomo"/>
          <xsd:enumeration value="Alex Zbarcea"/>
          <xsd:enumeration value="Andrew Flannery"/>
        </xsd:restriction>
      </xsd:simpleType>
    </xsd:element>
    <xsd:element name="Draft_Ready" ma:index="15" nillable="true" ma:displayName="Draft_Ready" ma:default="0" ma:description="Denotes whether there is a draft ready for Regulatory review." ma:internalName="Draft_Ready">
      <xsd:simpleType>
        <xsd:restriction base="dms:Boolean"/>
      </xsd:simpleType>
    </xsd:element>
    <xsd:element name="Dir_1" ma:index="16" nillable="true" ma:displayName="Dir_1" ma:default="0" ma:description="Denotes 1st approval by Director to either go to Sr Mgmt review (if strategic) or to go to final formatting." ma:internalName="Dir_1">
      <xsd:simpleType>
        <xsd:restriction base="dms:Boolean"/>
      </xsd:simpleType>
    </xsd:element>
    <xsd:element name="RA_Final" ma:index="17" nillable="true" ma:displayName="RA_Final" ma:default="0" ma:description="Denotes Final Approval by RA." ma:internalName="RA_Final">
      <xsd:simpleType>
        <xsd:restriction base="dms:Boolean"/>
      </xsd:simpleType>
    </xsd:element>
    <xsd:element name="SR_Approved" ma:index="18" nillable="true" ma:displayName="SR_Approved" ma:default="0" ma:description="Check if Sr Mgmt has approved the item. 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0" ma:description="Is this item strategic?  If yes then it will garner Sr Mgmt review." ma:internalName="Strategic_x003f_">
      <xsd:simpleType>
        <xsd:restriction base="dms:Boolean"/>
      </xsd:simpleType>
    </xsd:element>
    <xsd:element name="Legal_x0020_Review_x0020_Required" ma:index="20" nillable="true" ma:displayName="Legal Review Required" ma:default="No" ma:description="Legal Review Status" ma:format="Dropdown" ma:internalName="Legal_x0020_Review_x0020_Required">
      <xsd:simpleType>
        <xsd:restriction base="dms:Choice">
          <xsd:enumeration value="Yes"/>
          <xsd:enumeration value="No"/>
          <xsd:enumeration value="Submitted for Review"/>
          <xsd:enumeration value="Review Completed"/>
        </xsd:restriction>
      </xsd:simpleType>
    </xsd:element>
    <xsd:element name="Author_x0028_s_x0029_" ma:index="21" nillable="true" ma:displayName="Author(s)" ma:description="The person(s) primarily in charge of authoring the item." ma:list="UserInfo" ma:SharePointGroup="0" ma:internalName="Author_x0028_s_x0029_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iling_Date" ma:index="24" nillable="true" ma:displayName="Filing_Date" ma:description="Date the IR is filed" ma:internalName="Filing_Date" ma:readOnly="false">
      <xsd:simpleType>
        <xsd:restriction base="dms:Text">
          <xsd:maxLength value="255"/>
        </xsd:restriction>
      </xsd:simpleType>
    </xsd:element>
    <xsd:element name="Issue_x0020_Group" ma:index="26" nillable="true" ma:displayName="Issue Group" ma:description="Select the Issue Group that the IR relates to" ma:format="Dropdown" ma:internalName="Issue_x0020_Group">
      <xsd:simpleType>
        <xsd:restriction base="dms:Choice">
          <xsd:enumeration value="Issue 1: Has Hydro One responded appropriately to all relevant OEB directions from previous proceedings?"/>
          <xsd:enumeration value="Issue 2: Has Hydro One adequately responded to the customer concerns expressed in the Community Meetings held for this application?"/>
          <xsd:enumeration value="Issue 3: Is the overall increase in the distribution revenue requirement from 2018 to 2022 reasonable?"/>
          <xsd:enumeration value="Issue 4: Are the rate and bill impacts in each customer class in each year in the 2018 to 2022 period reasonable?"/>
          <xsd:enumeration value="Issue 5: Are Hydro One’s proposed rate impact mitigation measures appropriate and do any of the proposed rate increases require rate smoothing or mitigation beyond what Hydro One has proposed?"/>
          <xsd:enumeration value="Issue 6: Does Hydro One’s First Nation and Métis Strategy sufficiently address the unique rights and concerns of Indigenous customers with respect to Hydro One’s distribution service?"/>
          <xsd:enumeration value="Issue 7: Is Hydro One’s proposed Custom Incentive Rate Methodology, using a Revenue Cap Index, consistent with the OEB’s Rate Handbook?"/>
          <xsd:enumeration value="Issue 8: Is the proposed industry-specific inflation factor, and the proposed custom productivity factor, appropriate?"/>
          <xsd:enumeration value="Issue 9: Are the values for the proposed custom capital factor appropriate?"/>
          <xsd:enumeration value="Issue 10: Are the program-based cost, productivity and benchmarking studies filed by Hydro One appropriate?"/>
          <xsd:enumeration value="Issue 11: Are the results of the studies sufficient to guide Hydro One’s plans to achieve the desired outcomes to the benefit of ratepayers?"/>
          <xsd:enumeration value="Issue 12: Do these studies align with each other and with Hydro One’s overall custom IR Plan?"/>
          <xsd:enumeration value="Issue 13: Are the annual updates proposed by Hydro One appropriate?"/>
          <xsd:enumeration value="Issue 14: Is Hydro One’s proposed integration of the Acquired Utilities in 2021 appropriate?"/>
          <xsd:enumeration value="Issue 15: Is the proposed Earnings/Sharing mechanism appropriate?"/>
          <xsd:enumeration value="Issue 16: Are the proposed Z-factors and Off-Ramps appropriate?"/>
          <xsd:enumeration value="Issue 17: Does the application adequately incorporate and reflect the four outcomes identified in the Rate Handbook: customer focus, operational effectiveness, public policy responsiveness, and financial performance?"/>
          <xsd:enumeration value="Issue 18: Are the metrics in the proposed additional scorecard measures appropriate and do they adequately reflect appropriate outcomes?"/>
          <xsd:enumeration value="Issue 19: Are the proposals for performance monitoring and reporting adequate and do the outcomes adequately reflect customer expectations?"/>
          <xsd:enumeration value="Issue 20: Does the application promote and incent appropriate outcomes for existing and future customers including factors such as cost control, system reliability, service quality, and bill impacts?"/>
          <xsd:enumeration value="Issue 21: Does the application adequately account for productivity gains in its forecasts and adequately include expectations for gains relative to external benchmarks?"/>
          <xsd:enumeration value="Issue 22: Has the applicant adequately demonstrated its ability and commitment to manage within the revenue requirement proposed over the course of the custom incentive rate plan term?"/>
          <xsd:enumeration value="Issue 23: Was the customer consultation adequate and does the Distribution System Plan adequately address customer needs and preferences?"/>
          <xsd:enumeration value="Issue 24: Does Hydro One’s investment planning process consider appropriate planning criteria? Does it adequately address the condition of distribution assets, service quality and system reliability?"/>
          <xsd:enumeration value="Issue 25: Does the Distribution System Plan adequately reflect productivity gains, benefit sharing and benchmarking?"/>
          <xsd:enumeration value="Issue 26: Does the Distribution System Plan address the trade-offs between capital and OM&amp;A spending over the course of the plan period?"/>
          <xsd:enumeration value="Issue 27: Has the distribution System Plan adequately addressed government mandated obligations over the planning period?"/>
          <xsd:enumeration value="Issue 28: Has Hydro One appropriately incorporated Regional Planning in its Distribution System Plan?"/>
          <xsd:enumeration value="Issue 29: Are the proposed capital expenditures resulting from the Distribution System Plan appropriate, and have they been adequately planned and paced?"/>
          <xsd:enumeration value="Issue 30: Are the proposed capital expenditures for System Renewal, System Service, System Access and General Plant appropriately based on the Distribution System Plan?"/>
          <xsd:enumeration value="Issue 31: Are the methodologies used to allocate Common Corporate capital expenditures to the distribution business appropriate?"/>
          <xsd:enumeration value="Issue 32: Are the methodologies used to determine the distribution Overhead Capitalization Rate for 2018 and onward appropriate?"/>
          <xsd:enumeration value="Issue 33: Are the amounts proposed for the rate base from 2018 to 2022 appropriate?"/>
          <xsd:enumeration value="Issue 34: Are the inputs used to determine the working capital component of the rate base and the methodology used appropriate?"/>
          <xsd:enumeration value="Issue 35: Is the proposed capital structure appropriate?"/>
          <xsd:enumeration value="Issue 36: Are the proposed timing and methodology for determining the return on equity and short-term debt prior to the effective date of rate implementation appropriate?"/>
          <xsd:enumeration value="Issue 37: Is the forecast of long term debt for 2018 and further years appropriate?"/>
          <xsd:enumeration value="Issue 38: Are the proposed OM&amp;A spending levels for Sustainment, Development, Operations, Customer Care, Common Corporate and Property Taxes and Rights Payments, appropriate, including consideration of factors considered in the Distribution System Plan?"/>
          <xsd:enumeration value="Issue 39: Do the proposed OM&amp;A expenditures include the consideration of factors such as system reliability, service quality, asset condition, cost benchmarking, bill impact and customer preferences?"/>
          <xsd:enumeration value="Issue 40: Are the proposed 2018 human resources related costs (wages, salaries, benefits, incentive payments, labour productivity and pension costs) including employee levels, appropriate (excluding executive compensation)?"/>
          <xsd:enumeration value="Issue 41: Has Hydro One demonstrated improvements in presenting its compensation costs and showing efficiency and value for dollar associated with its compensation costs (excluding executive compensation)?"/>
          <xsd:enumeration value="Issue 42: Is the updated executive compensation information filed by Hydro One in the distribution proceeding on December 21, 2017 consistent with the OEB’s findings on executive compensation in the EB-2016-0160 Transmission Decision?"/>
          <xsd:enumeration value="Issue 43: Are the methodologies used to allocate Common Corporate Costs and Other OM&amp;A costs to the distribution business for 2018 and further years appropriate?"/>
          <xsd:enumeration value="Issue 44: Is Hydro One’s proposed depreciation expense for 2018 and further years appropriate?"/>
          <xsd:enumeration value="Issue 45: Are the proposed other revenues for 2018 – 2022 appropriate?"/>
          <xsd:enumeration value="Issue 46: Is the load forecast methodology including the forecast of CDM savings appropriate?"/>
          <xsd:enumeration value="Issue 47: Are the customer and load forecasts a reasonable reflection of the energy and demand requirements for 2018 – 2022?"/>
          <xsd:enumeration value="Issue 48: Has the load forecast appropriately accounted for the addition of the Acquired Utilities’ customers in 2021?"/>
          <xsd:enumeration value="Issue 49: Are the inputs to the cost allocation model appropriate and are costs appropriately allocated?"/>
          <xsd:enumeration value="Issue 50: Are the proposed billing determinants appropriate?"/>
          <xsd:enumeration value="Issue 51: Are the revenue-to-cost ratios for all rate classes over the 2018 – 2022 period appropriate?"/>
          <xsd:enumeration value="Issue 52: Are the proposed fixed and variable charges for all rate classes over the 2018 - 2022 period, appropriate, including implementation of the OEB’s residential rate design?"/>
          <xsd:enumeration value="Issue 53: Are the proposed Retail Transmission Service Rates appropriate?"/>
          <xsd:enumeration value="Issue 54: Are the proposed specific service charges for miscellaneous services over the 2018 – 2022 period reasonable?"/>
          <xsd:enumeration value="Issue 55: Are the proposed line losses over the 2018 – 2022 period appropriate?"/>
          <xsd:enumeration value="Issue 56: Do the costs allocated to acquired utilities appropriately reflect the OEB’s decisions in related Hydro One acquisition proceedings?"/>
          <xsd:enumeration value="Issue 57: Are the proposed amounts, disposition and continuance of Hydro One’s existing deferral and variance accounts appropriate?"/>
          <xsd:enumeration value="Issue 58: Are the proposed new deferral and variance accounts appropriate?"/>
          <xsd:enumeration value="Issue 59: Is the proposal to discontinue several deferral and variance accounts appropriate?"/>
        </xsd:restriction>
      </xsd:simpleType>
    </xsd:element>
    <xsd:element name="Issue_x0020_Additional" ma:index="27" nillable="true" ma:displayName="Additional Issues" ma:default="0" ma:description="Is there more than one issue [y/n]" ma:internalName="Issue_x0020_Additional">
      <xsd:simpleType>
        <xsd:restriction base="dms:Boolean"/>
      </xsd:simpleType>
    </xsd:element>
    <xsd:element name="Actors" ma:index="28" nillable="true" ma:displayName="Witness" ma:description="List of Witness(es)" ma:list="UserInfo" ma:SharePointGroup="0" ma:internalName="Actor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0032_017_Update_Req" ma:index="35" nillable="true" ma:displayName="2017_Update_Req" ma:default="0" ma:description="Does this IR require a 2017 update?" ma:internalName="_x0032_017_Update_Req">
      <xsd:simpleType>
        <xsd:restriction base="dms:Boolean"/>
      </xsd:simpleType>
    </xsd:element>
    <xsd:element name="CLOReview" ma:index="39" nillable="true" ma:displayName="CLOReview" ma:default="0" ma:description="Reviewed By Chief Legal Officer" ma:internalName="CLOReview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3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38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B70759-6FB1-4551-BB56-AAC967EB48DB}">
  <ds:schemaRefs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f0af1d65-dfd0-4b99-b523-def3a954563f"/>
    <ds:schemaRef ds:uri="d6dbc8c3-1042-4473-bec9-62644ae75647"/>
    <ds:schemaRef ds:uri="http://schemas.microsoft.com/office/infopath/2007/PartnerControls"/>
    <ds:schemaRef ds:uri="http://schemas.openxmlformats.org/package/2006/metadata/core-properties"/>
    <ds:schemaRef ds:uri="http://schemas.microsoft.com/sharepoint/v3/field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1A62E12-2BD8-4412-9611-C635AAA2C6B9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0CC5BAC4-F634-4310-ABE7-0CAA0EDF65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585F0C9-72FA-47C8-AC17-B9572D3A6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dbc8c3-1042-4473-bec9-62644ae75647"/>
    <ds:schemaRef ds:uri="f0af1d65-dfd0-4b99-b523-def3a954563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Residential</vt:lpstr>
      <vt:lpstr>GS&lt;50 kW</vt:lpstr>
      <vt:lpstr>GS 50-4,999 kW</vt:lpstr>
      <vt:lpstr>'GS 50-4,999 kW'!Print_Area</vt:lpstr>
      <vt:lpstr>'GS&lt;50 kW'!Print_Area</vt:lpstr>
      <vt:lpstr>Residential!Print_Area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99 Attachment 3</dc:title>
  <dc:creator>SHETH Nikita</dc:creator>
  <cp:lastModifiedBy>MCEACHRAN Jody</cp:lastModifiedBy>
  <cp:lastPrinted>2017-12-05T19:12:58Z</cp:lastPrinted>
  <dcterms:created xsi:type="dcterms:W3CDTF">2017-12-05T18:40:07Z</dcterms:created>
  <dcterms:modified xsi:type="dcterms:W3CDTF">2018-02-09T22:33:10Z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0x01010061EC7F66509FFD4DA0B1B261A86BE7730100407B36F7694D13419ACF55DFA3D7B93F</vt:lpwstr>
  </property>
</Properties>
</file>