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LLING-FINANCE\Shared Databases\Shared Billing Documents\OEB\Rate applications\IRM\EB-2017-0034\Staff Questions\02152018\"/>
    </mc:Choice>
  </mc:AlternateContent>
  <bookViews>
    <workbookView xWindow="0" yWindow="0" windowWidth="28800" windowHeight="11910"/>
  </bookViews>
  <sheets>
    <sheet name="1595-2010" sheetId="1" r:id="rId1"/>
    <sheet name="1595-2013" sheetId="2" r:id="rId2"/>
    <sheet name="1595-2015" sheetId="4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4" l="1"/>
  <c r="D9" i="4"/>
  <c r="D17" i="4"/>
  <c r="D18" i="4"/>
  <c r="D19" i="4"/>
  <c r="D21" i="4"/>
  <c r="C18" i="4"/>
  <c r="C17" i="4"/>
  <c r="E18" i="4"/>
  <c r="F18" i="4" s="1"/>
  <c r="E17" i="4"/>
  <c r="F12" i="4"/>
  <c r="F13" i="4"/>
  <c r="F14" i="4"/>
  <c r="E9" i="4"/>
  <c r="B17" i="4"/>
  <c r="B18" i="4"/>
  <c r="E19" i="4"/>
  <c r="F17" i="4"/>
  <c r="C19" i="4"/>
  <c r="F15" i="4"/>
  <c r="F18" i="2"/>
  <c r="D12" i="2"/>
  <c r="F12" i="2" s="1"/>
  <c r="D13" i="2"/>
  <c r="F13" i="2" s="1"/>
  <c r="D14" i="2"/>
  <c r="F14" i="2" s="1"/>
  <c r="D15" i="2"/>
  <c r="F15" i="2" s="1"/>
  <c r="C17" i="2"/>
  <c r="C16" i="2"/>
  <c r="C19" i="2" s="1"/>
  <c r="C9" i="2"/>
  <c r="B17" i="2"/>
  <c r="D17" i="2" s="1"/>
  <c r="F17" i="2" s="1"/>
  <c r="B16" i="2"/>
  <c r="D16" i="2" s="1"/>
  <c r="F16" i="2" s="1"/>
  <c r="B9" i="2"/>
  <c r="D9" i="2" s="1"/>
  <c r="F9" i="2" s="1"/>
  <c r="B15" i="2"/>
  <c r="E9" i="2"/>
  <c r="B24" i="1"/>
  <c r="C17" i="1"/>
  <c r="D12" i="1"/>
  <c r="D18" i="1"/>
  <c r="D19" i="1"/>
  <c r="D20" i="1"/>
  <c r="B16" i="1"/>
  <c r="D16" i="1" s="1"/>
  <c r="C16" i="1"/>
  <c r="C15" i="1"/>
  <c r="D15" i="1" s="1"/>
  <c r="C14" i="1"/>
  <c r="D14" i="1" s="1"/>
  <c r="C13" i="1"/>
  <c r="D13" i="1" s="1"/>
  <c r="D9" i="1"/>
  <c r="C21" i="2" l="1"/>
  <c r="C21" i="4"/>
  <c r="F16" i="4"/>
  <c r="E21" i="4"/>
  <c r="F9" i="4"/>
  <c r="B19" i="4"/>
  <c r="F19" i="4" s="1"/>
  <c r="B19" i="2"/>
  <c r="E19" i="2"/>
  <c r="E21" i="2" s="1"/>
  <c r="B21" i="1"/>
  <c r="B23" i="1" s="1"/>
  <c r="C21" i="1"/>
  <c r="D17" i="1"/>
  <c r="B21" i="4" l="1"/>
  <c r="F21" i="4" s="1"/>
  <c r="B21" i="2"/>
  <c r="D19" i="2"/>
  <c r="F19" i="2" s="1"/>
  <c r="D21" i="1"/>
  <c r="D23" i="1" s="1"/>
  <c r="C23" i="1"/>
  <c r="D21" i="2" l="1"/>
  <c r="F21" i="2" s="1"/>
</calcChain>
</file>

<file path=xl/sharedStrings.xml><?xml version="1.0" encoding="utf-8"?>
<sst xmlns="http://schemas.openxmlformats.org/spreadsheetml/2006/main" count="71" uniqueCount="34">
  <si>
    <t>DISPOSAL</t>
  </si>
  <si>
    <t>Carrying Charges</t>
  </si>
  <si>
    <t>Total</t>
  </si>
  <si>
    <t>Principal</t>
  </si>
  <si>
    <t>1595-2010-01</t>
  </si>
  <si>
    <t>1595-2010-00</t>
  </si>
  <si>
    <t>Activity</t>
  </si>
  <si>
    <t>Amount Disposed</t>
  </si>
  <si>
    <t>2016 YE Adj TO Fix Allocation - re Last IRM</t>
  </si>
  <si>
    <t>Adjustment to Carrying Charges from above</t>
  </si>
  <si>
    <t>COLLUS POWERSTREAM CORP.</t>
  </si>
  <si>
    <t>1595-2010 BALANCE REVIEW</t>
  </si>
  <si>
    <t>Notes:  Final ending balance represents only  1.79% of original total repayable to customers.</t>
  </si>
  <si>
    <t xml:space="preserve">Repaid slightly too much to customers.  </t>
  </si>
  <si>
    <t>The rate rider is assumed at a specific amount to clear the balance to zero, but actual results will vary slightly.</t>
  </si>
  <si>
    <t>1595-2013 BALANCE REVIEW</t>
  </si>
  <si>
    <t>1595-2013-00</t>
  </si>
  <si>
    <t>1595-2013-03</t>
  </si>
  <si>
    <t>1595-2013-01&amp;04</t>
  </si>
  <si>
    <t>Notes:  The net disposal started as a debit balance of $223,061.54 and interest of -13329.27.</t>
  </si>
  <si>
    <t>Subtotal</t>
  </si>
  <si>
    <t>The net disposal ended as a debit balance of $107,446.79.</t>
  </si>
  <si>
    <t>Therefore, Collus has not sufficiently recoved the net debit balance in the rate rider.</t>
  </si>
  <si>
    <t>Principal GA Portion</t>
  </si>
  <si>
    <t>Specifically, the recovery for the GA portion of the disposal was insufficient.</t>
  </si>
  <si>
    <t>No recovery has been applied to the carrying charges because the net balance never switched into a net credit balance.</t>
  </si>
  <si>
    <t>1595-2015 BALANCE REVIEW</t>
  </si>
  <si>
    <t>1595-2015-00</t>
  </si>
  <si>
    <t>Variance</t>
  </si>
  <si>
    <t>Per Oeb question</t>
  </si>
  <si>
    <t>Notes:  The net disposal started as a debit balance of $1,150,097 and interest of 11,149.</t>
  </si>
  <si>
    <t>The net disposal ended as a debit balance of $142,717.39</t>
  </si>
  <si>
    <t>Specifically, the recovery for the GA portion of the disposal is the more insufficient recovery of the two principal balance types.</t>
  </si>
  <si>
    <t>* Variance equals to the adjustment for the overbilling issue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</si>
</sst>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2" fillId="0" borderId="0" xfId="0" applyFont="1"/>
    <xf numFmtId="4" fontId="0" fillId="0" borderId="1" xfId="0" applyNumberFormat="1" applyBorder="1" applyAlignment="1">
      <alignment horizontal="right"/>
    </xf>
    <xf numFmtId="4" fontId="0" fillId="2" borderId="1" xfId="0" applyNumberFormat="1" applyFill="1" applyBorder="1" applyAlignment="1">
      <alignment horizontal="right"/>
    </xf>
    <xf numFmtId="0" fontId="0" fillId="2" borderId="0" xfId="0" applyFill="1"/>
    <xf numFmtId="4" fontId="2" fillId="0" borderId="0" xfId="1" applyNumberFormat="1" applyFont="1" applyFill="1" applyBorder="1" applyAlignment="1">
      <alignment horizontal="right"/>
    </xf>
    <xf numFmtId="4" fontId="0" fillId="0" borderId="1" xfId="0" applyNumberFormat="1" applyFill="1" applyBorder="1" applyAlignment="1">
      <alignment horizontal="right"/>
    </xf>
    <xf numFmtId="4" fontId="0" fillId="0" borderId="0" xfId="0" applyNumberFormat="1" applyFill="1" applyBorder="1" applyAlignment="1">
      <alignment horizontal="right"/>
    </xf>
    <xf numFmtId="0" fontId="0" fillId="0" borderId="0" xfId="0" applyFill="1" applyBorder="1"/>
    <xf numFmtId="4" fontId="1" fillId="2" borderId="2" xfId="1" applyNumberFormat="1" applyFont="1" applyFill="1" applyBorder="1" applyAlignment="1">
      <alignment horizontal="right"/>
    </xf>
    <xf numFmtId="4" fontId="0" fillId="0" borderId="0" xfId="0" applyNumberFormat="1" applyBorder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5" fontId="2" fillId="0" borderId="0" xfId="0" applyNumberFormat="1" applyFont="1" applyAlignment="1">
      <alignment horizontal="left"/>
    </xf>
    <xf numFmtId="10" fontId="0" fillId="0" borderId="0" xfId="2" applyNumberFormat="1" applyFont="1" applyAlignment="1">
      <alignment horizontal="right"/>
    </xf>
    <xf numFmtId="0" fontId="2" fillId="3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0" fillId="3" borderId="0" xfId="0" applyNumberFormat="1" applyFill="1" applyAlignment="1">
      <alignment horizontal="right"/>
    </xf>
    <xf numFmtId="4" fontId="0" fillId="3" borderId="1" xfId="0" applyNumberFormat="1" applyFill="1" applyBorder="1" applyAlignment="1">
      <alignment horizontal="right"/>
    </xf>
    <xf numFmtId="4" fontId="0" fillId="0" borderId="2" xfId="0" applyNumberFormat="1" applyFill="1" applyBorder="1" applyAlignment="1">
      <alignment horizontal="right"/>
    </xf>
    <xf numFmtId="43" fontId="0" fillId="0" borderId="0" xfId="3" applyFont="1"/>
    <xf numFmtId="0" fontId="3" fillId="0" borderId="0" xfId="0" applyFont="1" applyFill="1" applyBorder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tabSelected="1" workbookViewId="0">
      <selection activeCell="F3" sqref="F3"/>
    </sheetView>
  </sheetViews>
  <sheetFormatPr defaultRowHeight="15" x14ac:dyDescent="0.25"/>
  <cols>
    <col min="1" max="1" width="38" customWidth="1"/>
    <col min="2" max="3" width="16.5703125" customWidth="1"/>
    <col min="4" max="4" width="16.5703125" style="14" customWidth="1"/>
    <col min="5" max="8" width="19" style="14" customWidth="1"/>
  </cols>
  <sheetData>
    <row r="1" spans="1:8" x14ac:dyDescent="0.25">
      <c r="A1" s="18" t="s">
        <v>10</v>
      </c>
    </row>
    <row r="2" spans="1:8" x14ac:dyDescent="0.25">
      <c r="A2" s="18" t="s">
        <v>11</v>
      </c>
    </row>
    <row r="3" spans="1:8" x14ac:dyDescent="0.25">
      <c r="A3" s="19">
        <v>43100</v>
      </c>
    </row>
    <row r="5" spans="1:8" x14ac:dyDescent="0.25">
      <c r="A5" s="2"/>
      <c r="B5" s="2" t="s">
        <v>0</v>
      </c>
      <c r="C5" s="2" t="s">
        <v>0</v>
      </c>
      <c r="D5" s="2" t="s">
        <v>0</v>
      </c>
      <c r="E5" s="2"/>
      <c r="F5" s="2"/>
      <c r="G5" s="2"/>
      <c r="H5" s="2"/>
    </row>
    <row r="6" spans="1:8" x14ac:dyDescent="0.25">
      <c r="A6" s="2"/>
      <c r="B6" s="2">
        <v>2010</v>
      </c>
      <c r="C6" s="2">
        <v>2010</v>
      </c>
      <c r="D6" s="2">
        <v>2010</v>
      </c>
      <c r="E6" s="2"/>
      <c r="F6" s="2"/>
      <c r="G6" s="2"/>
      <c r="H6" s="2"/>
    </row>
    <row r="7" spans="1:8" x14ac:dyDescent="0.25">
      <c r="A7" s="2"/>
      <c r="B7" s="2" t="s">
        <v>3</v>
      </c>
      <c r="C7" s="2" t="s">
        <v>1</v>
      </c>
      <c r="D7" s="2" t="s">
        <v>2</v>
      </c>
      <c r="E7" s="2"/>
      <c r="F7" s="2"/>
      <c r="G7" s="2"/>
      <c r="H7" s="2"/>
    </row>
    <row r="8" spans="1:8" ht="15.75" thickBot="1" x14ac:dyDescent="0.3">
      <c r="A8" s="3"/>
      <c r="B8" s="3" t="s">
        <v>5</v>
      </c>
      <c r="C8" s="3" t="s">
        <v>4</v>
      </c>
      <c r="D8" s="3"/>
      <c r="E8" s="2"/>
      <c r="F8" s="2"/>
      <c r="G8" s="2"/>
      <c r="H8" s="2"/>
    </row>
    <row r="9" spans="1:8" ht="15.75" thickBot="1" x14ac:dyDescent="0.3">
      <c r="A9" s="4" t="s">
        <v>7</v>
      </c>
      <c r="B9" s="15">
        <v>-2715748</v>
      </c>
      <c r="C9" s="15">
        <v>-196296</v>
      </c>
      <c r="D9" s="15">
        <f>SUM(B9:C9)</f>
        <v>-2912044</v>
      </c>
      <c r="E9" s="11"/>
      <c r="F9" s="11"/>
      <c r="G9" s="11"/>
      <c r="H9" s="11"/>
    </row>
    <row r="10" spans="1:8" x14ac:dyDescent="0.25">
      <c r="B10" s="6"/>
      <c r="C10" s="6"/>
      <c r="D10" s="13"/>
      <c r="E10" s="13"/>
      <c r="F10" s="13"/>
      <c r="G10" s="13"/>
      <c r="H10" s="13"/>
    </row>
    <row r="11" spans="1:8" x14ac:dyDescent="0.25">
      <c r="A11" s="7" t="s">
        <v>6</v>
      </c>
      <c r="B11" s="6"/>
      <c r="C11" s="6"/>
      <c r="D11" s="13"/>
      <c r="E11" s="13"/>
      <c r="F11" s="13"/>
      <c r="G11" s="13"/>
      <c r="H11" s="13"/>
    </row>
    <row r="12" spans="1:8" x14ac:dyDescent="0.25">
      <c r="A12" s="1">
        <v>2010</v>
      </c>
      <c r="B12" s="6">
        <v>477036.98</v>
      </c>
      <c r="C12" s="6">
        <v>-14361.82</v>
      </c>
      <c r="D12" s="13">
        <f t="shared" ref="D12:D21" si="0">SUM(B12:C12)</f>
        <v>462675.16</v>
      </c>
      <c r="E12" s="13"/>
      <c r="F12" s="13"/>
      <c r="G12" s="13"/>
      <c r="H12" s="13"/>
    </row>
    <row r="13" spans="1:8" x14ac:dyDescent="0.25">
      <c r="A13" s="1">
        <v>2011</v>
      </c>
      <c r="B13" s="6">
        <v>875072.76</v>
      </c>
      <c r="C13" s="6">
        <f>210657.82-238289.32</f>
        <v>-27631.5</v>
      </c>
      <c r="D13" s="13">
        <f t="shared" si="0"/>
        <v>847441.26</v>
      </c>
      <c r="E13" s="13"/>
      <c r="F13" s="13"/>
      <c r="G13" s="13"/>
      <c r="H13" s="13"/>
    </row>
    <row r="14" spans="1:8" x14ac:dyDescent="0.25">
      <c r="A14" s="1">
        <v>2012</v>
      </c>
      <c r="B14" s="6">
        <v>665843.69999999995</v>
      </c>
      <c r="C14" s="6">
        <f>238289.32-253913.07</f>
        <v>-15623.75</v>
      </c>
      <c r="D14" s="13">
        <f t="shared" si="0"/>
        <v>650219.94999999995</v>
      </c>
      <c r="E14" s="13"/>
      <c r="F14" s="13"/>
      <c r="G14" s="13"/>
      <c r="H14" s="13"/>
    </row>
    <row r="15" spans="1:8" x14ac:dyDescent="0.25">
      <c r="A15" s="1">
        <v>2013</v>
      </c>
      <c r="B15" s="6">
        <v>719940.64</v>
      </c>
      <c r="C15" s="6">
        <f>253913.07-259066.37</f>
        <v>-5153.2999999999884</v>
      </c>
      <c r="D15" s="13">
        <f t="shared" si="0"/>
        <v>714787.34000000008</v>
      </c>
      <c r="E15" s="13"/>
      <c r="F15" s="13"/>
      <c r="G15" s="13"/>
      <c r="H15" s="13"/>
    </row>
    <row r="16" spans="1:8" x14ac:dyDescent="0.25">
      <c r="A16" s="1">
        <v>2014</v>
      </c>
      <c r="B16" s="6">
        <f>-22146.08+307805.33</f>
        <v>285659.25</v>
      </c>
      <c r="C16" s="6">
        <f>259066.37-255267.43</f>
        <v>3798.9400000000023</v>
      </c>
      <c r="D16" s="13">
        <f t="shared" si="0"/>
        <v>289458.19</v>
      </c>
      <c r="E16" s="13"/>
      <c r="F16" s="13"/>
      <c r="G16" s="13"/>
      <c r="H16" s="13"/>
    </row>
    <row r="17" spans="1:8" x14ac:dyDescent="0.25">
      <c r="A17" s="1">
        <v>2015</v>
      </c>
      <c r="B17" s="6"/>
      <c r="C17" s="6">
        <f>255267.43-251600.74</f>
        <v>3666.6900000000023</v>
      </c>
      <c r="D17" s="13">
        <f t="shared" si="0"/>
        <v>3666.6900000000023</v>
      </c>
      <c r="E17" s="13"/>
      <c r="F17" s="13"/>
      <c r="G17" s="13"/>
      <c r="H17" s="13"/>
    </row>
    <row r="18" spans="1:8" x14ac:dyDescent="0.25">
      <c r="A18" s="1">
        <v>2016</v>
      </c>
      <c r="B18" s="16"/>
      <c r="C18" s="16">
        <v>3385.89</v>
      </c>
      <c r="D18" s="13">
        <f t="shared" si="0"/>
        <v>3385.89</v>
      </c>
      <c r="E18" s="13"/>
      <c r="F18" s="13"/>
      <c r="G18" s="13"/>
      <c r="H18" s="13"/>
    </row>
    <row r="19" spans="1:8" x14ac:dyDescent="0.25">
      <c r="A19" s="17" t="s">
        <v>8</v>
      </c>
      <c r="B19" s="16">
        <v>-259066.37</v>
      </c>
      <c r="C19" s="16">
        <v>259066.37</v>
      </c>
      <c r="D19" s="13">
        <f t="shared" si="0"/>
        <v>0</v>
      </c>
      <c r="E19" s="13"/>
      <c r="F19" s="13"/>
      <c r="G19" s="13"/>
      <c r="H19" s="13"/>
    </row>
    <row r="20" spans="1:8" ht="15.75" thickBot="1" x14ac:dyDescent="0.3">
      <c r="A20" s="17" t="s">
        <v>9</v>
      </c>
      <c r="B20" s="8"/>
      <c r="C20" s="8">
        <v>-9113.43</v>
      </c>
      <c r="D20" s="12">
        <f t="shared" si="0"/>
        <v>-9113.43</v>
      </c>
      <c r="E20" s="13"/>
      <c r="F20" s="13"/>
      <c r="G20" s="13"/>
      <c r="H20" s="13"/>
    </row>
    <row r="21" spans="1:8" ht="15.75" thickBot="1" x14ac:dyDescent="0.3">
      <c r="B21" s="8">
        <f>SUM(B12:B20)</f>
        <v>2764486.96</v>
      </c>
      <c r="C21" s="8">
        <f>SUM(C12:C20)</f>
        <v>198034.09000000003</v>
      </c>
      <c r="D21" s="8">
        <f t="shared" si="0"/>
        <v>2962521.05</v>
      </c>
      <c r="E21" s="13"/>
      <c r="F21" s="13"/>
      <c r="G21" s="13"/>
      <c r="H21" s="13"/>
    </row>
    <row r="22" spans="1:8" x14ac:dyDescent="0.25">
      <c r="B22" s="6"/>
      <c r="C22" s="6"/>
      <c r="D22" s="13"/>
      <c r="E22" s="13"/>
      <c r="F22" s="13"/>
      <c r="G22" s="13"/>
      <c r="H22" s="13"/>
    </row>
    <row r="23" spans="1:8" ht="15.75" thickBot="1" x14ac:dyDescent="0.3">
      <c r="A23" s="10" t="s">
        <v>2</v>
      </c>
      <c r="B23" s="9">
        <f>B9+B21</f>
        <v>48738.959999999963</v>
      </c>
      <c r="C23" s="9">
        <f>C9+C21</f>
        <v>1738.0900000000256</v>
      </c>
      <c r="D23" s="9">
        <f>D9+D21</f>
        <v>50477.049999999814</v>
      </c>
      <c r="E23" s="13"/>
      <c r="F23" s="13"/>
      <c r="G23" s="13"/>
      <c r="H23" s="13"/>
    </row>
    <row r="24" spans="1:8" x14ac:dyDescent="0.25">
      <c r="B24" s="20">
        <f>B23/B9</f>
        <v>-1.794679035020921E-2</v>
      </c>
      <c r="C24" s="6"/>
      <c r="D24" s="13"/>
      <c r="E24" s="13"/>
      <c r="F24" s="13"/>
      <c r="G24" s="13"/>
      <c r="H24" s="13"/>
    </row>
    <row r="25" spans="1:8" x14ac:dyDescent="0.25">
      <c r="B25" s="6"/>
      <c r="C25" s="6"/>
      <c r="D25" s="13"/>
      <c r="E25" s="13"/>
      <c r="F25" s="13"/>
      <c r="G25" s="13"/>
      <c r="H25" s="13"/>
    </row>
    <row r="26" spans="1:8" x14ac:dyDescent="0.25">
      <c r="B26" s="6"/>
      <c r="C26" s="6"/>
      <c r="D26" s="13"/>
      <c r="E26" s="13"/>
      <c r="F26" s="13"/>
      <c r="G26" s="13"/>
      <c r="H26" s="13"/>
    </row>
    <row r="27" spans="1:8" x14ac:dyDescent="0.25">
      <c r="A27" t="s">
        <v>12</v>
      </c>
      <c r="C27" s="5"/>
    </row>
    <row r="28" spans="1:8" x14ac:dyDescent="0.25">
      <c r="A28" t="s">
        <v>13</v>
      </c>
    </row>
    <row r="29" spans="1:8" x14ac:dyDescent="0.25">
      <c r="A29" t="s">
        <v>14</v>
      </c>
    </row>
  </sheetData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showGridLines="0" workbookViewId="0">
      <selection activeCell="G11" sqref="G11"/>
    </sheetView>
  </sheetViews>
  <sheetFormatPr defaultRowHeight="15" x14ac:dyDescent="0.25"/>
  <cols>
    <col min="1" max="1" width="38" customWidth="1"/>
    <col min="2" max="2" width="22.5703125" customWidth="1"/>
    <col min="3" max="3" width="19.5703125" customWidth="1"/>
    <col min="4" max="4" width="25.7109375" bestFit="1" customWidth="1"/>
    <col min="5" max="5" width="16.5703125" customWidth="1"/>
    <col min="6" max="6" width="16.5703125" style="14" customWidth="1"/>
    <col min="7" max="7" width="19" style="14" customWidth="1"/>
    <col min="9" max="9" width="18.28515625" bestFit="1" customWidth="1"/>
    <col min="10" max="10" width="12.28515625" bestFit="1" customWidth="1"/>
    <col min="12" max="12" width="11.28515625" style="26" bestFit="1" customWidth="1"/>
    <col min="13" max="13" width="10.85546875" style="26" bestFit="1" customWidth="1"/>
    <col min="14" max="14" width="10.28515625" style="26" bestFit="1" customWidth="1"/>
    <col min="15" max="15" width="11.28515625" bestFit="1" customWidth="1"/>
  </cols>
  <sheetData>
    <row r="1" spans="1:14" x14ac:dyDescent="0.25">
      <c r="A1" s="18" t="s">
        <v>10</v>
      </c>
    </row>
    <row r="2" spans="1:14" x14ac:dyDescent="0.25">
      <c r="A2" s="18" t="s">
        <v>15</v>
      </c>
    </row>
    <row r="3" spans="1:14" x14ac:dyDescent="0.25">
      <c r="A3" s="19">
        <v>43100</v>
      </c>
    </row>
    <row r="5" spans="1:14" x14ac:dyDescent="0.25">
      <c r="A5" s="2"/>
      <c r="B5" s="21" t="s">
        <v>0</v>
      </c>
      <c r="C5" s="21" t="s">
        <v>0</v>
      </c>
      <c r="D5" s="21" t="s">
        <v>0</v>
      </c>
      <c r="E5" s="2" t="s">
        <v>0</v>
      </c>
      <c r="F5" s="2" t="s">
        <v>0</v>
      </c>
      <c r="G5" s="2"/>
    </row>
    <row r="6" spans="1:14" x14ac:dyDescent="0.25">
      <c r="A6" s="2"/>
      <c r="B6" s="21">
        <v>2013</v>
      </c>
      <c r="C6" s="21">
        <v>2013</v>
      </c>
      <c r="D6" s="21">
        <v>2013</v>
      </c>
      <c r="E6" s="2">
        <v>2013</v>
      </c>
      <c r="F6" s="2">
        <v>2013</v>
      </c>
      <c r="G6" s="2"/>
      <c r="L6"/>
      <c r="M6"/>
      <c r="N6"/>
    </row>
    <row r="7" spans="1:14" x14ac:dyDescent="0.25">
      <c r="A7" s="2"/>
      <c r="B7" s="21" t="s">
        <v>3</v>
      </c>
      <c r="C7" s="21" t="s">
        <v>23</v>
      </c>
      <c r="D7" s="21" t="s">
        <v>3</v>
      </c>
      <c r="E7" s="2" t="s">
        <v>1</v>
      </c>
      <c r="F7" s="2" t="s">
        <v>2</v>
      </c>
      <c r="G7" s="2"/>
      <c r="L7"/>
      <c r="M7"/>
      <c r="N7"/>
    </row>
    <row r="8" spans="1:14" ht="15.75" thickBot="1" x14ac:dyDescent="0.3">
      <c r="A8" s="3"/>
      <c r="B8" s="22" t="s">
        <v>16</v>
      </c>
      <c r="C8" s="22" t="s">
        <v>18</v>
      </c>
      <c r="D8" s="22" t="s">
        <v>20</v>
      </c>
      <c r="E8" s="3" t="s">
        <v>17</v>
      </c>
      <c r="F8" s="3"/>
      <c r="G8" s="2"/>
      <c r="L8"/>
      <c r="M8"/>
      <c r="N8"/>
    </row>
    <row r="9" spans="1:14" ht="15.75" thickBot="1" x14ac:dyDescent="0.3">
      <c r="A9" s="4" t="s">
        <v>7</v>
      </c>
      <c r="B9" s="15">
        <f>-364557.04-8339.73+1241+34891</f>
        <v>-336764.76999999996</v>
      </c>
      <c r="C9" s="15">
        <f>574289.34-14463</f>
        <v>559826.34</v>
      </c>
      <c r="D9" s="15">
        <f>SUM(B9:C9)</f>
        <v>223061.57</v>
      </c>
      <c r="E9" s="15">
        <f>8339.73-1241-34891+14463</f>
        <v>-13329.27</v>
      </c>
      <c r="F9" s="15">
        <f>SUM(D9:E9)</f>
        <v>209732.30000000002</v>
      </c>
      <c r="G9" s="11"/>
      <c r="L9"/>
      <c r="M9"/>
      <c r="N9"/>
    </row>
    <row r="10" spans="1:14" x14ac:dyDescent="0.25">
      <c r="B10" s="23"/>
      <c r="C10" s="23"/>
      <c r="D10" s="23"/>
      <c r="E10" s="6"/>
      <c r="F10" s="13"/>
      <c r="G10" s="13"/>
      <c r="L10"/>
      <c r="M10"/>
      <c r="N10"/>
    </row>
    <row r="11" spans="1:14" x14ac:dyDescent="0.25">
      <c r="A11" s="7" t="s">
        <v>6</v>
      </c>
      <c r="B11" s="23"/>
      <c r="C11" s="23"/>
      <c r="D11" s="23"/>
      <c r="E11" s="6"/>
      <c r="F11" s="13"/>
      <c r="G11" s="13"/>
      <c r="L11"/>
      <c r="M11"/>
      <c r="N11"/>
    </row>
    <row r="12" spans="1:14" x14ac:dyDescent="0.25">
      <c r="A12" s="1">
        <v>2010</v>
      </c>
      <c r="B12" s="23">
        <v>0</v>
      </c>
      <c r="C12" s="23"/>
      <c r="D12" s="23">
        <f t="shared" ref="D12:D17" si="0">SUM(B12:C12)</f>
        <v>0</v>
      </c>
      <c r="E12" s="6"/>
      <c r="F12" s="13">
        <f t="shared" ref="F12:F19" si="1">SUM(D12:E12)</f>
        <v>0</v>
      </c>
      <c r="G12" s="13"/>
      <c r="L12"/>
      <c r="M12"/>
      <c r="N12"/>
    </row>
    <row r="13" spans="1:14" x14ac:dyDescent="0.25">
      <c r="A13" s="1">
        <v>2011</v>
      </c>
      <c r="B13" s="23">
        <v>0</v>
      </c>
      <c r="C13" s="23"/>
      <c r="D13" s="23">
        <f t="shared" si="0"/>
        <v>0</v>
      </c>
      <c r="E13" s="6"/>
      <c r="F13" s="13">
        <f t="shared" si="1"/>
        <v>0</v>
      </c>
      <c r="G13" s="13"/>
      <c r="L13"/>
      <c r="M13"/>
      <c r="N13"/>
    </row>
    <row r="14" spans="1:14" x14ac:dyDescent="0.25">
      <c r="A14" s="1">
        <v>2012</v>
      </c>
      <c r="B14" s="23">
        <v>0</v>
      </c>
      <c r="C14" s="23"/>
      <c r="D14" s="23">
        <f t="shared" si="0"/>
        <v>0</v>
      </c>
      <c r="E14" s="6"/>
      <c r="F14" s="13">
        <f t="shared" si="1"/>
        <v>0</v>
      </c>
      <c r="G14" s="13"/>
      <c r="L14"/>
      <c r="M14"/>
      <c r="N14"/>
    </row>
    <row r="15" spans="1:14" x14ac:dyDescent="0.25">
      <c r="A15" s="1">
        <v>2013</v>
      </c>
      <c r="B15" s="23">
        <f>1508.06+14983.26</f>
        <v>16491.32</v>
      </c>
      <c r="C15" s="23">
        <v>-25686.25</v>
      </c>
      <c r="D15" s="23">
        <f t="shared" si="0"/>
        <v>-9194.93</v>
      </c>
      <c r="E15" s="6">
        <v>516.70000000000005</v>
      </c>
      <c r="F15" s="13">
        <f t="shared" si="1"/>
        <v>-8678.23</v>
      </c>
      <c r="G15" s="13"/>
      <c r="L15"/>
      <c r="M15"/>
      <c r="N15"/>
    </row>
    <row r="16" spans="1:14" x14ac:dyDescent="0.25">
      <c r="A16" s="1">
        <v>2014</v>
      </c>
      <c r="B16" s="23">
        <f>348065.72-49128.69+8339.73-1241-34891</f>
        <v>271144.75999999995</v>
      </c>
      <c r="C16" s="23">
        <f>25686.25-384499.14</f>
        <v>-358812.89</v>
      </c>
      <c r="D16" s="23">
        <f t="shared" si="0"/>
        <v>-87668.130000000063</v>
      </c>
      <c r="E16" s="6">
        <v>2660.47</v>
      </c>
      <c r="F16" s="13">
        <f t="shared" si="1"/>
        <v>-85007.660000000062</v>
      </c>
      <c r="G16" s="13"/>
      <c r="L16"/>
      <c r="M16"/>
      <c r="N16"/>
    </row>
    <row r="17" spans="1:14" x14ac:dyDescent="0.25">
      <c r="A17" s="1">
        <v>2015</v>
      </c>
      <c r="B17" s="23">
        <f>44601.91+49128.69</f>
        <v>93730.6</v>
      </c>
      <c r="C17" s="23">
        <f>384499.14-496981.46</f>
        <v>-112482.32</v>
      </c>
      <c r="D17" s="23">
        <f t="shared" si="0"/>
        <v>-18751.72</v>
      </c>
      <c r="E17" s="6">
        <v>1341.92</v>
      </c>
      <c r="F17" s="13">
        <f t="shared" si="1"/>
        <v>-17409.800000000003</v>
      </c>
      <c r="G17" s="13"/>
      <c r="L17"/>
      <c r="M17"/>
      <c r="N17"/>
    </row>
    <row r="18" spans="1:14" ht="15.75" thickBot="1" x14ac:dyDescent="0.3">
      <c r="A18" s="1">
        <v>2016</v>
      </c>
      <c r="B18" s="24">
        <v>0</v>
      </c>
      <c r="C18" s="24">
        <v>0</v>
      </c>
      <c r="D18" s="24">
        <v>0</v>
      </c>
      <c r="E18" s="8">
        <v>1181.8900000000001</v>
      </c>
      <c r="F18" s="12">
        <f t="shared" si="1"/>
        <v>1181.8900000000001</v>
      </c>
      <c r="G18" s="13"/>
      <c r="L18"/>
      <c r="M18"/>
      <c r="N18"/>
    </row>
    <row r="19" spans="1:14" ht="15.75" thickBot="1" x14ac:dyDescent="0.3">
      <c r="B19" s="24">
        <f>SUM(B12:B18)</f>
        <v>381366.67999999993</v>
      </c>
      <c r="C19" s="24">
        <f>SUM(C12:C18)</f>
        <v>-496981.46</v>
      </c>
      <c r="D19" s="24">
        <f>SUM(B19:C19)</f>
        <v>-115614.78000000009</v>
      </c>
      <c r="E19" s="8">
        <f>SUM(E12:E18)</f>
        <v>5700.9800000000005</v>
      </c>
      <c r="F19" s="8">
        <f t="shared" si="1"/>
        <v>-109913.80000000009</v>
      </c>
      <c r="G19" s="13"/>
      <c r="L19"/>
      <c r="M19"/>
      <c r="N19"/>
    </row>
    <row r="20" spans="1:14" x14ac:dyDescent="0.25">
      <c r="B20" s="23"/>
      <c r="C20" s="23"/>
      <c r="D20" s="23"/>
      <c r="E20" s="6"/>
      <c r="F20" s="13"/>
      <c r="G20" s="13"/>
      <c r="L20"/>
      <c r="M20"/>
      <c r="N20"/>
    </row>
    <row r="21" spans="1:14" ht="15.75" thickBot="1" x14ac:dyDescent="0.3">
      <c r="A21" s="10" t="s">
        <v>2</v>
      </c>
      <c r="B21" s="9">
        <f>B9+B19</f>
        <v>44601.909999999974</v>
      </c>
      <c r="C21" s="9">
        <f>C9+C19</f>
        <v>62844.879999999946</v>
      </c>
      <c r="D21" s="9">
        <f>SUM(B21:C21)</f>
        <v>107446.78999999992</v>
      </c>
      <c r="E21" s="9">
        <f>E9+E19</f>
        <v>-7628.29</v>
      </c>
      <c r="F21" s="9">
        <f>SUM(D21:E21)</f>
        <v>99818.499999999927</v>
      </c>
      <c r="G21" s="13"/>
      <c r="L21"/>
      <c r="M21"/>
      <c r="N21"/>
    </row>
    <row r="22" spans="1:14" x14ac:dyDescent="0.25">
      <c r="B22" s="20"/>
      <c r="C22" s="20"/>
      <c r="D22" s="20"/>
      <c r="E22" s="6"/>
      <c r="F22" s="13"/>
      <c r="G22" s="13"/>
      <c r="L22"/>
      <c r="M22"/>
      <c r="N22"/>
    </row>
    <row r="23" spans="1:14" x14ac:dyDescent="0.25">
      <c r="B23" s="6"/>
      <c r="C23" s="6"/>
      <c r="D23" s="6"/>
      <c r="E23" s="6"/>
      <c r="F23" s="13"/>
      <c r="G23" s="13"/>
      <c r="L23"/>
      <c r="M23"/>
      <c r="N23"/>
    </row>
    <row r="24" spans="1:14" x14ac:dyDescent="0.25">
      <c r="B24" s="6"/>
      <c r="C24" s="6"/>
      <c r="D24" s="6"/>
      <c r="E24" s="6"/>
      <c r="F24" s="13"/>
      <c r="G24" s="13"/>
      <c r="L24"/>
      <c r="M24"/>
      <c r="N24"/>
    </row>
    <row r="25" spans="1:14" x14ac:dyDescent="0.25">
      <c r="A25" t="s">
        <v>19</v>
      </c>
      <c r="E25" s="5"/>
      <c r="L25"/>
      <c r="M25"/>
      <c r="N25"/>
    </row>
    <row r="26" spans="1:14" x14ac:dyDescent="0.25">
      <c r="A26" t="s">
        <v>21</v>
      </c>
      <c r="E26" s="5"/>
      <c r="L26"/>
      <c r="M26"/>
      <c r="N26"/>
    </row>
    <row r="27" spans="1:14" x14ac:dyDescent="0.25">
      <c r="A27" t="s">
        <v>22</v>
      </c>
      <c r="L27"/>
      <c r="M27"/>
      <c r="N27"/>
    </row>
    <row r="28" spans="1:14" x14ac:dyDescent="0.25">
      <c r="A28" t="s">
        <v>24</v>
      </c>
    </row>
    <row r="29" spans="1:14" x14ac:dyDescent="0.25">
      <c r="A29" t="s">
        <v>25</v>
      </c>
    </row>
    <row r="30" spans="1:14" x14ac:dyDescent="0.25">
      <c r="A30" t="s">
        <v>14</v>
      </c>
    </row>
  </sheetData>
  <pageMargins left="0.7" right="0.7" top="0.75" bottom="0.75" header="0.3" footer="0.3"/>
  <pageSetup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showGridLines="0" workbookViewId="0">
      <selection activeCell="F26" sqref="F26"/>
    </sheetView>
  </sheetViews>
  <sheetFormatPr defaultRowHeight="15" x14ac:dyDescent="0.25"/>
  <cols>
    <col min="1" max="1" width="38" customWidth="1"/>
    <col min="2" max="2" width="22.5703125" customWidth="1"/>
    <col min="3" max="3" width="19.5703125" customWidth="1"/>
    <col min="4" max="5" width="16.5703125" customWidth="1"/>
    <col min="6" max="6" width="16.5703125" style="14" customWidth="1"/>
    <col min="7" max="7" width="19" style="14" customWidth="1"/>
  </cols>
  <sheetData>
    <row r="1" spans="1:7" x14ac:dyDescent="0.25">
      <c r="A1" s="18" t="s">
        <v>10</v>
      </c>
    </row>
    <row r="2" spans="1:7" x14ac:dyDescent="0.25">
      <c r="A2" s="18" t="s">
        <v>26</v>
      </c>
    </row>
    <row r="3" spans="1:7" x14ac:dyDescent="0.25">
      <c r="A3" s="19">
        <v>43100</v>
      </c>
      <c r="D3" s="1"/>
      <c r="E3" s="1"/>
    </row>
    <row r="5" spans="1:7" x14ac:dyDescent="0.25">
      <c r="A5" s="2"/>
      <c r="B5" s="21" t="s">
        <v>0</v>
      </c>
      <c r="C5" s="21" t="s">
        <v>0</v>
      </c>
      <c r="D5" s="21" t="s">
        <v>0</v>
      </c>
      <c r="E5" s="2" t="s">
        <v>0</v>
      </c>
      <c r="F5" s="2" t="s">
        <v>0</v>
      </c>
      <c r="G5" s="2"/>
    </row>
    <row r="6" spans="1:7" x14ac:dyDescent="0.25">
      <c r="A6" s="2"/>
      <c r="B6" s="21">
        <v>2015</v>
      </c>
      <c r="C6" s="21">
        <v>2015</v>
      </c>
      <c r="D6" s="21">
        <v>2015</v>
      </c>
      <c r="E6" s="2">
        <v>2015</v>
      </c>
      <c r="F6" s="2">
        <v>2015</v>
      </c>
      <c r="G6" s="2"/>
    </row>
    <row r="7" spans="1:7" x14ac:dyDescent="0.25">
      <c r="A7" s="2"/>
      <c r="B7" s="21" t="s">
        <v>3</v>
      </c>
      <c r="C7" s="21" t="s">
        <v>23</v>
      </c>
      <c r="D7" s="21" t="s">
        <v>3</v>
      </c>
      <c r="E7" s="2" t="s">
        <v>1</v>
      </c>
      <c r="F7" s="2" t="s">
        <v>2</v>
      </c>
      <c r="G7" s="2"/>
    </row>
    <row r="8" spans="1:7" ht="15.75" thickBot="1" x14ac:dyDescent="0.3">
      <c r="A8" s="3"/>
      <c r="B8" s="22" t="s">
        <v>27</v>
      </c>
      <c r="C8" s="22" t="s">
        <v>18</v>
      </c>
      <c r="D8" s="22" t="s">
        <v>20</v>
      </c>
      <c r="E8" s="3" t="s">
        <v>17</v>
      </c>
      <c r="F8" s="3"/>
      <c r="G8" s="2"/>
    </row>
    <row r="9" spans="1:7" ht="15.75" thickBot="1" x14ac:dyDescent="0.3">
      <c r="A9" s="4" t="s">
        <v>7</v>
      </c>
      <c r="B9" s="15">
        <v>503048</v>
      </c>
      <c r="C9" s="15">
        <v>647049</v>
      </c>
      <c r="D9" s="15">
        <f>SUM(B9:C9)</f>
        <v>1150097</v>
      </c>
      <c r="E9" s="15">
        <f>23611-12462</f>
        <v>11149</v>
      </c>
      <c r="F9" s="15">
        <f>SUM(D9:E9)</f>
        <v>1161246</v>
      </c>
      <c r="G9" s="11"/>
    </row>
    <row r="10" spans="1:7" x14ac:dyDescent="0.25">
      <c r="B10" s="23"/>
      <c r="C10" s="23"/>
      <c r="D10" s="23"/>
      <c r="E10" s="6"/>
      <c r="F10" s="13"/>
      <c r="G10" s="13"/>
    </row>
    <row r="11" spans="1:7" x14ac:dyDescent="0.25">
      <c r="A11" s="7" t="s">
        <v>6</v>
      </c>
      <c r="B11" s="23"/>
      <c r="C11" s="23"/>
      <c r="D11" s="23"/>
      <c r="E11" s="6"/>
      <c r="F11" s="13"/>
      <c r="G11" s="13"/>
    </row>
    <row r="12" spans="1:7" x14ac:dyDescent="0.25">
      <c r="A12" s="1">
        <v>2010</v>
      </c>
      <c r="B12" s="23"/>
      <c r="C12" s="23"/>
      <c r="D12" s="23"/>
      <c r="E12" s="6"/>
      <c r="F12" s="13">
        <f t="shared" ref="F12:F19" si="0">SUM(D12:E12)</f>
        <v>0</v>
      </c>
      <c r="G12" s="13"/>
    </row>
    <row r="13" spans="1:7" x14ac:dyDescent="0.25">
      <c r="A13" s="1">
        <v>2011</v>
      </c>
      <c r="B13" s="23"/>
      <c r="C13" s="23"/>
      <c r="D13" s="23"/>
      <c r="E13" s="6"/>
      <c r="F13" s="13">
        <f t="shared" si="0"/>
        <v>0</v>
      </c>
      <c r="G13" s="13"/>
    </row>
    <row r="14" spans="1:7" x14ac:dyDescent="0.25">
      <c r="A14" s="1">
        <v>2012</v>
      </c>
      <c r="B14" s="23"/>
      <c r="C14" s="23"/>
      <c r="D14" s="23"/>
      <c r="E14" s="6"/>
      <c r="F14" s="13">
        <f t="shared" si="0"/>
        <v>0</v>
      </c>
      <c r="G14" s="13"/>
    </row>
    <row r="15" spans="1:7" x14ac:dyDescent="0.25">
      <c r="A15" s="1">
        <v>2013</v>
      </c>
      <c r="B15" s="23"/>
      <c r="C15" s="23"/>
      <c r="D15" s="23"/>
      <c r="E15" s="6"/>
      <c r="F15" s="13">
        <f t="shared" si="0"/>
        <v>0</v>
      </c>
      <c r="G15" s="13"/>
    </row>
    <row r="16" spans="1:7" x14ac:dyDescent="0.25">
      <c r="A16" s="1">
        <v>2014</v>
      </c>
      <c r="B16" s="23"/>
      <c r="C16" s="23"/>
      <c r="D16" s="23"/>
      <c r="E16" s="6"/>
      <c r="F16" s="13">
        <f t="shared" si="0"/>
        <v>0</v>
      </c>
      <c r="G16" s="13"/>
    </row>
    <row r="17" spans="1:7" x14ac:dyDescent="0.25">
      <c r="A17" s="1">
        <v>2015</v>
      </c>
      <c r="B17" s="23">
        <f>214654.18-503048</f>
        <v>-288393.82</v>
      </c>
      <c r="C17" s="23">
        <f>282760.34-647049</f>
        <v>-364288.66</v>
      </c>
      <c r="D17" s="23">
        <f>SUM(B17:C17)</f>
        <v>-652682.48</v>
      </c>
      <c r="E17" s="6">
        <f>16771.84-11149</f>
        <v>5622.84</v>
      </c>
      <c r="F17" s="13">
        <f t="shared" si="0"/>
        <v>-647059.64</v>
      </c>
      <c r="G17" s="13"/>
    </row>
    <row r="18" spans="1:7" ht="15.75" thickBot="1" x14ac:dyDescent="0.3">
      <c r="A18" s="1">
        <v>2016</v>
      </c>
      <c r="B18" s="24">
        <f>48493.95-214654.18</f>
        <v>-166160.22999999998</v>
      </c>
      <c r="C18" s="24">
        <f>94223.44-282760.34</f>
        <v>-188536.90000000002</v>
      </c>
      <c r="D18" s="24">
        <f>SUM(B18:C18)</f>
        <v>-354697.13</v>
      </c>
      <c r="E18" s="8">
        <f>19049.26-16771.84</f>
        <v>2277.4199999999983</v>
      </c>
      <c r="F18" s="12">
        <f t="shared" si="0"/>
        <v>-352419.71</v>
      </c>
      <c r="G18" s="13"/>
    </row>
    <row r="19" spans="1:7" ht="15.75" thickBot="1" x14ac:dyDescent="0.3">
      <c r="B19" s="24">
        <f>SUM(B12:B18)</f>
        <v>-454554.05</v>
      </c>
      <c r="C19" s="24">
        <f>SUM(C12:C18)</f>
        <v>-552825.56000000006</v>
      </c>
      <c r="D19" s="24">
        <f>SUM(B19:C19)</f>
        <v>-1007379.6100000001</v>
      </c>
      <c r="E19" s="8">
        <f>SUM(E12:E18)</f>
        <v>7900.2599999999984</v>
      </c>
      <c r="F19" s="8">
        <f t="shared" si="0"/>
        <v>-999479.35000000009</v>
      </c>
      <c r="G19" s="13"/>
    </row>
    <row r="20" spans="1:7" x14ac:dyDescent="0.25">
      <c r="B20" s="23"/>
      <c r="C20" s="23"/>
      <c r="D20" s="23"/>
      <c r="E20" s="6"/>
      <c r="F20" s="13"/>
      <c r="G20" s="13"/>
    </row>
    <row r="21" spans="1:7" ht="15.75" thickBot="1" x14ac:dyDescent="0.3">
      <c r="A21" s="10" t="s">
        <v>2</v>
      </c>
      <c r="B21" s="9">
        <f>B9+B19</f>
        <v>48493.950000000012</v>
      </c>
      <c r="C21" s="9">
        <f>C9+C19</f>
        <v>94223.439999999944</v>
      </c>
      <c r="D21" s="9">
        <f>SUM(B21:C21)</f>
        <v>142717.38999999996</v>
      </c>
      <c r="E21" s="9">
        <f>E9+E19</f>
        <v>19049.259999999998</v>
      </c>
      <c r="F21" s="9">
        <f>SUM(D21:E21)</f>
        <v>161766.64999999997</v>
      </c>
      <c r="G21" s="13"/>
    </row>
    <row r="22" spans="1:7" ht="15.75" thickBot="1" x14ac:dyDescent="0.3">
      <c r="B22" s="20"/>
      <c r="C22" s="20"/>
      <c r="D22" s="20"/>
      <c r="E22" s="6" t="s">
        <v>29</v>
      </c>
      <c r="F22" s="25">
        <v>159549</v>
      </c>
      <c r="G22" s="13"/>
    </row>
    <row r="23" spans="1:7" ht="15.75" thickBot="1" x14ac:dyDescent="0.3">
      <c r="B23" s="6"/>
      <c r="C23" s="6"/>
      <c r="D23" s="6"/>
      <c r="E23" s="6" t="s">
        <v>28</v>
      </c>
      <c r="F23" s="25">
        <f>F21-F22</f>
        <v>2217.6499999999651</v>
      </c>
      <c r="G23" s="13"/>
    </row>
    <row r="24" spans="1:7" x14ac:dyDescent="0.25">
      <c r="B24" s="6"/>
      <c r="C24" s="6"/>
      <c r="D24" s="6"/>
      <c r="E24" s="6"/>
      <c r="F24" s="13"/>
      <c r="G24" s="13"/>
    </row>
    <row r="25" spans="1:7" x14ac:dyDescent="0.25">
      <c r="A25" t="s">
        <v>30</v>
      </c>
      <c r="E25" s="5"/>
      <c r="F25" s="27" t="s">
        <v>33</v>
      </c>
    </row>
    <row r="26" spans="1:7" x14ac:dyDescent="0.25">
      <c r="A26" t="s">
        <v>31</v>
      </c>
      <c r="E26" s="5"/>
    </row>
    <row r="27" spans="1:7" x14ac:dyDescent="0.25">
      <c r="A27" t="s">
        <v>22</v>
      </c>
    </row>
    <row r="28" spans="1:7" x14ac:dyDescent="0.25">
      <c r="A28" t="s">
        <v>32</v>
      </c>
    </row>
    <row r="29" spans="1:7" x14ac:dyDescent="0.25">
      <c r="A29" t="s">
        <v>25</v>
      </c>
    </row>
    <row r="30" spans="1:7" x14ac:dyDescent="0.25">
      <c r="A30" t="s">
        <v>14</v>
      </c>
    </row>
  </sheetData>
  <pageMargins left="0.7" right="0.7" top="0.75" bottom="0.7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1595-2010</vt:lpstr>
      <vt:lpstr>1595-2013</vt:lpstr>
      <vt:lpstr>1595-2015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Shuttleworth</dc:creator>
  <cp:lastModifiedBy>Tim Hesselink</cp:lastModifiedBy>
  <cp:lastPrinted>2018-02-16T15:50:04Z</cp:lastPrinted>
  <dcterms:created xsi:type="dcterms:W3CDTF">2018-02-15T12:58:53Z</dcterms:created>
  <dcterms:modified xsi:type="dcterms:W3CDTF">2018-02-16T15:50:33Z</dcterms:modified>
</cp:coreProperties>
</file>